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1"/>
  </bookViews>
  <sheets>
    <sheet name="Per Installation" sheetId="1" r:id="rId1"/>
    <sheet name="MeasureTable" sheetId="2" r:id="rId2"/>
    <sheet name="ProData" sheetId="3" r:id="rId3"/>
    <sheet name="Solar DHW" sheetId="4" r:id="rId4"/>
    <sheet name="Input Assumptions" sheetId="5" r:id="rId5"/>
    <sheet name="Regression Fix OR Data" sheetId="6" r:id="rId6"/>
    <sheet name="OR Tax Credit Solar DHW Savings" sheetId="7" r:id="rId7"/>
    <sheet name="PNW Solar Zones by State" sheetId="8" r:id="rId8"/>
    <sheet name="Load Shapes" sheetId="9" r:id="rId9"/>
    <sheet name="Load &amp; Coinc Fctrs" sheetId="10" r:id="rId10"/>
    <sheet name="Lookup Table" sheetId="11" r:id="rId11"/>
  </sheets>
  <externalReferences>
    <externalReference r:id="rId14"/>
    <externalReference r:id="rId15"/>
  </externalReferences>
  <definedNames>
    <definedName name="_Key1" hidden="1">#REF!</definedName>
    <definedName name="_Order1" hidden="1">255</definedName>
    <definedName name="_Scenario_new_change" localSheetId="3" hidden="1">'Solar DHW'!$A$2,'Solar DHW'!$A$6:$N$52</definedName>
    <definedName name="_scenchg_count" localSheetId="3" hidden="1">71</definedName>
    <definedName name="_scenchg1" localSheetId="3" hidden="1">'Solar DHW'!$A$2</definedName>
    <definedName name="_scenchg10" localSheetId="3" hidden="1">'Solar DHW'!$I$6</definedName>
    <definedName name="_scenchg11" localSheetId="3" hidden="1">'Solar DHW'!$J$6</definedName>
    <definedName name="_scenchg12" localSheetId="3" hidden="1">'Solar DHW'!$K$6</definedName>
    <definedName name="_scenchg13" localSheetId="3" hidden="1">'Solar DHW'!$L$6</definedName>
    <definedName name="_scenchg14" localSheetId="3" hidden="1">'Solar DHW'!$M$6</definedName>
    <definedName name="_scenchg15" localSheetId="3" hidden="1">'Solar DHW'!$N$6</definedName>
    <definedName name="_scenchg16" localSheetId="3" hidden="1">'Solar DHW'!$A$49</definedName>
    <definedName name="_scenchg17" localSheetId="3" hidden="1">'Solar DHW'!$B$49</definedName>
    <definedName name="_scenchg18" localSheetId="3" hidden="1">'Solar DHW'!$C$49</definedName>
    <definedName name="_scenchg19" localSheetId="3" hidden="1">'Solar DHW'!$D$49</definedName>
    <definedName name="_scenchg2" localSheetId="3" hidden="1">'Solar DHW'!$A$6</definedName>
    <definedName name="_scenchg20" localSheetId="3" hidden="1">'Solar DHW'!$E$49</definedName>
    <definedName name="_scenchg21" localSheetId="3" hidden="1">'Solar DHW'!$F$49</definedName>
    <definedName name="_scenchg22" localSheetId="3" hidden="1">'Solar DHW'!$G$49</definedName>
    <definedName name="_scenchg23" localSheetId="3" hidden="1">'Solar DHW'!$H$49</definedName>
    <definedName name="_scenchg24" localSheetId="3" hidden="1">'Solar DHW'!$I$49</definedName>
    <definedName name="_scenchg25" localSheetId="3" hidden="1">'Solar DHW'!$J$49</definedName>
    <definedName name="_scenchg26" localSheetId="3" hidden="1">'Solar DHW'!$K$49</definedName>
    <definedName name="_scenchg27" localSheetId="3" hidden="1">'Solar DHW'!$L$49</definedName>
    <definedName name="_scenchg28" localSheetId="3" hidden="1">'Solar DHW'!$M$49</definedName>
    <definedName name="_scenchg29" localSheetId="3" hidden="1">'Solar DHW'!$N$49</definedName>
    <definedName name="_scenchg3" localSheetId="3" hidden="1">'Solar DHW'!$B$6</definedName>
    <definedName name="_scenchg30" localSheetId="3" hidden="1">'Solar DHW'!$A$50</definedName>
    <definedName name="_scenchg31" localSheetId="3" hidden="1">'Solar DHW'!$B$50</definedName>
    <definedName name="_scenchg32" localSheetId="3" hidden="1">'Solar DHW'!$C$50</definedName>
    <definedName name="_scenchg33" localSheetId="3" hidden="1">'Solar DHW'!$D$50</definedName>
    <definedName name="_scenchg34" localSheetId="3" hidden="1">'Solar DHW'!$E$50</definedName>
    <definedName name="_scenchg35" localSheetId="3" hidden="1">'Solar DHW'!$F$50</definedName>
    <definedName name="_scenchg36" localSheetId="3" hidden="1">'Solar DHW'!$G$50</definedName>
    <definedName name="_scenchg37" localSheetId="3" hidden="1">'Solar DHW'!$H$50</definedName>
    <definedName name="_scenchg38" localSheetId="3" hidden="1">'Solar DHW'!$I$50</definedName>
    <definedName name="_scenchg39" localSheetId="3" hidden="1">'Solar DHW'!$J$50</definedName>
    <definedName name="_scenchg4" localSheetId="3" hidden="1">'Solar DHW'!$C$6</definedName>
    <definedName name="_scenchg40" localSheetId="3" hidden="1">'Solar DHW'!$K$50</definedName>
    <definedName name="_scenchg41" localSheetId="3" hidden="1">'Solar DHW'!$L$50</definedName>
    <definedName name="_scenchg42" localSheetId="3" hidden="1">'Solar DHW'!$M$50</definedName>
    <definedName name="_scenchg43" localSheetId="3" hidden="1">'Solar DHW'!$N$50</definedName>
    <definedName name="_scenchg44" localSheetId="3" hidden="1">'Solar DHW'!$A$51</definedName>
    <definedName name="_scenchg45" localSheetId="3" hidden="1">'Solar DHW'!$B$51</definedName>
    <definedName name="_scenchg46" localSheetId="3" hidden="1">'Solar DHW'!$C$51</definedName>
    <definedName name="_scenchg47" localSheetId="3" hidden="1">'Solar DHW'!$D$51</definedName>
    <definedName name="_scenchg48" localSheetId="3" hidden="1">'Solar DHW'!$E$51</definedName>
    <definedName name="_scenchg49" localSheetId="3" hidden="1">'Solar DHW'!$F$51</definedName>
    <definedName name="_scenchg5" localSheetId="3" hidden="1">'Solar DHW'!$D$6</definedName>
    <definedName name="_scenchg50" localSheetId="3" hidden="1">'Solar DHW'!$G$51</definedName>
    <definedName name="_scenchg51" localSheetId="3" hidden="1">'Solar DHW'!$H$51</definedName>
    <definedName name="_scenchg52" localSheetId="3" hidden="1">'Solar DHW'!$I$51</definedName>
    <definedName name="_scenchg53" localSheetId="3" hidden="1">'Solar DHW'!$J$51</definedName>
    <definedName name="_scenchg54" localSheetId="3" hidden="1">'Solar DHW'!$K$51</definedName>
    <definedName name="_scenchg55" localSheetId="3" hidden="1">'Solar DHW'!$L$51</definedName>
    <definedName name="_scenchg56" localSheetId="3" hidden="1">'Solar DHW'!$M$51</definedName>
    <definedName name="_scenchg57" localSheetId="3" hidden="1">'Solar DHW'!$N$51</definedName>
    <definedName name="_scenchg58" localSheetId="3" hidden="1">'Solar DHW'!$A$52</definedName>
    <definedName name="_scenchg59" localSheetId="3" hidden="1">'Solar DHW'!$B$52</definedName>
    <definedName name="_scenchg6" localSheetId="3" hidden="1">'Solar DHW'!$E$6</definedName>
    <definedName name="_scenchg60" localSheetId="3" hidden="1">'Solar DHW'!$C$52</definedName>
    <definedName name="_scenchg61" localSheetId="3" hidden="1">'Solar DHW'!$D$52</definedName>
    <definedName name="_scenchg62" localSheetId="3" hidden="1">'Solar DHW'!$E$52</definedName>
    <definedName name="_scenchg63" localSheetId="3" hidden="1">'Solar DHW'!$F$52</definedName>
    <definedName name="_scenchg64" localSheetId="3" hidden="1">'Solar DHW'!$G$52</definedName>
    <definedName name="_scenchg65" localSheetId="3" hidden="1">'Solar DHW'!$H$52</definedName>
    <definedName name="_scenchg66" localSheetId="3" hidden="1">'Solar DHW'!$I$52</definedName>
    <definedName name="_scenchg67" localSheetId="3" hidden="1">'Solar DHW'!$J$52</definedName>
    <definedName name="_scenchg68" localSheetId="3" hidden="1">'Solar DHW'!$K$52</definedName>
    <definedName name="_scenchg69" localSheetId="3" hidden="1">'Solar DHW'!$L$52</definedName>
    <definedName name="_scenchg7" localSheetId="3" hidden="1">'Solar DHW'!$F$6</definedName>
    <definedName name="_scenchg70" localSheetId="3" hidden="1">'Solar DHW'!$M$52</definedName>
    <definedName name="_scenchg71" localSheetId="3" hidden="1">'Solar DHW'!$N$52</definedName>
    <definedName name="_scenchg8" localSheetId="3" hidden="1">'Solar DHW'!$G$6</definedName>
    <definedName name="_scenchg9" localSheetId="3" hidden="1">'Solar DHW'!$H$6</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NORMFACTOR" localSheetId="0">IF('Per Installation'!NORMUNIT="KW",1,'Per Installation'!SITEENG)</definedName>
    <definedName name="NORMUNIT" localSheetId="0">'MeasureTable'!#REF!</definedName>
    <definedName name="OMShr1">'ProData'!$B$11</definedName>
    <definedName name="PC_Main">[0]!PC_Main</definedName>
    <definedName name="_xlnm.Print_Area" localSheetId="6">'OR Tax Credit Solar DHW Savings'!$A:$K</definedName>
    <definedName name="_xlnm.Print_Titles" localSheetId="6">'OR Tax Credit Solar DHW Savings'!$1:$3</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cen_change" localSheetId="3" hidden="1">'Solar DHW'!$A$2,'Solar DHW'!$A$6:$N$52</definedName>
    <definedName name="scen_date1" localSheetId="3" hidden="1">36738.718774537</definedName>
    <definedName name="scen_name1" localSheetId="3" hidden="1">"Cust-side PV, Prod Class 7"</definedName>
    <definedName name="scen_num" localSheetId="3" hidden="1">1</definedName>
    <definedName name="scen_user1" localSheetId="3" hidden="1">"Jeff King"</definedName>
    <definedName name="scen_value1" localSheetId="3" hidden="1">{"Customer-side Solar Photovoltaics, Productivity Class 7";"Customer-side Solar Photovoltaics";"Productivity Class 7, fixed array (per kilowatt)";1770;20;1000;5;"CSPVC7";0;0;0;0;0;0;0;"Customer-side Solar Photovoltaics";"Productivity Class 7, single-axis tracking (per kilowatt)";200;20;500;5;"CSPVC7";0;0;0;0;0;0;0;"Customer-side Solar Photovoltaics";"Productivity Class 7, two-axis tracking (per kilowatt)";100;20;500;5;"CSPVC7";0;0;0;0;0;0;0;0;0;0;0;0;0;0;0;0;0;0;0;0;0;0;0;0;0;0;0;0;0;0;0;0;0;0;0}</definedName>
    <definedName name="Share1">'ProData'!$F$5</definedName>
    <definedName name="Share2">'ProData'!$G$5</definedName>
    <definedName name="Share3">'ProData'!$H$5</definedName>
    <definedName name="SITEENG" localSheetId="0">'MeasureTable'!$I$4:$I$8</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2.xml><?xml version="1.0" encoding="utf-8"?>
<comments xmlns="http://schemas.openxmlformats.org/spreadsheetml/2006/main">
  <authors>
    <author>Tom Eckman</author>
  </authors>
  <commentList>
    <comment ref="X3" authorId="0">
      <text>
        <r>
          <rPr>
            <b/>
            <sz val="9"/>
            <rFont val="Tahoma"/>
            <family val="2"/>
          </rPr>
          <t>Tom Eckman:</t>
        </r>
        <r>
          <rPr>
            <sz val="9"/>
            <rFont val="Tahoma"/>
            <family val="2"/>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9"/>
            <rFont val="Tahoma"/>
            <family val="2"/>
          </rPr>
          <t>Tom Eckman:</t>
        </r>
        <r>
          <rPr>
            <sz val="9"/>
            <rFont val="Tahoma"/>
            <family val="2"/>
          </rPr>
          <t xml:space="preserve">
Reduction in local distribution system peak load resulting from installation of technology, measure or practice</t>
        </r>
      </text>
    </comment>
    <comment ref="Z3" authorId="0">
      <text>
        <r>
          <rPr>
            <b/>
            <sz val="9"/>
            <rFont val="Tahoma"/>
            <family val="2"/>
          </rPr>
          <t>Tom Eckman:</t>
        </r>
        <r>
          <rPr>
            <sz val="9"/>
            <rFont val="Tahoma"/>
            <family val="2"/>
          </rPr>
          <t xml:space="preserve">
Present value cost of deferred capital expenditures for local distribution system</t>
        </r>
      </text>
    </comment>
    <comment ref="AA3" authorId="0">
      <text>
        <r>
          <rPr>
            <b/>
            <sz val="9"/>
            <rFont val="Tahoma"/>
            <family val="2"/>
          </rPr>
          <t>Tom Eckman:</t>
        </r>
        <r>
          <rPr>
            <sz val="9"/>
            <rFont val="Tahoma"/>
            <family val="2"/>
          </rPr>
          <t xml:space="preserve">
Qualitative or quantitative estimate of end-user benefits, excluding electricity savings, e.g. gallons of water saved.</t>
        </r>
      </text>
    </comment>
    <comment ref="AB3" authorId="0">
      <text>
        <r>
          <rPr>
            <b/>
            <sz val="9"/>
            <rFont val="Tahoma"/>
            <family val="2"/>
          </rPr>
          <t>Tom Eckman:</t>
        </r>
        <r>
          <rPr>
            <sz val="9"/>
            <rFont val="Tahoma"/>
            <family val="2"/>
          </rPr>
          <t xml:space="preserve">
Qualitative or quantitative estimate of any non-electric power system benefits associated with the technology, measure or practice, e.g. reduced wastewater treatment costs.</t>
        </r>
      </text>
    </comment>
    <comment ref="AD3" authorId="0">
      <text>
        <r>
          <rPr>
            <b/>
            <sz val="9"/>
            <rFont val="Tahoma"/>
            <family val="2"/>
          </rPr>
          <t>Tom Eckman:</t>
        </r>
        <r>
          <rPr>
            <sz val="9"/>
            <rFont val="Tahoma"/>
            <family val="2"/>
          </rPr>
          <t xml:space="preserve">
Present value of cost of carbon emissions, based on $15/ton.</t>
        </r>
      </text>
    </comment>
    <comment ref="AE3" authorId="0">
      <text>
        <r>
          <rPr>
            <b/>
            <sz val="8"/>
            <rFont val="Tahoma"/>
            <family val="0"/>
          </rPr>
          <t>Tom Eckman:</t>
        </r>
        <r>
          <rPr>
            <sz val="8"/>
            <rFont val="Tahoma"/>
            <family val="0"/>
          </rPr>
          <t xml:space="preserve">
</t>
        </r>
        <r>
          <rPr>
            <sz val="9"/>
            <rFont val="Tahoma"/>
            <family val="2"/>
          </rPr>
          <t>Total present value of all cost associated with the installation and maintenance of the technology, measure or practice over its expected life.</t>
        </r>
      </text>
    </comment>
    <comment ref="AH3" authorId="0">
      <text>
        <r>
          <rPr>
            <b/>
            <sz val="9"/>
            <rFont val="Tahoma"/>
            <family val="2"/>
          </rPr>
          <t>Tom Eckman:</t>
        </r>
        <r>
          <rPr>
            <sz val="9"/>
            <rFont val="Tahoma"/>
            <family val="2"/>
          </rPr>
          <t xml:space="preserve">
Ratio of present value of total societal benefits to total societal costs of technology, measure or practice.</t>
        </r>
      </text>
    </comment>
    <comment ref="AI3" authorId="0">
      <text>
        <r>
          <rPr>
            <b/>
            <sz val="9"/>
            <rFont val="Tahoma"/>
            <family val="2"/>
          </rPr>
          <t>Tom Eckman:</t>
        </r>
        <r>
          <rPr>
            <sz val="9"/>
            <rFont val="Tahoma"/>
            <family val="2"/>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F3" authorId="0">
      <text>
        <r>
          <rPr>
            <b/>
            <sz val="9"/>
            <rFont val="Tahoma"/>
            <family val="2"/>
          </rPr>
          <t>Tom Eckman:</t>
        </r>
        <r>
          <rPr>
            <sz val="9"/>
            <rFont val="Tahoma"/>
            <family val="2"/>
          </rPr>
          <t xml:space="preserve">
Present value of all benefits associated with a technology, measure or practice, including non-power system benefits and environmental externalities benefits.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3.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5.xml><?xml version="1.0" encoding="utf-8"?>
<comments xmlns="http://schemas.openxmlformats.org/spreadsheetml/2006/main">
  <authors>
    <author>Tom Eckman</author>
  </authors>
  <commentList>
    <comment ref="F2" authorId="0">
      <text>
        <r>
          <rPr>
            <b/>
            <sz val="8"/>
            <rFont val="Tahoma"/>
            <family val="0"/>
          </rPr>
          <t>Tom Eckman:</t>
        </r>
        <r>
          <rPr>
            <sz val="8"/>
            <rFont val="Tahoma"/>
            <family val="0"/>
          </rPr>
          <t xml:space="preserve">
Based on population in zone</t>
        </r>
      </text>
    </comment>
  </commentList>
</comments>
</file>

<file path=xl/sharedStrings.xml><?xml version="1.0" encoding="utf-8"?>
<sst xmlns="http://schemas.openxmlformats.org/spreadsheetml/2006/main" count="2388" uniqueCount="871">
  <si>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</si>
  <si>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</si>
  <si>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</si>
  <si>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</si>
  <si>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</si>
  <si>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</si>
  <si>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</si>
  <si>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</si>
  <si>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</si>
  <si>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</si>
  <si>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</si>
  <si>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</si>
  <si>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</si>
  <si>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</si>
  <si>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</si>
  <si>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</si>
  <si>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</si>
  <si>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</si>
  <si>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</si>
  <si>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</si>
  <si>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</si>
  <si>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</si>
  <si>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</si>
  <si>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</si>
  <si>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</si>
  <si>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</si>
  <si>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</si>
  <si>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</si>
  <si>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</si>
  <si>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</si>
  <si>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</si>
  <si>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</si>
  <si>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</si>
  <si>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</si>
  <si>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</si>
  <si>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</si>
  <si>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</si>
  <si>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</si>
  <si>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</si>
  <si>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</si>
  <si>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</si>
  <si>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</si>
  <si>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</si>
  <si>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</si>
  <si>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</si>
  <si>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</si>
  <si>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</si>
  <si>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</si>
  <si>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</si>
  <si>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</si>
  <si>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</si>
  <si>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</si>
  <si>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</si>
  <si>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</si>
  <si>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</si>
  <si>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</si>
  <si>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</si>
  <si>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</si>
  <si>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</si>
  <si>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</si>
  <si>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</si>
  <si>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</si>
  <si>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</si>
  <si>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</si>
  <si>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</si>
  <si>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</si>
  <si>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</si>
  <si>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</si>
  <si>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</si>
  <si>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</si>
  <si>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</si>
  <si>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</si>
  <si>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</si>
  <si>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</si>
  <si>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</si>
  <si>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</si>
  <si>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</si>
  <si>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</si>
  <si>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</si>
  <si>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</si>
  <si>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</si>
  <si>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</si>
  <si>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</si>
  <si>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</si>
  <si>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</si>
  <si>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</si>
  <si>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</si>
  <si>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</si>
  <si>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</si>
  <si>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</si>
  <si>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</si>
  <si>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</si>
  <si>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</si>
  <si>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</si>
  <si>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</si>
  <si>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</si>
  <si>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</si>
  <si>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</si>
  <si>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</si>
  <si>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</si>
  <si>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</si>
  <si>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</si>
  <si>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</si>
  <si>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</si>
  <si>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</si>
  <si>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</si>
  <si>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</si>
  <si>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</si>
  <si>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</si>
  <si>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</si>
  <si>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</si>
  <si>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</si>
  <si>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</si>
  <si>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</si>
  <si>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</si>
  <si>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</si>
  <si>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</si>
  <si>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</si>
  <si>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</si>
  <si>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</si>
  <si>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</si>
  <si>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</si>
  <si>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</si>
  <si>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</si>
  <si>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</si>
  <si>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</si>
  <si>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</si>
  <si>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</si>
  <si>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</si>
  <si>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</si>
  <si>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</si>
  <si>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</si>
  <si>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</si>
  <si>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</si>
  <si>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</si>
  <si>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</si>
  <si>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</si>
  <si>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</si>
  <si>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</si>
  <si>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</si>
  <si>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</si>
  <si>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</si>
  <si>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</si>
  <si>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</si>
  <si>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</si>
  <si>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</si>
  <si>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</si>
  <si>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</si>
  <si>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</si>
  <si>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</si>
  <si>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</si>
  <si>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</si>
  <si>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</si>
  <si>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</si>
  <si>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</si>
  <si>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</si>
  <si>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Deemed</t>
  </si>
  <si>
    <t>Savings (kwh/yr)</t>
  </si>
  <si>
    <t>Phys Life (yrs)</t>
  </si>
  <si>
    <t>Non-E Val ($/yr)</t>
  </si>
  <si>
    <t>Portland</t>
  </si>
  <si>
    <t>Seattle</t>
  </si>
  <si>
    <t>Spokane</t>
  </si>
  <si>
    <t>Missoula</t>
  </si>
  <si>
    <t>Savings (kWh/yr)</t>
  </si>
  <si>
    <t>Jan</t>
  </si>
  <si>
    <t>Feb</t>
  </si>
  <si>
    <t>Mar</t>
  </si>
  <si>
    <t>Apr</t>
  </si>
  <si>
    <t>May</t>
  </si>
  <si>
    <t>Jun</t>
  </si>
  <si>
    <t>Jul</t>
  </si>
  <si>
    <t>Aug</t>
  </si>
  <si>
    <t>Sep</t>
  </si>
  <si>
    <t>Oct</t>
  </si>
  <si>
    <t>Nov</t>
  </si>
  <si>
    <t>Dec</t>
  </si>
  <si>
    <t>Annual</t>
  </si>
  <si>
    <t>VALUE NORMALIZED TO TYPICAL INSTALLATION</t>
  </si>
  <si>
    <t>Present Value Electric Energy Savings ($/kW)</t>
  </si>
  <si>
    <t>Installation configuration: 40 square ft collector, tilted at latitude + 10 degrees, closed loop glycol system with heat exchanger</t>
  </si>
  <si>
    <t>differential controller and 57 watt pump.</t>
  </si>
  <si>
    <t>Storage tank is assumed to be 50 gallon with 4500 watt auxilliary resistance element. 60 gallon per day water draw.</t>
  </si>
  <si>
    <t>PV Production</t>
  </si>
  <si>
    <t>System must be design,installed and inspected per EWEB Solar Water Heater Program Specifications or equivalent</t>
  </si>
  <si>
    <t>Residential domestic water heating</t>
  </si>
  <si>
    <t>ID: low-interest loan program, individual income tax deduction.  MT: Property tax exemption, Universal system benefit fund.  OR: Small-scale energy loan program, residential and business energy tax credits.</t>
  </si>
  <si>
    <t>Solar Residential Water Heater (min. 40 sq.ft. collector area)</t>
  </si>
  <si>
    <t>SolarDHWZ1W</t>
  </si>
  <si>
    <t>SolarDHWZ2W</t>
  </si>
  <si>
    <t>SolarDHWZ3W</t>
  </si>
  <si>
    <t>SolarDHWZ4W</t>
  </si>
  <si>
    <t>SolarDHWZ5W</t>
  </si>
  <si>
    <t>SolarDHWZ1S</t>
  </si>
  <si>
    <t>SolarDHWZ2S</t>
  </si>
  <si>
    <t>SolarDHWZ3S</t>
  </si>
  <si>
    <t>SolarDHWZ4S</t>
  </si>
  <si>
    <t>SolarDHWZ5S</t>
  </si>
  <si>
    <t>Solar Zone</t>
  </si>
  <si>
    <t>Baseline DHW Use*</t>
  </si>
  <si>
    <t>Solar Fraction*</t>
  </si>
  <si>
    <t>Zone Pop</t>
  </si>
  <si>
    <t>Weighted Savings</t>
  </si>
  <si>
    <t>Solar Residential Water Heater, Solar Zone 5</t>
  </si>
  <si>
    <t>Winnemucca</t>
  </si>
  <si>
    <t>Solar Residential Water Heater, Solar Zone 4</t>
  </si>
  <si>
    <t>Boise</t>
  </si>
  <si>
    <t>Medford</t>
  </si>
  <si>
    <t>Solar Residential Water Heater, Solar Zone 3</t>
  </si>
  <si>
    <t>Solar Residential Water Heater, Solar Zone 2</t>
  </si>
  <si>
    <t>Solar Residential Water Heater, Solar Zone 1</t>
  </si>
  <si>
    <t>*Based on FSEC TRNSYS runs by D. Parker &amp; M. Anello</t>
  </si>
  <si>
    <t>NOTES</t>
  </si>
  <si>
    <t>Average capital cost from Steve Still, EWEB, phone 8/4/00.</t>
  </si>
  <si>
    <t>Assume Steve's costs to be year 2000.</t>
  </si>
  <si>
    <t>System life consistent with O&amp;M assumptions from Steve Still, EWEB, phone 8/4/00.</t>
  </si>
  <si>
    <t>Solar Zone No.</t>
  </si>
  <si>
    <t>*Photovoltaic production factors by solar radiation class (kWh/kW)</t>
  </si>
  <si>
    <t>Idaho</t>
  </si>
  <si>
    <t>Washington</t>
  </si>
  <si>
    <t>PNW Solar Zones</t>
  </si>
  <si>
    <t>COUNTY</t>
  </si>
  <si>
    <t>State</t>
  </si>
  <si>
    <t>Population</t>
  </si>
  <si>
    <t>SOLAR ZONE</t>
  </si>
  <si>
    <t>Solar Production Value</t>
  </si>
  <si>
    <t>ID</t>
  </si>
  <si>
    <t>Anaconda-Deer Lodge</t>
  </si>
  <si>
    <t>MT</t>
  </si>
  <si>
    <t>Baker</t>
  </si>
  <si>
    <t>OR</t>
  </si>
  <si>
    <t>Adams</t>
  </si>
  <si>
    <t>WA</t>
  </si>
  <si>
    <t>Del  Norte</t>
  </si>
  <si>
    <t>CA</t>
  </si>
  <si>
    <t>Clallam</t>
  </si>
  <si>
    <t>Flathead</t>
  </si>
  <si>
    <t>Benton</t>
  </si>
  <si>
    <t>Asotin</t>
  </si>
  <si>
    <t>Modoc</t>
  </si>
  <si>
    <t>Greys Harbor</t>
  </si>
  <si>
    <t>Bannock</t>
  </si>
  <si>
    <t>Granite</t>
  </si>
  <si>
    <t>Clackamas</t>
  </si>
  <si>
    <t>Siskiyou</t>
  </si>
  <si>
    <t>King</t>
  </si>
  <si>
    <t>Bear Lake</t>
  </si>
  <si>
    <t xml:space="preserve">Lake </t>
  </si>
  <si>
    <t>Clatsop</t>
  </si>
  <si>
    <t>Chelan</t>
  </si>
  <si>
    <t>Elko</t>
  </si>
  <si>
    <t>NV</t>
  </si>
  <si>
    <t>Kitsap</t>
  </si>
  <si>
    <t>Benewah</t>
  </si>
  <si>
    <t xml:space="preserve">Lewis and Clark </t>
  </si>
  <si>
    <t>Columbia</t>
  </si>
  <si>
    <t>Humboldt</t>
  </si>
  <si>
    <t>Mason</t>
  </si>
  <si>
    <t>Bingham</t>
  </si>
  <si>
    <t xml:space="preserve">Lincoln </t>
  </si>
  <si>
    <t>Coos</t>
  </si>
  <si>
    <t>Clark</t>
  </si>
  <si>
    <t>Washoe</t>
  </si>
  <si>
    <t>Pacific</t>
  </si>
  <si>
    <t>Blaine</t>
  </si>
  <si>
    <t xml:space="preserve">Mineral </t>
  </si>
  <si>
    <t>Crook</t>
  </si>
  <si>
    <t>Box Elder</t>
  </si>
  <si>
    <t>UT</t>
  </si>
  <si>
    <t>Pierce</t>
  </si>
  <si>
    <t xml:space="preserve">Missoula </t>
  </si>
  <si>
    <t>Curry</t>
  </si>
  <si>
    <t>Cowlitz</t>
  </si>
  <si>
    <t>Cache</t>
  </si>
  <si>
    <t>Thurston</t>
  </si>
  <si>
    <t>Bonner</t>
  </si>
  <si>
    <t xml:space="preserve">Powell </t>
  </si>
  <si>
    <t>Deschutes</t>
  </si>
  <si>
    <t>Douglas</t>
  </si>
  <si>
    <t>Rich</t>
  </si>
  <si>
    <t>Wahkiakum</t>
  </si>
  <si>
    <t>Bonneville</t>
  </si>
  <si>
    <t xml:space="preserve">Ravalli </t>
  </si>
  <si>
    <t>Ferry</t>
  </si>
  <si>
    <t>Lincoln</t>
  </si>
  <si>
    <t>WY</t>
  </si>
  <si>
    <t>Boundary</t>
  </si>
  <si>
    <t xml:space="preserve">Sanders </t>
  </si>
  <si>
    <t>Gilliam</t>
  </si>
  <si>
    <t>Franklin</t>
  </si>
  <si>
    <t>Park</t>
  </si>
  <si>
    <t>Shoshone</t>
  </si>
  <si>
    <t>Butte</t>
  </si>
  <si>
    <t>Butte-Silver Bow</t>
  </si>
  <si>
    <t>Grant</t>
  </si>
  <si>
    <t>Garfield</t>
  </si>
  <si>
    <t>Sublette</t>
  </si>
  <si>
    <t>Camas</t>
  </si>
  <si>
    <t>Other Montana counties in Region</t>
  </si>
  <si>
    <t>Harney</t>
  </si>
  <si>
    <t>Teton</t>
  </si>
  <si>
    <t>Canyon</t>
  </si>
  <si>
    <t>Hood River</t>
  </si>
  <si>
    <t>Caribou</t>
  </si>
  <si>
    <t>Jackson</t>
  </si>
  <si>
    <t>Island</t>
  </si>
  <si>
    <t>Cassia</t>
  </si>
  <si>
    <t>Jefferson</t>
  </si>
  <si>
    <t>Josephine</t>
  </si>
  <si>
    <t>Clearwater</t>
  </si>
  <si>
    <t>Klamath</t>
  </si>
  <si>
    <t>Custer</t>
  </si>
  <si>
    <t>Lake</t>
  </si>
  <si>
    <t>Kittitas</t>
  </si>
  <si>
    <t>Lewis</t>
  </si>
  <si>
    <t>Elmore</t>
  </si>
  <si>
    <t>Lane</t>
  </si>
  <si>
    <t>Klickitat</t>
  </si>
  <si>
    <t>San Juan</t>
  </si>
  <si>
    <t>Skagit</t>
  </si>
  <si>
    <t>Fremont</t>
  </si>
  <si>
    <t>Linn</t>
  </si>
  <si>
    <t>Skamania</t>
  </si>
  <si>
    <t>Gem</t>
  </si>
  <si>
    <t>Malheur</t>
  </si>
  <si>
    <t>Snohomish</t>
  </si>
  <si>
    <t>Gooding</t>
  </si>
  <si>
    <t>Marion</t>
  </si>
  <si>
    <t>Okanogan</t>
  </si>
  <si>
    <t>Whatcom</t>
  </si>
  <si>
    <t>Morrow</t>
  </si>
  <si>
    <t>Multnomah</t>
  </si>
  <si>
    <t>Pend Oreille</t>
  </si>
  <si>
    <t>Jerome</t>
  </si>
  <si>
    <t>Polk</t>
  </si>
  <si>
    <t>Kootenai</t>
  </si>
  <si>
    <t>Sherman</t>
  </si>
  <si>
    <t>Latah</t>
  </si>
  <si>
    <t>Tillamook</t>
  </si>
  <si>
    <t>Lemhi</t>
  </si>
  <si>
    <t>Umatilla</t>
  </si>
  <si>
    <t>Union</t>
  </si>
  <si>
    <t>Wallowa</t>
  </si>
  <si>
    <t>Madison</t>
  </si>
  <si>
    <t>Wasco</t>
  </si>
  <si>
    <t>Stevens</t>
  </si>
  <si>
    <t>Minnidoka</t>
  </si>
  <si>
    <t>Nez  Perce</t>
  </si>
  <si>
    <t>Wheeler</t>
  </si>
  <si>
    <t>Onedia</t>
  </si>
  <si>
    <t>Yamhill</t>
  </si>
  <si>
    <t>Walla Walla</t>
  </si>
  <si>
    <t>Owyhee</t>
  </si>
  <si>
    <t>Payette</t>
  </si>
  <si>
    <t>Whitman</t>
  </si>
  <si>
    <t>Power</t>
  </si>
  <si>
    <t>Yakima</t>
  </si>
  <si>
    <t>Twin Falls</t>
  </si>
  <si>
    <t>Valley</t>
  </si>
  <si>
    <t>Location Weight</t>
  </si>
  <si>
    <t>SEA - Solar Zone 1</t>
  </si>
  <si>
    <t>Segment 1</t>
  </si>
  <si>
    <t>Segment 2</t>
  </si>
  <si>
    <t>Ann LF &amp; CF:</t>
  </si>
  <si>
    <t>Segment 3</t>
  </si>
  <si>
    <t>Segment 4</t>
  </si>
  <si>
    <t>MIS - Solar Zone 1</t>
  </si>
  <si>
    <t>PDX-Solar Zone 2</t>
  </si>
  <si>
    <t>SPK - Solar Zone 3</t>
  </si>
  <si>
    <t>MED - Solar Zone 4</t>
  </si>
  <si>
    <t>BOI - Solar Zone 4</t>
  </si>
  <si>
    <t>Solar Zone 5</t>
  </si>
  <si>
    <t>ESTIMATE LOAD AND COINCIDENCE FACTORS FOR SOLAR DHW</t>
  </si>
  <si>
    <t>Zone Weights</t>
  </si>
  <si>
    <t>Medofrd</t>
  </si>
  <si>
    <t>Solar Zone 1</t>
  </si>
  <si>
    <t>Solar Zone 2</t>
  </si>
  <si>
    <t>Solar Zone 3</t>
  </si>
  <si>
    <t>Solar Zone 4</t>
  </si>
  <si>
    <t>Total Solar (kWh)</t>
  </si>
  <si>
    <t>Total Aux (kWh)</t>
  </si>
  <si>
    <t>Total (kWh)</t>
  </si>
  <si>
    <t>Fraction Solar:</t>
  </si>
  <si>
    <t>Fraction Aux:</t>
  </si>
  <si>
    <t>Winter Pk KW</t>
  </si>
  <si>
    <t>Summer Pk  KW</t>
  </si>
  <si>
    <t>Annual KW</t>
  </si>
  <si>
    <t>Jan Savings (kWh)</t>
  </si>
  <si>
    <t>July/Aug Savings (kWh)</t>
  </si>
  <si>
    <t>Annual Savings (kWh)</t>
  </si>
  <si>
    <t>Winter Pk LF</t>
  </si>
  <si>
    <t>Summer Pk  LF</t>
  </si>
  <si>
    <t>Annual LF</t>
  </si>
  <si>
    <t>Coincident Factors</t>
  </si>
  <si>
    <t>Winter</t>
  </si>
  <si>
    <t>Summer</t>
  </si>
  <si>
    <t>Annual Capacity Factor (Class 5) (%)</t>
  </si>
  <si>
    <t>Coincidence Factor</t>
  </si>
  <si>
    <t>Per Installation</t>
  </si>
  <si>
    <t>Solar DHW</t>
  </si>
  <si>
    <t>Input Assumptions</t>
  </si>
  <si>
    <t>PNW Solar Zones by State</t>
  </si>
  <si>
    <t>Load Shapes</t>
  </si>
  <si>
    <t>Load &amp; Coinc Fctrs</t>
  </si>
  <si>
    <t>Solar Zone 5, summer-peaking utility distribution system or sub-system</t>
  </si>
  <si>
    <t>Solar Zone 4, summer-peaking utility distribution system or sub-system</t>
  </si>
  <si>
    <t>Solar Zone 5, winter-peaking utility distribution system or sub-system</t>
  </si>
  <si>
    <t>Solar Zone 3, summer-peaking utility distribution system or sub-system</t>
  </si>
  <si>
    <t>Solar Zone 4, winter-peaking utility distribution system or sub-system</t>
  </si>
  <si>
    <t>Solar Zone 3, winter-peaking utility distribution system or sub-system</t>
  </si>
  <si>
    <t>Solar Zone 2, summer-peaking utility distribution system or sub-system</t>
  </si>
  <si>
    <t>Solar Zone 1, summer-peaking utility distribution system or sub-system</t>
  </si>
  <si>
    <t>Solar Zone 2, winter-peaking utility distribution system or sub-system</t>
  </si>
  <si>
    <t>Solar Zone 1, winter-peaking utility distribution system or sub-system</t>
  </si>
  <si>
    <t>Lookup Table</t>
  </si>
  <si>
    <t>Solar Residential Water Heater (37.3 sq.ft. collector area), Solar Zone 1 - Winter Peaking</t>
  </si>
  <si>
    <t>Solar Residential Water Heater (37.3 sq.ft. collector area), Solar Zone 2 - Winter Peaking</t>
  </si>
  <si>
    <t>Solar Residential Water Heater (37.3 sq.ft. collector area), Solar Zone 3 - Winter Peaking</t>
  </si>
  <si>
    <t>Solar Residential Water Heater (37.3 sq.ft. collector area), Solar Zone 4 - Winter Peaking</t>
  </si>
  <si>
    <t>Solar Residential Water Heater (37.3 sq.ft. collector area), Solar Zone 5 - Winter Peaking</t>
  </si>
  <si>
    <t>Solar Residential Water Heater (37.3 sq.ft. collector area), Solar Zone 1 - Summer Peaking</t>
  </si>
  <si>
    <t>Solar Residential Water Heater (37.3 sq.ft. collector area), Solar Zone 2 - Summer Peaking</t>
  </si>
  <si>
    <t>Solar Residential Water Heater (37.3 sq.ft. collector area), Solar Zone 3 - Summer Peaking</t>
  </si>
  <si>
    <t>Solar Residential Water Heater (37.3 sq.ft. collector area), Solar Zone 4 - Summer Peaking</t>
  </si>
  <si>
    <t>Solar Residential Water Heater (37.3 sq.ft. collector area), Solar Zone 5 - Summer Peaking</t>
  </si>
  <si>
    <t>Solar Residential Water Heater (60 sq.ft. collector area), Solar Zone 1 - Winter Peaking</t>
  </si>
  <si>
    <t>Solar Residential Water Heater (60 sq.ft. collector area), Solar Zone 2 - Winter Peaking</t>
  </si>
  <si>
    <t>Solar Residential Water Heater (60 sq.ft. collector area), Solar Zone 3 - Winter Peaking</t>
  </si>
  <si>
    <t>Solar Residential Water Heater (60 sq.ft. collector area), Solar Zone 4 - Winter Peaking</t>
  </si>
  <si>
    <t>Solar Residential Water Heater (60 sq.ft. collector area), Solar Zone 5 - Winter Peaking</t>
  </si>
  <si>
    <t>Solar Residential Water Heater (60 sq.ft. collector area), Solar Zone 1 - Summer Peaking</t>
  </si>
  <si>
    <t>Solar Residential Water Heater (60 sq.ft. collector area), Solar Zone 2 - Summer Peaking</t>
  </si>
  <si>
    <t>Solar Residential Water Heater (60 sq.ft. collector area), Solar Zone 3 - Summer Peaking</t>
  </si>
  <si>
    <t>Solar Residential Water Heater (60 sq.ft. collector area), Solar Zone 4 - Summer Peaking</t>
  </si>
  <si>
    <t>Solar Residential Water Heater (60 sq.ft. collector area), Solar Zone 5 - Summer Peaking</t>
  </si>
  <si>
    <t>Solar Residential Water Heater (74.6 sq.ft. collector area), Solar Zone 1 - Winter Peaking</t>
  </si>
  <si>
    <t>Solar Residential Water Heater (74.6 sq.ft. collector area), Solar Zone 2 - Winter Peaking</t>
  </si>
  <si>
    <t>Solar Residential Water Heater (74.6 sq.ft. collector area), Solar Zone 3 - Winter Peaking</t>
  </si>
  <si>
    <t>Solar Residential Water Heater (74.6 sq.ft. collector area), Solar Zone 4 - Winter Peaking</t>
  </si>
  <si>
    <t>Solar Residential Water Heater (74.6 sq.ft. collector area), Solar Zone 5 - Winter Peaking</t>
  </si>
  <si>
    <t>Solar Residential Water Heater (74.6 sq.ft. collector area), Solar Zone 1 - Summer Peaking</t>
  </si>
  <si>
    <t>Solar Residential Water Heater (74.6 sq.ft. collector area), Solar Zone 2 - Summer Peaking</t>
  </si>
  <si>
    <t>Solar Residential Water Heater (74.6 sq.ft. collector area), Solar Zone 3 - Summer Peaking</t>
  </si>
  <si>
    <t>Solar Residential Water Heater (74.6 sq.ft. collector area), Solar Zone 4 - Summer Peaking</t>
  </si>
  <si>
    <t>Solar Residential Water Heater (74.6 sq.ft. collector area), Solar Zone 5 - Summer Peaking</t>
  </si>
  <si>
    <t>Solar Residential Water Heater (per. 40 sq.ft. collector area), Solar Zone 1 - Winter Peaking</t>
  </si>
  <si>
    <t>Solar Residential Water Heater (per. 40 sq.ft. collector area), Solar Zone 2 - Winter Peaking</t>
  </si>
  <si>
    <t>Solar Residential Water Heater (per. 40 sq.ft. collector area), Solar Zone 3 - Winter Peaking</t>
  </si>
  <si>
    <t>Solar Residential Water Heater (per. 40 sq.ft. collector area), Solar Zone 4 - Winter Peaking</t>
  </si>
  <si>
    <t>Solar Residential Water Heater (per. 40 sq.ft. collector area), Solar Zone 5 - Winter Peaking</t>
  </si>
  <si>
    <t>Solar Residential Water Heater (per. 40 sq.ft. collector area), Solar Zone 1 - Summer Peaking</t>
  </si>
  <si>
    <t>Solar Residential Water Heater (per. 40 sq.ft. collector area), Solar Zone 2 - Summer Peaking</t>
  </si>
  <si>
    <t>Solar Residential Water Heater (per. 40 sq.ft. collector area), Solar Zone 3 - Summer Peaking</t>
  </si>
  <si>
    <t>Solar Residential Water Heater (per. 40 sq.ft. collector area), Solar Zone 4 - Summer Peaking</t>
  </si>
  <si>
    <t>Solar Residential Water Heater (per. 40 sq.ft. collector area), Solar Zone 5 - Summer Peaking</t>
  </si>
  <si>
    <t>Ada</t>
  </si>
  <si>
    <t>Housing Units</t>
  </si>
  <si>
    <t>Minidoka</t>
  </si>
  <si>
    <t>Nez Perce</t>
  </si>
  <si>
    <t>Oneida</t>
  </si>
  <si>
    <t>Lewis and Clark</t>
  </si>
  <si>
    <t>Mineral</t>
  </si>
  <si>
    <t>Powell</t>
  </si>
  <si>
    <t>Ravalli</t>
  </si>
  <si>
    <t>Sanders</t>
  </si>
  <si>
    <t>Silver Bow</t>
  </si>
  <si>
    <t>Deer Lodge</t>
  </si>
  <si>
    <t>Grays Harbor</t>
  </si>
  <si>
    <t>Fraction of Housing Units</t>
  </si>
  <si>
    <t>Fraction of Population</t>
  </si>
  <si>
    <t>Solar DHW Savings (kWh/yr)</t>
  </si>
  <si>
    <t>Production Factor (kWh/yr/KW)</t>
  </si>
  <si>
    <t>Weighted Average Solar DHW Savings (kWh/yr)</t>
  </si>
  <si>
    <t>Weighted Average PV Production (kWh/yr/KW)</t>
  </si>
  <si>
    <t>Weighting Method</t>
  </si>
  <si>
    <t>Yield Table for Solar Domestic Water Heaters</t>
  </si>
  <si>
    <t>Yield Table 2002.xls</t>
  </si>
  <si>
    <t>SRCC Numbers</t>
  </si>
  <si>
    <t xml:space="preserve">SRCC </t>
  </si>
  <si>
    <t>Collector</t>
  </si>
  <si>
    <t>Solar Tank</t>
  </si>
  <si>
    <t>Annual Energy Savings (kwh/yr)</t>
  </si>
  <si>
    <t>OSEIA</t>
  </si>
  <si>
    <t>Freeze</t>
  </si>
  <si>
    <t>With OSIEA Tank Insulation</t>
  </si>
  <si>
    <t xml:space="preserve">Question - What is performace adjustment </t>
  </si>
  <si>
    <t>System Name</t>
  </si>
  <si>
    <t>Model</t>
  </si>
  <si>
    <t>SRCC No.</t>
  </si>
  <si>
    <t>Vol (gal)</t>
  </si>
  <si>
    <t>Zone 1</t>
  </si>
  <si>
    <t>Zone 2</t>
  </si>
  <si>
    <t>Zone 3</t>
  </si>
  <si>
    <t>Adj.</t>
  </si>
  <si>
    <t>Notes</t>
  </si>
  <si>
    <t>Temp Limit</t>
  </si>
  <si>
    <t>if the Tdraw is decreased from 125 to 120 ?</t>
  </si>
  <si>
    <t>ACR Solar International</t>
  </si>
  <si>
    <t>Fireball</t>
  </si>
  <si>
    <t>200131C50</t>
  </si>
  <si>
    <t>1999003A</t>
  </si>
  <si>
    <t>Freeze Risk</t>
  </si>
  <si>
    <t>Tank Losses</t>
  </si>
  <si>
    <t>200132C50</t>
  </si>
  <si>
    <t>1999003B</t>
  </si>
  <si>
    <t>Temp Diff</t>
  </si>
  <si>
    <t>200133C50</t>
  </si>
  <si>
    <t>1999003D</t>
  </si>
  <si>
    <t>Tank R</t>
  </si>
  <si>
    <t>dia</t>
  </si>
  <si>
    <t>height</t>
  </si>
  <si>
    <t>200133C80</t>
  </si>
  <si>
    <t>1999003C</t>
  </si>
  <si>
    <t>Tank Area</t>
  </si>
  <si>
    <t>200152C80EX</t>
  </si>
  <si>
    <t>2000007A</t>
  </si>
  <si>
    <t>Heat Loss</t>
  </si>
  <si>
    <t>200153C80EX</t>
  </si>
  <si>
    <t>2000007B</t>
  </si>
  <si>
    <t>Annual Loss</t>
  </si>
  <si>
    <t>btu</t>
  </si>
  <si>
    <t>200154C80EX</t>
  </si>
  <si>
    <t>2000007C</t>
  </si>
  <si>
    <t>with 87% tank</t>
  </si>
  <si>
    <t>kwh/yr</t>
  </si>
  <si>
    <t>Bobcat &amp; Sun, Inc.</t>
  </si>
  <si>
    <t>Sun-Pak</t>
  </si>
  <si>
    <t>SP32CHE</t>
  </si>
  <si>
    <t>1994005E</t>
  </si>
  <si>
    <t>Addition to SRCC</t>
  </si>
  <si>
    <t>SP32CHE-1</t>
  </si>
  <si>
    <t>1994004E</t>
  </si>
  <si>
    <t>n/a</t>
  </si>
  <si>
    <t>SP32PHE</t>
  </si>
  <si>
    <t>1994005A</t>
  </si>
  <si>
    <t>SP32PHE-1</t>
  </si>
  <si>
    <t>1994004A</t>
  </si>
  <si>
    <t>SP40CHE</t>
  </si>
  <si>
    <t>1994005G</t>
  </si>
  <si>
    <t>SP40CHE-1</t>
  </si>
  <si>
    <t>1994004G</t>
  </si>
  <si>
    <t>SP40PHE</t>
  </si>
  <si>
    <t>1994005C</t>
  </si>
  <si>
    <t>SP40PHE-1</t>
  </si>
  <si>
    <t>1994004C</t>
  </si>
  <si>
    <t>SP64CHE</t>
  </si>
  <si>
    <t>1994005F</t>
  </si>
  <si>
    <t>SP64CHE-1</t>
  </si>
  <si>
    <t>1994004F</t>
  </si>
  <si>
    <t>SP64PHE</t>
  </si>
  <si>
    <t>1994005B</t>
  </si>
  <si>
    <t>SP64PHE-1</t>
  </si>
  <si>
    <t>1994004B</t>
  </si>
  <si>
    <t>SP80CHE</t>
  </si>
  <si>
    <t>1994005H</t>
  </si>
  <si>
    <t>SP80CHE-1</t>
  </si>
  <si>
    <t>1994004H</t>
  </si>
  <si>
    <t>SP80PHE</t>
  </si>
  <si>
    <t>1994005D</t>
  </si>
  <si>
    <t>SP80PHE-1</t>
  </si>
  <si>
    <t>1994004D</t>
  </si>
  <si>
    <t>Heliodyne, Inc.</t>
  </si>
  <si>
    <t>Heliopak</t>
  </si>
  <si>
    <t>16 DWCL HP 1 308 G 65 ACD</t>
  </si>
  <si>
    <t>1992013E</t>
  </si>
  <si>
    <t>16 DWCL HP 1 3366 G 50 ACS</t>
  </si>
  <si>
    <t>1992010J</t>
  </si>
  <si>
    <t>16 DWCL HP 1 3366 G 80 ACD</t>
  </si>
  <si>
    <t>1992013G</t>
  </si>
  <si>
    <t>16 DWCL HP 1 3366 G 80 ACS</t>
  </si>
  <si>
    <t>1992010K</t>
  </si>
  <si>
    <t>16 DWCL HP 1 408 G 65 ACD</t>
  </si>
  <si>
    <t>1992013F</t>
  </si>
  <si>
    <t>16 DWCL HP 1 408 G 65 ACS</t>
  </si>
  <si>
    <t>1992010A</t>
  </si>
  <si>
    <t>16 DWCL HP 1 408 G 65 PVD</t>
  </si>
  <si>
    <t>1996004C</t>
  </si>
  <si>
    <t>16 DWCL HP 1 408 G 65 PVS</t>
  </si>
  <si>
    <t>1996003C</t>
  </si>
  <si>
    <t>16 DWCL HP 1 408 G 80 ACD</t>
  </si>
  <si>
    <t>1992013I</t>
  </si>
  <si>
    <t>16 DWCL HP 1 408 G 80 ACS</t>
  </si>
  <si>
    <t>1992010N</t>
  </si>
  <si>
    <t>16 DWCL HP 1 410 G 65 ACD</t>
  </si>
  <si>
    <t>1992013A</t>
  </si>
  <si>
    <t>16 DWCL HP 1 410 G 80 ACD</t>
  </si>
  <si>
    <t>1992013J</t>
  </si>
  <si>
    <t>16 DWCL HP 1 410 G 80 ACS</t>
  </si>
  <si>
    <t>1992010B</t>
  </si>
  <si>
    <t>16 DWCL HP 1 410 G 80 PVD</t>
  </si>
  <si>
    <t>1996004A</t>
  </si>
  <si>
    <t>16 DWCL HP 1 410 G 80 PVS</t>
  </si>
  <si>
    <t>1996003A</t>
  </si>
  <si>
    <t>16 DWCL HP 2 308 G 80 PVD</t>
  </si>
  <si>
    <t>1996004B</t>
  </si>
  <si>
    <t>16 DWCL HP 2 308 G 80 PVS</t>
  </si>
  <si>
    <t>1996003B</t>
  </si>
  <si>
    <t>16 DWCL HP 2 3366 G 120 ACS</t>
  </si>
  <si>
    <t>1992010M</t>
  </si>
  <si>
    <t>16 DWCL HP 2 3366 G 80 ACD</t>
  </si>
  <si>
    <t>1992013H</t>
  </si>
  <si>
    <t>16 DWCL HP 2 3366 G 80 ACS</t>
  </si>
  <si>
    <t>1992010L</t>
  </si>
  <si>
    <t>16 DWCL HP 2 408 G 120 ACD</t>
  </si>
  <si>
    <t>1992013C</t>
  </si>
  <si>
    <t>16 DWCL HP 2 408 G 120 ACS</t>
  </si>
  <si>
    <t>1992010C</t>
  </si>
  <si>
    <t>16 DWCL HP 2 408 G 80 ACD</t>
  </si>
  <si>
    <t>1992013B</t>
  </si>
  <si>
    <t>16 DWCL HP 2 410 G 120 ACD</t>
  </si>
  <si>
    <t>1992013D</t>
  </si>
  <si>
    <t>16 DWCL HP 2 410 G 120 ACS</t>
  </si>
  <si>
    <t>1992010O</t>
  </si>
  <si>
    <t>DWCL HE HP 1 308 G 80 ACS</t>
  </si>
  <si>
    <t>1992010H</t>
  </si>
  <si>
    <t>DWCL HE HP 1 3366 G 80 ACS</t>
  </si>
  <si>
    <t>1992010I</t>
  </si>
  <si>
    <t>DWCL HE HP 1 408 G 80 ACS</t>
  </si>
  <si>
    <t>1992010D</t>
  </si>
  <si>
    <t>DWCL HE HP 1 410 G 80 ACS</t>
  </si>
  <si>
    <t>1992010E</t>
  </si>
  <si>
    <t>HP HELIX AC</t>
  </si>
  <si>
    <t>HP  1 408 GAC WAC 50 S</t>
  </si>
  <si>
    <t>1999004A</t>
  </si>
  <si>
    <t>HP 1 410 GAC WAC 80 S</t>
  </si>
  <si>
    <t>1999004B</t>
  </si>
  <si>
    <t>HP HELIX PV</t>
  </si>
  <si>
    <t>HP HX 1 3366 G PV 50 S</t>
  </si>
  <si>
    <t>1999005F</t>
  </si>
  <si>
    <t>HP HX 1 3366 G PV 80 S</t>
  </si>
  <si>
    <t>1999005G</t>
  </si>
  <si>
    <t>HP HX 1 408 G PV 50 D</t>
  </si>
  <si>
    <t>2000001A</t>
  </si>
  <si>
    <t>HP HX 1 408 G PV 50 S</t>
  </si>
  <si>
    <t>1999005A</t>
  </si>
  <si>
    <t>HP HX 1 410 G PV 80 D</t>
  </si>
  <si>
    <t>2000001B</t>
  </si>
  <si>
    <t>HP HX 1 410 G PV 80 S</t>
  </si>
  <si>
    <t>1999005B</t>
  </si>
  <si>
    <t>HP HX 2 3366 G PV 120 S</t>
  </si>
  <si>
    <t>1999005H</t>
  </si>
  <si>
    <t>HP HX 2 3366 G PV 80 D</t>
  </si>
  <si>
    <t>2000001C</t>
  </si>
  <si>
    <t>HP HX 2 3366 G PV 80 S</t>
  </si>
  <si>
    <t>1999005C</t>
  </si>
  <si>
    <t>HP HX 2 408 G PV 120 D</t>
  </si>
  <si>
    <t>2000001D</t>
  </si>
  <si>
    <t>HP HX 2 408 G PV 120 S</t>
  </si>
  <si>
    <t>1999005D</t>
  </si>
  <si>
    <t>HP HX 2 410 G PV 120 D</t>
  </si>
  <si>
    <t>2000001E</t>
  </si>
  <si>
    <t>HP HX 2 410 G PV 120 S</t>
  </si>
  <si>
    <t>1999005E</t>
  </si>
  <si>
    <t>Morley Manufacturing</t>
  </si>
  <si>
    <t>High Sierra Drainback</t>
  </si>
  <si>
    <t>HS60B/40</t>
  </si>
  <si>
    <t>1992014A</t>
  </si>
  <si>
    <t>Nippon Electric Glass America, Inc.</t>
  </si>
  <si>
    <t>Sunfamily</t>
  </si>
  <si>
    <t>PK-20</t>
  </si>
  <si>
    <t>1992004B</t>
  </si>
  <si>
    <t>PK-20-PSS</t>
  </si>
  <si>
    <t>1992017E</t>
  </si>
  <si>
    <t>Radco Products, Inc.</t>
  </si>
  <si>
    <t>Copper Sunsation</t>
  </si>
  <si>
    <t>CSHX100</t>
  </si>
  <si>
    <t>1994006C</t>
  </si>
  <si>
    <t>CSHX40</t>
  </si>
  <si>
    <t>1994006D</t>
  </si>
  <si>
    <t>CSHX60</t>
  </si>
  <si>
    <t>1994006A</t>
  </si>
  <si>
    <t>CSHX80</t>
  </si>
  <si>
    <t>1994006B</t>
  </si>
  <si>
    <t>Drainback</t>
  </si>
  <si>
    <t>R-DBHX-12-120-D-80P</t>
  </si>
  <si>
    <t>1992007I</t>
  </si>
  <si>
    <t>R-DBHX-8-120S-80P</t>
  </si>
  <si>
    <t>1994007C</t>
  </si>
  <si>
    <t>R-DBHX-8-65-D-40P</t>
  </si>
  <si>
    <t>1992007A</t>
  </si>
  <si>
    <t>R-DBHX-8-65S-40P</t>
  </si>
  <si>
    <t>1994007A</t>
  </si>
  <si>
    <t>R-DBHX-8-80-D-64P</t>
  </si>
  <si>
    <t>1992007C</t>
  </si>
  <si>
    <t>R-DBHX-8-80S-64P</t>
  </si>
  <si>
    <t>1994007B</t>
  </si>
  <si>
    <t>Six Rivers Solar, Inc.</t>
  </si>
  <si>
    <t>Six Rivers Solar</t>
  </si>
  <si>
    <t>SRS-120-DHW-AC-ELEC</t>
  </si>
  <si>
    <t>2001007A</t>
  </si>
  <si>
    <t>SRS-210-DHW-AC-ELEC</t>
  </si>
  <si>
    <t>2001007B</t>
  </si>
  <si>
    <t>SRS-210-DHW-AC-SPA-ELEC</t>
  </si>
  <si>
    <t>2001007C</t>
  </si>
  <si>
    <t>SRS-320-DHW-AC-ELEC</t>
  </si>
  <si>
    <t>2001007D</t>
  </si>
  <si>
    <t>SRS-320-DHW-AC-SPA-ELEC</t>
  </si>
  <si>
    <t>2001007E</t>
  </si>
  <si>
    <t>Solahart Industries Pty Ltd</t>
  </si>
  <si>
    <t>SOLAHART</t>
  </si>
  <si>
    <t>181K</t>
  </si>
  <si>
    <t>1992006C</t>
  </si>
  <si>
    <t>181K-AS</t>
  </si>
  <si>
    <t>1992009C</t>
  </si>
  <si>
    <t>302J</t>
  </si>
  <si>
    <t>1992006B</t>
  </si>
  <si>
    <t>302J-AS</t>
  </si>
  <si>
    <t>1992009B</t>
  </si>
  <si>
    <t>302K</t>
  </si>
  <si>
    <t>1992006A</t>
  </si>
  <si>
    <t>302K-AS</t>
  </si>
  <si>
    <t>1992009A</t>
  </si>
  <si>
    <t>Sun Systems, Inc.</t>
  </si>
  <si>
    <t>CopperSun</t>
  </si>
  <si>
    <t>CS330-E</t>
  </si>
  <si>
    <t>1997001B</t>
  </si>
  <si>
    <t>CS340-E</t>
  </si>
  <si>
    <t>1997001C</t>
  </si>
  <si>
    <t>CS440-E</t>
  </si>
  <si>
    <t>1997001A</t>
  </si>
  <si>
    <t>CS450-E</t>
  </si>
  <si>
    <t>1997001D</t>
  </si>
  <si>
    <t>SunEarth, Inc.</t>
  </si>
  <si>
    <t>CopperHeart</t>
  </si>
  <si>
    <t>CP-20</t>
  </si>
  <si>
    <t>1992011I</t>
  </si>
  <si>
    <t>CP-30</t>
  </si>
  <si>
    <t>1992011E</t>
  </si>
  <si>
    <t>CP-40</t>
  </si>
  <si>
    <t>1992011F</t>
  </si>
  <si>
    <t>CP-60P</t>
  </si>
  <si>
    <t>1992011G</t>
  </si>
  <si>
    <t>CP-80P</t>
  </si>
  <si>
    <t>1992011J</t>
  </si>
  <si>
    <t>SOLARAY</t>
  </si>
  <si>
    <t>TE32C-80-1</t>
  </si>
  <si>
    <t>1993001B</t>
  </si>
  <si>
    <t>TE32C-80-2</t>
  </si>
  <si>
    <t>1996001B</t>
  </si>
  <si>
    <t>TE32P-80-1</t>
  </si>
  <si>
    <t>1993001A</t>
  </si>
  <si>
    <t>TE32P-80-2</t>
  </si>
  <si>
    <t>1996001A</t>
  </si>
  <si>
    <t>TE40C-80-1</t>
  </si>
  <si>
    <t>1993001D</t>
  </si>
  <si>
    <t>TE40C-80-2</t>
  </si>
  <si>
    <t>1996001D</t>
  </si>
  <si>
    <t>TE40C-80-2-PV</t>
  </si>
  <si>
    <t>2000003A</t>
  </si>
  <si>
    <t>TE40C-80-PV</t>
  </si>
  <si>
    <t>2000004A</t>
  </si>
  <si>
    <t>TE40P-80-1</t>
  </si>
  <si>
    <t>1993001C</t>
  </si>
  <si>
    <t>TE40P-80-2</t>
  </si>
  <si>
    <t>1996001C</t>
  </si>
  <si>
    <t>TE40P-80-2-PV</t>
  </si>
  <si>
    <t>2000003D</t>
  </si>
  <si>
    <t>TE40P-80-PV</t>
  </si>
  <si>
    <t>2000004D</t>
  </si>
  <si>
    <t>TE48C-80-1</t>
  </si>
  <si>
    <t>1993001L</t>
  </si>
  <si>
    <t>TE48C-80-2</t>
  </si>
  <si>
    <t>1996001J</t>
  </si>
  <si>
    <t>TE48C-80-2-PV</t>
  </si>
  <si>
    <t>2000003H</t>
  </si>
  <si>
    <t>TE48C-80-PV</t>
  </si>
  <si>
    <t>2000004H</t>
  </si>
  <si>
    <t>TE48P-80-1</t>
  </si>
  <si>
    <t>1993001K</t>
  </si>
  <si>
    <t>TE48P-80-2</t>
  </si>
  <si>
    <t>1996001I</t>
  </si>
  <si>
    <t>TE48P-80-2-PV</t>
  </si>
  <si>
    <t>2000003G</t>
  </si>
  <si>
    <t>TE48P-80-PV</t>
  </si>
  <si>
    <t>2000004G</t>
  </si>
  <si>
    <t>TE64C-80-1</t>
  </si>
  <si>
    <t>1993001H</t>
  </si>
  <si>
    <t>TE64C-80-2</t>
  </si>
  <si>
    <t>1996001F</t>
  </si>
  <si>
    <t>TE64C-80-2-PV</t>
  </si>
  <si>
    <t>2000003B</t>
  </si>
  <si>
    <t>TE64C-80-PV</t>
  </si>
  <si>
    <t>2000004B</t>
  </si>
  <si>
    <t>TE64P-80-1</t>
  </si>
  <si>
    <t>1993001G</t>
  </si>
  <si>
    <t>TE64P-80-2</t>
  </si>
  <si>
    <t>1996001E</t>
  </si>
  <si>
    <t>TE64P-80-2-PV</t>
  </si>
  <si>
    <t>2000003E</t>
  </si>
  <si>
    <t>TE64P-80-PV</t>
  </si>
  <si>
    <t>2000004E</t>
  </si>
  <si>
    <t>TE80C-80-1</t>
  </si>
  <si>
    <t>1993001I</t>
  </si>
  <si>
    <t>TE80C-80-2</t>
  </si>
  <si>
    <t>1996001G</t>
  </si>
  <si>
    <t>TE80C-80-2-PV</t>
  </si>
  <si>
    <t>2000003C</t>
  </si>
  <si>
    <t>TE80C-80-PV</t>
  </si>
  <si>
    <t>2000004C</t>
  </si>
  <si>
    <t>TE80P-80-1</t>
  </si>
  <si>
    <t>1993001J</t>
  </si>
  <si>
    <t>TE80P-80-2</t>
  </si>
  <si>
    <t>1996001H</t>
  </si>
  <si>
    <t>TE80P-80-2-PV</t>
  </si>
  <si>
    <t>2000003F</t>
  </si>
  <si>
    <t>TE80P-80-PV</t>
  </si>
  <si>
    <t>2000004F</t>
  </si>
  <si>
    <t>SunSaver</t>
  </si>
  <si>
    <t>NF40P-80S</t>
  </si>
  <si>
    <t>1995010M</t>
  </si>
  <si>
    <t>NF40P-80T</t>
  </si>
  <si>
    <t>1995009M</t>
  </si>
  <si>
    <t>SunSiphon</t>
  </si>
  <si>
    <t>EPGX116-63-2</t>
  </si>
  <si>
    <t>2001004I</t>
  </si>
  <si>
    <t>EPGX116-64-2</t>
  </si>
  <si>
    <t>2001004J</t>
  </si>
  <si>
    <t>EPGX116-80-2</t>
  </si>
  <si>
    <t>2001004L</t>
  </si>
  <si>
    <t>EPGX48-21-2</t>
  </si>
  <si>
    <t>2001004A</t>
  </si>
  <si>
    <t>EPGX48-24-2</t>
  </si>
  <si>
    <t>2001004B</t>
  </si>
  <si>
    <t>EPGX48-32-2</t>
  </si>
  <si>
    <t>2001004C</t>
  </si>
  <si>
    <t>EPGX80-40-2</t>
  </si>
  <si>
    <t>2001004D</t>
  </si>
  <si>
    <t>EPGX80-42-2</t>
  </si>
  <si>
    <t>2001004E</t>
  </si>
  <si>
    <t>EPGX80-48-2</t>
  </si>
  <si>
    <t>2001004F</t>
  </si>
  <si>
    <t>EPGX80-63-2</t>
  </si>
  <si>
    <t>2001004G</t>
  </si>
  <si>
    <t>EPGX80-64-2</t>
  </si>
  <si>
    <t>2001004H</t>
  </si>
  <si>
    <t>SunSource</t>
  </si>
  <si>
    <t>HX40P-80</t>
  </si>
  <si>
    <t>1995001E</t>
  </si>
  <si>
    <t>HX64P-120</t>
  </si>
  <si>
    <t>1995001K</t>
  </si>
  <si>
    <t>Thermal Conversion Technology</t>
  </si>
  <si>
    <t>Progressive Tube</t>
  </si>
  <si>
    <t>PT-30-CN</t>
  </si>
  <si>
    <t>1995002A</t>
  </si>
  <si>
    <t>PT-35-CN</t>
  </si>
  <si>
    <t>1995002B</t>
  </si>
  <si>
    <t>PT-40-CN</t>
  </si>
  <si>
    <t>1995002C</t>
  </si>
  <si>
    <t>PT-50-CN</t>
  </si>
  <si>
    <t>1995002D</t>
  </si>
  <si>
    <t>Thermomax Industries</t>
  </si>
  <si>
    <t>Mazadon</t>
  </si>
  <si>
    <t>Mazadon 30</t>
  </si>
  <si>
    <t>2001029A</t>
  </si>
  <si>
    <t>Mazadon 40</t>
  </si>
  <si>
    <t>2001029B</t>
  </si>
  <si>
    <r>
      <t>Area (ft</t>
    </r>
    <r>
      <rPr>
        <vertAlign val="superscript"/>
        <sz val="9"/>
        <rFont val="Arial"/>
        <family val="2"/>
      </rPr>
      <t>2</t>
    </r>
    <r>
      <rPr>
        <sz val="9"/>
        <rFont val="Arial"/>
        <family val="2"/>
      </rPr>
      <t>)</t>
    </r>
  </si>
  <si>
    <t>Collector Area (sqft)</t>
  </si>
  <si>
    <t>Solar Tank Vol (gal)</t>
  </si>
  <si>
    <t>Zone 1 Savings (kWh/yr)</t>
  </si>
  <si>
    <t>Zone 2 Savings (kWh/yr)</t>
  </si>
  <si>
    <t>Zone 3 Savings (kWh/yr)</t>
  </si>
  <si>
    <t>w/o tank</t>
  </si>
  <si>
    <t>w /tank</t>
  </si>
  <si>
    <t>Collector Area (sq.ft.)</t>
  </si>
  <si>
    <t>5th Plan Draft 092802</t>
  </si>
  <si>
    <t>Zone 4</t>
  </si>
  <si>
    <t>Zone 5</t>
  </si>
  <si>
    <t xml:space="preserve">Regression fits to OR Tax Credit Savings </t>
  </si>
  <si>
    <t>R:\TE\New Plan\Residential Resource Assessment\MC_AND_LOADSHAPE.XLS</t>
  </si>
  <si>
    <t>ProCost Results, Version 1.70a: JPH 03/07/01, 02:49 PM 10/27/2002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</si>
</sst>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00E+00"/>
    <numFmt numFmtId="180" formatCode="_(* #,##0.0_);_(* \(#,##0.0\);_(* &quot;-&quot;?_);_(@_)"/>
    <numFmt numFmtId="181" formatCode="_(&quot;$&quot;* #,##0.0_);_(&quot;$&quot;* \(#,##0.0\);_(&quot;$&quot;* &quot;-&quot;??_);_(@_)"/>
    <numFmt numFmtId="182" formatCode="0.0000"/>
    <numFmt numFmtId="183" formatCode="0.0000000"/>
    <numFmt numFmtId="184" formatCode="0.00000"/>
  </numFmts>
  <fonts count="39">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8"/>
      <name val="Arial"/>
      <family val="2"/>
    </font>
    <font>
      <b/>
      <sz val="10"/>
      <name val="Tahoma"/>
      <family val="2"/>
    </font>
    <font>
      <sz val="10"/>
      <name val="Tahoma"/>
      <family val="2"/>
    </font>
    <font>
      <b/>
      <i/>
      <sz val="10"/>
      <name val="Arial"/>
      <family val="2"/>
    </font>
    <font>
      <sz val="9"/>
      <name val="Geneva"/>
      <family val="0"/>
    </font>
    <font>
      <b/>
      <sz val="14"/>
      <name val="Arial"/>
      <family val="2"/>
    </font>
    <font>
      <sz val="14"/>
      <name val="Arial"/>
      <family val="2"/>
    </font>
    <font>
      <b/>
      <sz val="9"/>
      <name val="Tahoma"/>
      <family val="2"/>
    </font>
    <font>
      <sz val="9"/>
      <name val="Tahoma"/>
      <family val="2"/>
    </font>
    <font>
      <b/>
      <sz val="18"/>
      <name val="Arial"/>
      <family val="2"/>
    </font>
    <font>
      <sz val="18"/>
      <name val="Arial"/>
      <family val="2"/>
    </font>
    <font>
      <sz val="9"/>
      <name val="Arial"/>
      <family val="2"/>
    </font>
    <font>
      <b/>
      <sz val="9"/>
      <name val="Arial"/>
      <family val="2"/>
    </font>
    <font>
      <vertAlign val="superscript"/>
      <sz val="9"/>
      <name val="Arial"/>
      <family val="2"/>
    </font>
    <font>
      <sz val="9"/>
      <color indexed="8"/>
      <name val="Arial"/>
      <family val="2"/>
    </font>
    <font>
      <vertAlign val="superscript"/>
      <sz val="14.25"/>
      <name val="Arial"/>
      <family val="0"/>
    </font>
    <font>
      <vertAlign val="superscript"/>
      <sz val="15.75"/>
      <name val="Arial"/>
      <family val="0"/>
    </font>
    <font>
      <sz val="14.25"/>
      <name val="Arial"/>
      <family val="0"/>
    </font>
    <font>
      <sz val="12"/>
      <name val="Arial"/>
      <family val="0"/>
    </font>
    <font>
      <sz val="15.75"/>
      <name val="Arial"/>
      <family val="0"/>
    </font>
    <font>
      <b/>
      <sz val="11"/>
      <name val="Arial"/>
      <family val="2"/>
    </font>
  </fonts>
  <fills count="15">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indexed="49"/>
        <bgColor indexed="64"/>
      </patternFill>
    </fill>
  </fills>
  <borders count="45">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medium"/>
      <right style="thin"/>
      <top>
        <color indexed="63"/>
      </top>
      <bottom style="thin"/>
    </border>
    <border>
      <left style="medium"/>
      <right style="thin"/>
      <top style="thin"/>
      <bottom style="thin"/>
    </border>
    <border>
      <left>
        <color indexed="63"/>
      </left>
      <right>
        <color indexed="63"/>
      </right>
      <top style="thin"/>
      <bottom style="thin"/>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thin"/>
      <right style="medium"/>
      <top>
        <color indexed="63"/>
      </top>
      <bottom style="thin"/>
    </border>
    <border>
      <left style="thin"/>
      <right style="medium"/>
      <top style="thin"/>
      <bottom style="thin"/>
    </border>
    <border>
      <left>
        <color indexed="63"/>
      </left>
      <right>
        <color indexed="63"/>
      </right>
      <top style="thin"/>
      <bottom>
        <color indexed="63"/>
      </bottom>
    </border>
    <border>
      <left style="dashed"/>
      <right style="dashed"/>
      <top style="thin"/>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12" fillId="0" borderId="0">
      <alignment/>
      <protection/>
    </xf>
    <xf numFmtId="0" fontId="0" fillId="0" borderId="0">
      <alignment/>
      <protection/>
    </xf>
    <xf numFmtId="0" fontId="22" fillId="0" borderId="0">
      <alignment/>
      <protection/>
    </xf>
    <xf numFmtId="0" fontId="0" fillId="0" borderId="0" applyProtection="0">
      <alignment/>
    </xf>
    <xf numFmtId="9" fontId="0" fillId="0" borderId="0" applyFont="0" applyFill="0" applyBorder="0" applyAlignment="0" applyProtection="0"/>
  </cellStyleXfs>
  <cellXfs count="308">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165" fontId="0" fillId="0" borderId="0" xfId="0" applyNumberFormat="1" applyAlignment="1">
      <alignment/>
    </xf>
    <xf numFmtId="0" fontId="14" fillId="6" borderId="5" xfId="0" applyFont="1" applyFill="1" applyBorder="1" applyAlignment="1">
      <alignment horizontal="centerContinuous" wrapText="1"/>
    </xf>
    <xf numFmtId="0" fontId="14" fillId="6" borderId="6" xfId="0" applyFont="1" applyFill="1" applyBorder="1" applyAlignment="1">
      <alignment horizontal="centerContinuous" wrapText="1"/>
    </xf>
    <xf numFmtId="0" fontId="12" fillId="7" borderId="7" xfId="0" applyFont="1" applyFill="1" applyBorder="1" applyAlignment="1">
      <alignment horizontal="centerContinuous" wrapText="1"/>
    </xf>
    <xf numFmtId="0" fontId="12" fillId="7" borderId="6" xfId="0" applyFont="1" applyFill="1" applyBorder="1" applyAlignment="1">
      <alignment horizontal="centerContinuous" wrapText="1"/>
    </xf>
    <xf numFmtId="165" fontId="12" fillId="7" borderId="7" xfId="0" applyNumberFormat="1" applyFont="1" applyFill="1" applyBorder="1" applyAlignment="1">
      <alignment horizontal="centerContinuous" wrapText="1"/>
    </xf>
    <xf numFmtId="165" fontId="12" fillId="7" borderId="6" xfId="0" applyNumberFormat="1" applyFont="1" applyFill="1" applyBorder="1" applyAlignment="1">
      <alignment horizontal="centerContinuous" wrapText="1"/>
    </xf>
    <xf numFmtId="165" fontId="12" fillId="7" borderId="5"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8" xfId="0" applyFont="1" applyFill="1" applyBorder="1" applyAlignment="1">
      <alignment horizontal="center" wrapText="1"/>
    </xf>
    <xf numFmtId="165" fontId="12" fillId="3" borderId="8"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8" borderId="7" xfId="0" applyFont="1" applyFill="1" applyBorder="1" applyAlignment="1">
      <alignment horizontal="centerContinuous" wrapText="1"/>
    </xf>
    <xf numFmtId="165" fontId="12" fillId="8" borderId="5" xfId="0" applyNumberFormat="1" applyFont="1" applyFill="1" applyBorder="1" applyAlignment="1">
      <alignment horizontal="centerContinuous" wrapText="1"/>
    </xf>
    <xf numFmtId="165" fontId="12" fillId="8" borderId="6" xfId="0" applyNumberFormat="1" applyFont="1" applyFill="1" applyBorder="1" applyAlignment="1">
      <alignment horizontal="centerContinuous" wrapText="1"/>
    </xf>
    <xf numFmtId="0" fontId="12" fillId="2" borderId="7" xfId="0" applyFont="1" applyFill="1" applyBorder="1" applyAlignment="1">
      <alignment horizontal="centerContinuous" wrapText="1"/>
    </xf>
    <xf numFmtId="0" fontId="12" fillId="2" borderId="5" xfId="0" applyFont="1" applyFill="1" applyBorder="1" applyAlignment="1">
      <alignment horizontal="centerContinuous" wrapText="1"/>
    </xf>
    <xf numFmtId="165" fontId="12" fillId="2" borderId="5" xfId="0" applyNumberFormat="1" applyFont="1" applyFill="1" applyBorder="1" applyAlignment="1">
      <alignment horizontal="centerContinuous" wrapText="1"/>
    </xf>
    <xf numFmtId="165" fontId="12" fillId="2" borderId="6"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8" borderId="6" xfId="0" applyFont="1" applyFill="1" applyBorder="1" applyAlignment="1">
      <alignment horizontal="centerContinuous" wrapText="1"/>
    </xf>
    <xf numFmtId="165" fontId="12" fillId="8" borderId="7" xfId="0" applyNumberFormat="1" applyFont="1" applyFill="1" applyBorder="1" applyAlignment="1">
      <alignment horizontal="centerContinuous" wrapText="1"/>
    </xf>
    <xf numFmtId="165" fontId="12" fillId="8" borderId="9" xfId="0" applyNumberFormat="1" applyFont="1" applyFill="1" applyBorder="1" applyAlignment="1">
      <alignment horizontal="centerContinuous" wrapText="1"/>
    </xf>
    <xf numFmtId="0" fontId="18" fillId="9" borderId="10" xfId="0" applyFont="1" applyFill="1" applyBorder="1" applyAlignment="1">
      <alignment horizontal="left" wrapText="1"/>
    </xf>
    <xf numFmtId="0" fontId="18" fillId="9" borderId="11" xfId="0" applyFont="1" applyFill="1" applyBorder="1" applyAlignment="1">
      <alignment horizontal="left" wrapText="1"/>
    </xf>
    <xf numFmtId="0" fontId="17" fillId="0" borderId="0" xfId="0" applyFont="1" applyAlignment="1">
      <alignment/>
    </xf>
    <xf numFmtId="0" fontId="14" fillId="6" borderId="7" xfId="0" applyFont="1" applyFill="1" applyBorder="1" applyAlignment="1">
      <alignment horizontal="left" wrapText="1"/>
    </xf>
    <xf numFmtId="0" fontId="0" fillId="3" borderId="3" xfId="20" applyFont="1" applyBorder="1" applyAlignment="1">
      <alignment/>
      <protection/>
    </xf>
    <xf numFmtId="0" fontId="0" fillId="3" borderId="3" xfId="20" applyFont="1" applyBorder="1" applyAlignment="1">
      <alignment horizontal="left"/>
      <protection/>
    </xf>
    <xf numFmtId="169" fontId="0" fillId="0" borderId="0" xfId="15" applyNumberFormat="1" applyAlignment="1">
      <alignment/>
    </xf>
    <xf numFmtId="0" fontId="17" fillId="0" borderId="0" xfId="0" applyFont="1" applyAlignment="1">
      <alignment/>
    </xf>
    <xf numFmtId="0" fontId="0" fillId="0" borderId="3" xfId="0" applyFont="1" applyBorder="1" applyAlignment="1">
      <alignment/>
    </xf>
    <xf numFmtId="169" fontId="0" fillId="0" borderId="3" xfId="15" applyNumberFormat="1" applyFont="1" applyBorder="1" applyAlignment="1">
      <alignment/>
    </xf>
    <xf numFmtId="0" fontId="0" fillId="0" borderId="12" xfId="0" applyBorder="1" applyAlignment="1">
      <alignment/>
    </xf>
    <xf numFmtId="0" fontId="0" fillId="0" borderId="13" xfId="0" applyBorder="1" applyAlignment="1">
      <alignment/>
    </xf>
    <xf numFmtId="1" fontId="0" fillId="0" borderId="0" xfId="0" applyNumberFormat="1" applyAlignment="1">
      <alignment/>
    </xf>
    <xf numFmtId="0" fontId="0" fillId="0" borderId="3" xfId="0" applyBorder="1" applyAlignment="1">
      <alignment/>
    </xf>
    <xf numFmtId="0" fontId="0" fillId="0" borderId="14" xfId="0" applyBorder="1" applyAlignment="1">
      <alignment/>
    </xf>
    <xf numFmtId="0" fontId="0" fillId="0" borderId="10" xfId="0" applyBorder="1" applyAlignment="1">
      <alignment/>
    </xf>
    <xf numFmtId="9" fontId="0" fillId="0" borderId="0" xfId="27" applyAlignment="1">
      <alignment/>
    </xf>
    <xf numFmtId="2" fontId="17" fillId="10" borderId="3" xfId="0" applyNumberFormat="1" applyFont="1" applyFill="1" applyBorder="1" applyAlignment="1">
      <alignment horizontal="center" wrapText="1"/>
    </xf>
    <xf numFmtId="1" fontId="0" fillId="0" borderId="3" xfId="0" applyNumberFormat="1" applyBorder="1" applyAlignment="1">
      <alignment/>
    </xf>
    <xf numFmtId="168" fontId="0" fillId="0" borderId="3" xfId="0" applyNumberFormat="1" applyBorder="1" applyAlignment="1">
      <alignment/>
    </xf>
    <xf numFmtId="0" fontId="23" fillId="9" borderId="7" xfId="0" applyFont="1" applyFill="1" applyBorder="1" applyAlignment="1">
      <alignment horizontal="centerContinuous" wrapText="1"/>
    </xf>
    <xf numFmtId="0" fontId="23" fillId="9" borderId="5" xfId="0" applyFont="1" applyFill="1" applyBorder="1" applyAlignment="1">
      <alignment horizontal="centerContinuous" wrapText="1"/>
    </xf>
    <xf numFmtId="0" fontId="23" fillId="9" borderId="6" xfId="0" applyFont="1" applyFill="1" applyBorder="1" applyAlignment="1">
      <alignment horizontal="centerContinuous" wrapText="1"/>
    </xf>
    <xf numFmtId="0" fontId="24" fillId="0" borderId="0" xfId="0" applyFont="1" applyAlignment="1">
      <alignment vertical="justify"/>
    </xf>
    <xf numFmtId="0" fontId="17" fillId="9" borderId="10" xfId="0" applyFont="1" applyFill="1" applyBorder="1" applyAlignment="1">
      <alignment horizontal="center" wrapText="1"/>
    </xf>
    <xf numFmtId="0" fontId="17" fillId="9" borderId="11" xfId="0" applyFont="1" applyFill="1" applyBorder="1" applyAlignment="1">
      <alignment horizontal="center" wrapText="1"/>
    </xf>
    <xf numFmtId="0" fontId="17" fillId="9" borderId="5" xfId="0" applyFont="1" applyFill="1" applyBorder="1" applyAlignment="1">
      <alignment horizontal="center" wrapText="1"/>
    </xf>
    <xf numFmtId="0" fontId="17" fillId="9" borderId="15" xfId="0" applyFont="1" applyFill="1" applyBorder="1" applyAlignment="1">
      <alignment horizontal="center" wrapText="1"/>
    </xf>
    <xf numFmtId="0" fontId="17" fillId="9" borderId="16" xfId="0" applyFont="1" applyFill="1" applyBorder="1" applyAlignment="1">
      <alignment horizontal="center" wrapText="1"/>
    </xf>
    <xf numFmtId="0" fontId="0" fillId="0" borderId="0" xfId="0" applyFont="1" applyAlignment="1">
      <alignment vertical="justify"/>
    </xf>
    <xf numFmtId="175" fontId="17" fillId="0" borderId="17" xfId="0" applyNumberFormat="1" applyFont="1" applyBorder="1" applyAlignment="1">
      <alignment horizontal="left" vertical="top" wrapText="1"/>
    </xf>
    <xf numFmtId="175" fontId="0" fillId="0" borderId="18" xfId="0" applyNumberFormat="1" applyFont="1" applyBorder="1" applyAlignment="1">
      <alignment horizontal="left" vertical="top" wrapText="1"/>
    </xf>
    <xf numFmtId="168" fontId="0" fillId="0" borderId="18" xfId="17" applyNumberFormat="1" applyFont="1" applyBorder="1" applyAlignment="1">
      <alignment horizontal="center" vertical="top" wrapText="1"/>
    </xf>
    <xf numFmtId="1" fontId="0" fillId="0" borderId="18" xfId="0" applyNumberFormat="1" applyFont="1" applyBorder="1" applyAlignment="1">
      <alignment horizontal="center" vertical="top" wrapText="1"/>
    </xf>
    <xf numFmtId="2" fontId="0" fillId="0" borderId="18" xfId="0" applyNumberFormat="1" applyFont="1" applyBorder="1" applyAlignment="1">
      <alignment horizontal="center" vertical="top" wrapText="1"/>
    </xf>
    <xf numFmtId="44" fontId="0" fillId="0" borderId="18" xfId="17" applyFont="1" applyBorder="1" applyAlignment="1">
      <alignment horizontal="left" vertical="top" wrapText="1"/>
    </xf>
    <xf numFmtId="0" fontId="0" fillId="0" borderId="3" xfId="0" applyFont="1" applyBorder="1" applyAlignment="1">
      <alignment vertical="top" wrapText="1"/>
    </xf>
    <xf numFmtId="0" fontId="11" fillId="0" borderId="3" xfId="0" applyFont="1" applyBorder="1" applyAlignment="1">
      <alignment vertical="top" wrapText="1"/>
    </xf>
    <xf numFmtId="0" fontId="21" fillId="0" borderId="0" xfId="24" applyFont="1">
      <alignment/>
      <protection/>
    </xf>
    <xf numFmtId="0" fontId="0" fillId="0" borderId="0" xfId="24" applyFont="1">
      <alignment/>
      <protection/>
    </xf>
    <xf numFmtId="5" fontId="0" fillId="0" borderId="0" xfId="24" applyNumberFormat="1" applyFont="1" applyAlignment="1">
      <alignment horizontal="right"/>
      <protection/>
    </xf>
    <xf numFmtId="165" fontId="0" fillId="0" borderId="0" xfId="24" applyNumberFormat="1" applyFont="1">
      <alignment/>
      <protection/>
    </xf>
    <xf numFmtId="0" fontId="11" fillId="0" borderId="0" xfId="24" applyFont="1" applyAlignment="1">
      <alignment horizontal="left"/>
      <protection/>
    </xf>
    <xf numFmtId="0" fontId="6" fillId="4" borderId="19" xfId="24" applyFont="1" applyFill="1" applyBorder="1" applyAlignment="1">
      <alignment horizontal="centerContinuous"/>
      <protection/>
    </xf>
    <xf numFmtId="0" fontId="11" fillId="4" borderId="14" xfId="24" applyFont="1" applyFill="1" applyBorder="1" applyAlignment="1">
      <alignment/>
      <protection/>
    </xf>
    <xf numFmtId="0" fontId="11" fillId="4" borderId="14" xfId="24" applyFont="1" applyFill="1" applyBorder="1" applyAlignment="1">
      <alignment horizontal="centerContinuous"/>
      <protection/>
    </xf>
    <xf numFmtId="0" fontId="11" fillId="4" borderId="8" xfId="24" applyFont="1" applyFill="1" applyBorder="1" applyAlignment="1">
      <alignment horizontal="centerContinuous"/>
      <protection/>
    </xf>
    <xf numFmtId="0" fontId="12" fillId="11" borderId="3" xfId="24" applyFont="1" applyFill="1" applyBorder="1" applyAlignment="1">
      <alignment horizontal="centerContinuous"/>
      <protection/>
    </xf>
    <xf numFmtId="0" fontId="13" fillId="11" borderId="3" xfId="24" applyFont="1" applyFill="1" applyBorder="1" applyAlignment="1">
      <alignment horizontal="centerContinuous"/>
      <protection/>
    </xf>
    <xf numFmtId="0" fontId="0" fillId="0" borderId="10" xfId="0" applyBorder="1" applyAlignment="1">
      <alignment wrapText="1"/>
    </xf>
    <xf numFmtId="0" fontId="0" fillId="0" borderId="20" xfId="0" applyBorder="1" applyAlignment="1">
      <alignment wrapText="1"/>
    </xf>
    <xf numFmtId="0" fontId="0" fillId="0" borderId="20" xfId="0" applyBorder="1" applyAlignment="1">
      <alignment/>
    </xf>
    <xf numFmtId="0" fontId="0" fillId="0" borderId="21" xfId="0" applyBorder="1" applyAlignment="1">
      <alignment wrapText="1"/>
    </xf>
    <xf numFmtId="0" fontId="0" fillId="12" borderId="10" xfId="0" applyFill="1" applyBorder="1" applyAlignment="1">
      <alignment/>
    </xf>
    <xf numFmtId="0" fontId="0" fillId="12" borderId="20" xfId="0" applyFont="1" applyFill="1" applyBorder="1" applyAlignment="1">
      <alignment/>
    </xf>
    <xf numFmtId="169" fontId="0" fillId="12" borderId="20" xfId="15" applyNumberFormat="1" applyFont="1" applyFill="1" applyBorder="1" applyAlignment="1">
      <alignment/>
    </xf>
    <xf numFmtId="9" fontId="0" fillId="12" borderId="20" xfId="27" applyFill="1" applyBorder="1" applyAlignment="1">
      <alignment/>
    </xf>
    <xf numFmtId="169" fontId="0" fillId="12" borderId="20" xfId="15" applyNumberFormat="1" applyFill="1" applyBorder="1" applyAlignment="1">
      <alignment/>
    </xf>
    <xf numFmtId="9" fontId="0" fillId="12" borderId="20" xfId="0" applyNumberFormat="1" applyFill="1" applyBorder="1" applyAlignment="1">
      <alignment/>
    </xf>
    <xf numFmtId="169" fontId="0" fillId="12" borderId="21" xfId="15" applyNumberFormat="1" applyFill="1" applyBorder="1" applyAlignment="1">
      <alignment/>
    </xf>
    <xf numFmtId="0" fontId="0" fillId="9" borderId="22" xfId="0" applyFill="1" applyBorder="1" applyAlignment="1">
      <alignment/>
    </xf>
    <xf numFmtId="0" fontId="0" fillId="9" borderId="23" xfId="0" applyFill="1" applyBorder="1" applyAlignment="1">
      <alignment/>
    </xf>
    <xf numFmtId="169" fontId="0" fillId="9" borderId="23" xfId="15" applyNumberFormat="1" applyFill="1" applyBorder="1" applyAlignment="1">
      <alignment/>
    </xf>
    <xf numFmtId="9" fontId="0" fillId="9" borderId="23" xfId="27" applyFill="1" applyBorder="1" applyAlignment="1">
      <alignment/>
    </xf>
    <xf numFmtId="169" fontId="0" fillId="9" borderId="24" xfId="15" applyNumberFormat="1" applyFill="1" applyBorder="1" applyAlignment="1">
      <alignment/>
    </xf>
    <xf numFmtId="0" fontId="0" fillId="9" borderId="25" xfId="0" applyFill="1" applyBorder="1" applyAlignment="1">
      <alignment/>
    </xf>
    <xf numFmtId="0" fontId="0" fillId="9" borderId="26" xfId="0" applyFill="1" applyBorder="1" applyAlignment="1">
      <alignment/>
    </xf>
    <xf numFmtId="169" fontId="0" fillId="9" borderId="26" xfId="15" applyNumberFormat="1" applyFill="1" applyBorder="1" applyAlignment="1">
      <alignment/>
    </xf>
    <xf numFmtId="9" fontId="0" fillId="9" borderId="26" xfId="27" applyFill="1" applyBorder="1" applyAlignment="1">
      <alignment/>
    </xf>
    <xf numFmtId="169" fontId="0" fillId="9" borderId="26" xfId="0" applyNumberFormat="1" applyFill="1" applyBorder="1" applyAlignment="1">
      <alignment/>
    </xf>
    <xf numFmtId="0" fontId="0" fillId="9" borderId="27" xfId="0" applyFill="1" applyBorder="1" applyAlignment="1">
      <alignment/>
    </xf>
    <xf numFmtId="0" fontId="0" fillId="10" borderId="10" xfId="0" applyFill="1" applyBorder="1" applyAlignment="1">
      <alignment/>
    </xf>
    <xf numFmtId="0" fontId="0" fillId="10" borderId="20" xfId="0" applyFill="1" applyBorder="1" applyAlignment="1">
      <alignment/>
    </xf>
    <xf numFmtId="169" fontId="0" fillId="10" borderId="20" xfId="15" applyNumberFormat="1" applyFill="1" applyBorder="1" applyAlignment="1">
      <alignment/>
    </xf>
    <xf numFmtId="9" fontId="0" fillId="10" borderId="20" xfId="27" applyFill="1" applyBorder="1" applyAlignment="1">
      <alignment/>
    </xf>
    <xf numFmtId="9" fontId="0" fillId="10" borderId="20" xfId="0" applyNumberFormat="1" applyFill="1" applyBorder="1" applyAlignment="1">
      <alignment/>
    </xf>
    <xf numFmtId="169" fontId="0" fillId="10" borderId="21" xfId="15" applyNumberFormat="1" applyFill="1" applyBorder="1" applyAlignment="1">
      <alignment/>
    </xf>
    <xf numFmtId="0" fontId="0" fillId="2" borderId="10" xfId="0" applyFill="1" applyBorder="1" applyAlignment="1">
      <alignment/>
    </xf>
    <xf numFmtId="0" fontId="0" fillId="2" borderId="20" xfId="0" applyFill="1" applyBorder="1" applyAlignment="1">
      <alignment/>
    </xf>
    <xf numFmtId="169" fontId="0" fillId="2" borderId="20" xfId="15" applyNumberFormat="1" applyFill="1" applyBorder="1" applyAlignment="1">
      <alignment/>
    </xf>
    <xf numFmtId="9" fontId="0" fillId="2" borderId="20" xfId="27" applyFill="1" applyBorder="1" applyAlignment="1">
      <alignment/>
    </xf>
    <xf numFmtId="9" fontId="0" fillId="2" borderId="20" xfId="0" applyNumberFormat="1" applyFill="1" applyBorder="1" applyAlignment="1">
      <alignment/>
    </xf>
    <xf numFmtId="169" fontId="0" fillId="2" borderId="21" xfId="15" applyNumberFormat="1" applyFill="1" applyBorder="1" applyAlignment="1">
      <alignment/>
    </xf>
    <xf numFmtId="0" fontId="0" fillId="0" borderId="22" xfId="0" applyBorder="1" applyAlignment="1">
      <alignment/>
    </xf>
    <xf numFmtId="0" fontId="0" fillId="0" borderId="23" xfId="0" applyBorder="1" applyAlignment="1">
      <alignment/>
    </xf>
    <xf numFmtId="169" fontId="0" fillId="0" borderId="23" xfId="15" applyNumberFormat="1" applyBorder="1" applyAlignment="1">
      <alignment/>
    </xf>
    <xf numFmtId="9" fontId="0" fillId="0" borderId="23" xfId="27" applyBorder="1" applyAlignment="1">
      <alignment/>
    </xf>
    <xf numFmtId="169" fontId="0" fillId="0" borderId="24" xfId="15" applyNumberFormat="1" applyBorder="1" applyAlignment="1">
      <alignment/>
    </xf>
    <xf numFmtId="0" fontId="0" fillId="0" borderId="25" xfId="0" applyBorder="1" applyAlignment="1">
      <alignment/>
    </xf>
    <xf numFmtId="0" fontId="0" fillId="0" borderId="26" xfId="0" applyBorder="1" applyAlignment="1">
      <alignment/>
    </xf>
    <xf numFmtId="169" fontId="0" fillId="0" borderId="26" xfId="15" applyNumberFormat="1" applyBorder="1" applyAlignment="1">
      <alignment/>
    </xf>
    <xf numFmtId="9" fontId="0" fillId="0" borderId="26" xfId="27" applyBorder="1" applyAlignment="1">
      <alignment/>
    </xf>
    <xf numFmtId="169" fontId="0" fillId="0" borderId="26" xfId="0" applyNumberFormat="1" applyBorder="1" applyAlignment="1">
      <alignment/>
    </xf>
    <xf numFmtId="0" fontId="0" fillId="0" borderId="27" xfId="0" applyBorder="1" applyAlignment="1">
      <alignment/>
    </xf>
    <xf numFmtId="0" fontId="23" fillId="0" borderId="0" xfId="0" applyFont="1" applyAlignment="1">
      <alignment/>
    </xf>
    <xf numFmtId="14" fontId="0" fillId="0" borderId="0" xfId="0" applyNumberFormat="1" applyAlignment="1">
      <alignment/>
    </xf>
    <xf numFmtId="0" fontId="0" fillId="0" borderId="0" xfId="0" applyFont="1" applyAlignment="1">
      <alignment wrapText="1"/>
    </xf>
    <xf numFmtId="169" fontId="17" fillId="3" borderId="3" xfId="15" applyNumberFormat="1" applyFont="1" applyFill="1" applyBorder="1" applyAlignment="1">
      <alignment wrapText="1"/>
    </xf>
    <xf numFmtId="3" fontId="0" fillId="0" borderId="3" xfId="25" applyNumberFormat="1" applyFont="1" applyBorder="1">
      <alignment/>
      <protection/>
    </xf>
    <xf numFmtId="3" fontId="0" fillId="0" borderId="3" xfId="25" applyNumberFormat="1" applyFont="1" applyFill="1" applyBorder="1">
      <alignment/>
      <protection/>
    </xf>
    <xf numFmtId="10" fontId="0" fillId="0" borderId="0" xfId="27" applyNumberFormat="1" applyAlignment="1">
      <alignment/>
    </xf>
    <xf numFmtId="10" fontId="0" fillId="0" borderId="3" xfId="27" applyNumberFormat="1" applyFont="1" applyBorder="1" applyAlignment="1">
      <alignment/>
    </xf>
    <xf numFmtId="1" fontId="0" fillId="13" borderId="3" xfId="27" applyNumberFormat="1" applyFont="1" applyFill="1" applyBorder="1" applyAlignment="1">
      <alignment horizontal="center"/>
    </xf>
    <xf numFmtId="10" fontId="0" fillId="0" borderId="3" xfId="27" applyNumberFormat="1" applyBorder="1" applyAlignment="1">
      <alignment/>
    </xf>
    <xf numFmtId="9" fontId="0" fillId="0" borderId="0" xfId="0" applyNumberFormat="1" applyAlignment="1">
      <alignment/>
    </xf>
    <xf numFmtId="166" fontId="0" fillId="0" borderId="0" xfId="0" applyNumberFormat="1" applyFont="1" applyAlignment="1">
      <alignment/>
    </xf>
    <xf numFmtId="43" fontId="0" fillId="0" borderId="0" xfId="0" applyNumberFormat="1" applyAlignment="1">
      <alignment/>
    </xf>
    <xf numFmtId="0" fontId="23" fillId="0" borderId="0" xfId="26" applyFont="1">
      <alignment/>
    </xf>
    <xf numFmtId="0" fontId="0" fillId="0" borderId="0" xfId="26">
      <alignment/>
    </xf>
    <xf numFmtId="0" fontId="0" fillId="0" borderId="9" xfId="26" applyFont="1" applyBorder="1">
      <alignment/>
    </xf>
    <xf numFmtId="9" fontId="0" fillId="0" borderId="28" xfId="26" applyNumberFormat="1" applyBorder="1">
      <alignment/>
    </xf>
    <xf numFmtId="9" fontId="0" fillId="0" borderId="29" xfId="26" applyNumberFormat="1" applyBorder="1">
      <alignment/>
    </xf>
    <xf numFmtId="9" fontId="0" fillId="0" borderId="0" xfId="26" applyNumberFormat="1">
      <alignment/>
    </xf>
    <xf numFmtId="0" fontId="0" fillId="0" borderId="30" xfId="26" applyFont="1" applyBorder="1">
      <alignment/>
    </xf>
    <xf numFmtId="0" fontId="0" fillId="0" borderId="11" xfId="0" applyBorder="1" applyAlignment="1">
      <alignment/>
    </xf>
    <xf numFmtId="0" fontId="0" fillId="0" borderId="9" xfId="0" applyBorder="1" applyAlignment="1">
      <alignment/>
    </xf>
    <xf numFmtId="0" fontId="0" fillId="3" borderId="22" xfId="26" applyFill="1" applyBorder="1">
      <alignment/>
    </xf>
    <xf numFmtId="0" fontId="0" fillId="3" borderId="23" xfId="26" applyFont="1" applyFill="1" applyBorder="1" applyAlignment="1">
      <alignment wrapText="1"/>
    </xf>
    <xf numFmtId="0" fontId="0" fillId="3" borderId="24" xfId="26" applyFont="1" applyFill="1" applyBorder="1" applyAlignment="1">
      <alignment wrapText="1"/>
    </xf>
    <xf numFmtId="0" fontId="0" fillId="0" borderId="31" xfId="0" applyBorder="1" applyAlignment="1">
      <alignment/>
    </xf>
    <xf numFmtId="0" fontId="0" fillId="0" borderId="13" xfId="26" applyBorder="1">
      <alignment/>
    </xf>
    <xf numFmtId="0" fontId="0" fillId="0" borderId="3" xfId="26" applyBorder="1">
      <alignment/>
    </xf>
    <xf numFmtId="0" fontId="0" fillId="0" borderId="32" xfId="26" applyBorder="1">
      <alignment/>
    </xf>
    <xf numFmtId="0" fontId="17" fillId="0" borderId="13" xfId="0" applyFont="1" applyBorder="1" applyAlignment="1">
      <alignment horizontal="right"/>
    </xf>
    <xf numFmtId="169" fontId="0" fillId="0" borderId="32" xfId="15" applyNumberFormat="1" applyBorder="1" applyAlignment="1">
      <alignment horizontal="center"/>
    </xf>
    <xf numFmtId="169" fontId="0" fillId="0" borderId="14" xfId="15" applyNumberFormat="1" applyBorder="1" applyAlignment="1">
      <alignment horizontal="center"/>
    </xf>
    <xf numFmtId="169" fontId="0" fillId="0" borderId="3" xfId="15" applyNumberFormat="1" applyBorder="1" applyAlignment="1">
      <alignment/>
    </xf>
    <xf numFmtId="169" fontId="0" fillId="0" borderId="32" xfId="15" applyNumberFormat="1" applyBorder="1" applyAlignment="1">
      <alignment/>
    </xf>
    <xf numFmtId="0" fontId="0" fillId="0" borderId="13" xfId="0" applyBorder="1" applyAlignment="1">
      <alignment horizontal="center"/>
    </xf>
    <xf numFmtId="0" fontId="0" fillId="0" borderId="32" xfId="0" applyBorder="1" applyAlignment="1">
      <alignment horizontal="center"/>
    </xf>
    <xf numFmtId="0" fontId="0" fillId="0" borderId="14" xfId="0" applyBorder="1" applyAlignment="1">
      <alignment horizontal="center"/>
    </xf>
    <xf numFmtId="9" fontId="0" fillId="0" borderId="32" xfId="27" applyBorder="1" applyAlignment="1">
      <alignment horizontal="center"/>
    </xf>
    <xf numFmtId="9" fontId="0" fillId="0" borderId="14" xfId="27" applyBorder="1" applyAlignment="1">
      <alignment horizontal="center"/>
    </xf>
    <xf numFmtId="9" fontId="0" fillId="0" borderId="3" xfId="27" applyBorder="1" applyAlignment="1">
      <alignment/>
    </xf>
    <xf numFmtId="9" fontId="0" fillId="0" borderId="32" xfId="27" applyBorder="1" applyAlignment="1">
      <alignment/>
    </xf>
    <xf numFmtId="1" fontId="0" fillId="0" borderId="32" xfId="0" applyNumberFormat="1" applyBorder="1" applyAlignment="1">
      <alignment/>
    </xf>
    <xf numFmtId="1" fontId="0" fillId="0" borderId="14" xfId="0" applyNumberFormat="1" applyBorder="1" applyAlignment="1">
      <alignment/>
    </xf>
    <xf numFmtId="2" fontId="0" fillId="0" borderId="32" xfId="0" applyNumberFormat="1" applyBorder="1" applyAlignment="1">
      <alignment horizontal="center"/>
    </xf>
    <xf numFmtId="2" fontId="0" fillId="0" borderId="14" xfId="0" applyNumberFormat="1" applyBorder="1" applyAlignment="1">
      <alignment horizontal="center"/>
    </xf>
    <xf numFmtId="43" fontId="0" fillId="0" borderId="3" xfId="15" applyNumberFormat="1" applyBorder="1" applyAlignment="1">
      <alignment/>
    </xf>
    <xf numFmtId="43" fontId="0" fillId="0" borderId="32" xfId="15" applyNumberFormat="1" applyBorder="1" applyAlignment="1">
      <alignment/>
    </xf>
    <xf numFmtId="165" fontId="0" fillId="0" borderId="32" xfId="0" applyNumberFormat="1" applyBorder="1" applyAlignment="1">
      <alignment horizontal="center"/>
    </xf>
    <xf numFmtId="165" fontId="0" fillId="0" borderId="14" xfId="0" applyNumberFormat="1" applyBorder="1" applyAlignment="1">
      <alignment horizontal="center"/>
    </xf>
    <xf numFmtId="169" fontId="0" fillId="0" borderId="32" xfId="15" applyNumberFormat="1" applyBorder="1" applyAlignment="1">
      <alignment horizontal="right"/>
    </xf>
    <xf numFmtId="169" fontId="0" fillId="0" borderId="14" xfId="15" applyNumberFormat="1" applyBorder="1" applyAlignment="1">
      <alignment horizontal="right"/>
    </xf>
    <xf numFmtId="2" fontId="0" fillId="0" borderId="32" xfId="0" applyNumberFormat="1" applyBorder="1" applyAlignment="1">
      <alignment horizontal="right"/>
    </xf>
    <xf numFmtId="2" fontId="0" fillId="0" borderId="14" xfId="0" applyNumberFormat="1" applyBorder="1" applyAlignment="1">
      <alignment horizontal="right"/>
    </xf>
    <xf numFmtId="165" fontId="0" fillId="0" borderId="32" xfId="0" applyNumberFormat="1" applyBorder="1" applyAlignment="1">
      <alignment horizontal="right"/>
    </xf>
    <xf numFmtId="165" fontId="0" fillId="0" borderId="14" xfId="0" applyNumberFormat="1" applyBorder="1" applyAlignment="1">
      <alignment horizontal="right"/>
    </xf>
    <xf numFmtId="0" fontId="17" fillId="0" borderId="13" xfId="0" applyFont="1" applyBorder="1" applyAlignment="1">
      <alignment/>
    </xf>
    <xf numFmtId="0" fontId="0" fillId="0" borderId="32" xfId="0" applyBorder="1" applyAlignment="1">
      <alignment horizontal="right"/>
    </xf>
    <xf numFmtId="0" fontId="0" fillId="0" borderId="14" xfId="0" applyBorder="1" applyAlignment="1">
      <alignment horizontal="right"/>
    </xf>
    <xf numFmtId="179" fontId="17" fillId="0" borderId="13" xfId="0" applyNumberFormat="1" applyFont="1" applyBorder="1" applyAlignment="1">
      <alignment horizontal="right"/>
    </xf>
    <xf numFmtId="2" fontId="0" fillId="0" borderId="33" xfId="0" applyNumberFormat="1" applyBorder="1" applyAlignment="1">
      <alignment horizontal="right"/>
    </xf>
    <xf numFmtId="0" fontId="17" fillId="0" borderId="25" xfId="0" applyFont="1" applyBorder="1" applyAlignment="1">
      <alignment horizontal="right"/>
    </xf>
    <xf numFmtId="0" fontId="0" fillId="0" borderId="27" xfId="0" applyBorder="1" applyAlignment="1">
      <alignment horizontal="right"/>
    </xf>
    <xf numFmtId="0" fontId="0" fillId="0" borderId="0" xfId="0" applyBorder="1" applyAlignment="1">
      <alignment horizontal="right"/>
    </xf>
    <xf numFmtId="0" fontId="0" fillId="0" borderId="26" xfId="26" applyBorder="1">
      <alignment/>
    </xf>
    <xf numFmtId="0" fontId="0" fillId="0" borderId="27" xfId="26" applyBorder="1">
      <alignment/>
    </xf>
    <xf numFmtId="0" fontId="17" fillId="14" borderId="34" xfId="26" applyFont="1" applyFill="1" applyBorder="1" applyAlignment="1">
      <alignment horizontal="center" wrapText="1"/>
    </xf>
    <xf numFmtId="166" fontId="0" fillId="0" borderId="0" xfId="26" applyNumberFormat="1">
      <alignment/>
    </xf>
    <xf numFmtId="0" fontId="12" fillId="13" borderId="35" xfId="24" applyFont="1" applyFill="1" applyBorder="1" applyAlignment="1">
      <alignment horizontal="center" wrapText="1"/>
      <protection/>
    </xf>
    <xf numFmtId="0" fontId="12" fillId="13" borderId="36" xfId="24" applyFont="1" applyFill="1" applyBorder="1" applyAlignment="1">
      <alignment horizontal="center" wrapText="1"/>
      <protection/>
    </xf>
    <xf numFmtId="0" fontId="0" fillId="0" borderId="37" xfId="0" applyFont="1" applyBorder="1" applyAlignment="1">
      <alignment/>
    </xf>
    <xf numFmtId="0" fontId="0" fillId="0" borderId="28" xfId="0" applyFont="1" applyBorder="1" applyAlignment="1">
      <alignment/>
    </xf>
    <xf numFmtId="169" fontId="0" fillId="0" borderId="28" xfId="15" applyNumberFormat="1" applyFont="1" applyBorder="1" applyAlignment="1">
      <alignment/>
    </xf>
    <xf numFmtId="168" fontId="0" fillId="0" borderId="28" xfId="17" applyNumberFormat="1" applyFont="1" applyBorder="1" applyAlignment="1">
      <alignment/>
    </xf>
    <xf numFmtId="0" fontId="0" fillId="0" borderId="28" xfId="24" applyFont="1" applyBorder="1">
      <alignment/>
      <protection/>
    </xf>
    <xf numFmtId="165" fontId="0" fillId="0" borderId="28" xfId="0" applyNumberFormat="1" applyFont="1" applyBorder="1" applyAlignment="1">
      <alignment/>
    </xf>
    <xf numFmtId="165" fontId="11" fillId="0" borderId="28" xfId="0" applyNumberFormat="1" applyFont="1" applyBorder="1" applyAlignment="1">
      <alignment/>
    </xf>
    <xf numFmtId="165" fontId="11" fillId="0" borderId="29" xfId="0" applyNumberFormat="1" applyFont="1" applyBorder="1" applyAlignment="1">
      <alignment/>
    </xf>
    <xf numFmtId="0" fontId="0" fillId="0" borderId="38" xfId="0" applyFont="1" applyBorder="1" applyAlignment="1">
      <alignment/>
    </xf>
    <xf numFmtId="169" fontId="0" fillId="0" borderId="0" xfId="15" applyNumberFormat="1" applyFont="1" applyBorder="1" applyAlignment="1">
      <alignment/>
    </xf>
    <xf numFmtId="168" fontId="0" fillId="0" borderId="0" xfId="17" applyNumberFormat="1" applyFont="1" applyBorder="1" applyAlignment="1">
      <alignment/>
    </xf>
    <xf numFmtId="0" fontId="0" fillId="0" borderId="0" xfId="24" applyFont="1" applyBorder="1">
      <alignment/>
      <protection/>
    </xf>
    <xf numFmtId="165" fontId="0" fillId="0" borderId="0" xfId="0" applyNumberFormat="1" applyFont="1" applyBorder="1" applyAlignment="1">
      <alignment/>
    </xf>
    <xf numFmtId="165" fontId="11" fillId="0" borderId="0" xfId="0" applyNumberFormat="1" applyFont="1" applyBorder="1" applyAlignment="1">
      <alignment/>
    </xf>
    <xf numFmtId="165" fontId="11" fillId="0" borderId="39" xfId="0" applyNumberFormat="1" applyFont="1" applyBorder="1" applyAlignment="1">
      <alignment/>
    </xf>
    <xf numFmtId="0" fontId="0" fillId="0" borderId="40" xfId="0" applyFont="1" applyBorder="1" applyAlignment="1">
      <alignment/>
    </xf>
    <xf numFmtId="0" fontId="0" fillId="0" borderId="41" xfId="0" applyFont="1" applyBorder="1" applyAlignment="1">
      <alignment/>
    </xf>
    <xf numFmtId="169" fontId="0" fillId="0" borderId="41" xfId="15" applyNumberFormat="1" applyFont="1" applyBorder="1" applyAlignment="1">
      <alignment/>
    </xf>
    <xf numFmtId="168" fontId="0" fillId="0" borderId="41" xfId="17" applyNumberFormat="1" applyFont="1" applyBorder="1" applyAlignment="1">
      <alignment/>
    </xf>
    <xf numFmtId="0" fontId="0" fillId="0" borderId="41" xfId="24" applyFont="1" applyBorder="1">
      <alignment/>
      <protection/>
    </xf>
    <xf numFmtId="165" fontId="0" fillId="0" borderId="41" xfId="0" applyNumberFormat="1" applyFont="1" applyBorder="1" applyAlignment="1">
      <alignment/>
    </xf>
    <xf numFmtId="165" fontId="11" fillId="0" borderId="41" xfId="0" applyNumberFormat="1" applyFont="1" applyBorder="1" applyAlignment="1">
      <alignment/>
    </xf>
    <xf numFmtId="165" fontId="11" fillId="0" borderId="42" xfId="0" applyNumberFormat="1" applyFont="1" applyBorder="1" applyAlignment="1">
      <alignment/>
    </xf>
    <xf numFmtId="169" fontId="0" fillId="0" borderId="0" xfId="15" applyNumberFormat="1" applyFont="1" applyAlignment="1">
      <alignment/>
    </xf>
    <xf numFmtId="0" fontId="0" fillId="0" borderId="8" xfId="0" applyFont="1" applyBorder="1" applyAlignment="1">
      <alignment/>
    </xf>
    <xf numFmtId="169" fontId="0" fillId="0" borderId="0" xfId="0" applyNumberFormat="1" applyFont="1" applyAlignment="1">
      <alignment/>
    </xf>
    <xf numFmtId="0" fontId="0" fillId="0" borderId="8" xfId="0" applyBorder="1" applyAlignment="1">
      <alignment/>
    </xf>
    <xf numFmtId="164" fontId="0" fillId="0" borderId="0" xfId="27" applyNumberFormat="1" applyFont="1" applyAlignment="1">
      <alignment/>
    </xf>
    <xf numFmtId="164" fontId="0" fillId="0" borderId="3" xfId="0" applyNumberFormat="1" applyFont="1" applyBorder="1" applyAlignment="1">
      <alignment/>
    </xf>
    <xf numFmtId="169" fontId="17" fillId="3" borderId="3" xfId="15" applyNumberFormat="1" applyFont="1" applyFill="1" applyBorder="1" applyAlignment="1">
      <alignment horizontal="center" wrapText="1"/>
    </xf>
    <xf numFmtId="0" fontId="0" fillId="0" borderId="13" xfId="0" applyFont="1" applyBorder="1" applyAlignment="1">
      <alignment/>
    </xf>
    <xf numFmtId="164" fontId="0" fillId="0" borderId="32" xfId="0" applyNumberFormat="1" applyFont="1" applyBorder="1" applyAlignment="1">
      <alignment/>
    </xf>
    <xf numFmtId="0" fontId="0" fillId="0" borderId="25" xfId="0" applyFont="1" applyBorder="1" applyAlignment="1">
      <alignment/>
    </xf>
    <xf numFmtId="164" fontId="0" fillId="0" borderId="26" xfId="0" applyNumberFormat="1" applyFont="1" applyBorder="1" applyAlignment="1">
      <alignment/>
    </xf>
    <xf numFmtId="164" fontId="0" fillId="0" borderId="27" xfId="0" applyNumberFormat="1" applyFont="1" applyBorder="1" applyAlignment="1">
      <alignment/>
    </xf>
    <xf numFmtId="169" fontId="0" fillId="0" borderId="26" xfId="15" applyNumberFormat="1" applyFont="1" applyBorder="1" applyAlignment="1">
      <alignment/>
    </xf>
    <xf numFmtId="169" fontId="17" fillId="3" borderId="16" xfId="15" applyNumberFormat="1" applyFont="1" applyFill="1" applyBorder="1" applyAlignment="1">
      <alignment horizontal="center" wrapText="1"/>
    </xf>
    <xf numFmtId="169" fontId="0" fillId="12" borderId="9" xfId="15" applyNumberFormat="1" applyFont="1" applyFill="1" applyBorder="1" applyAlignment="1">
      <alignment/>
    </xf>
    <xf numFmtId="0" fontId="0" fillId="10" borderId="43" xfId="0" applyFont="1" applyFill="1" applyBorder="1" applyAlignment="1">
      <alignment/>
    </xf>
    <xf numFmtId="0" fontId="0" fillId="10" borderId="9" xfId="0" applyFont="1" applyFill="1" applyBorder="1" applyAlignment="1">
      <alignment/>
    </xf>
    <xf numFmtId="0" fontId="0" fillId="0" borderId="12" xfId="0" applyFont="1" applyBorder="1" applyAlignment="1">
      <alignment/>
    </xf>
    <xf numFmtId="169" fontId="0" fillId="0" borderId="17" xfId="15" applyNumberFormat="1" applyFont="1" applyBorder="1" applyAlignment="1">
      <alignment/>
    </xf>
    <xf numFmtId="164" fontId="0" fillId="0" borderId="17" xfId="0" applyNumberFormat="1" applyFont="1" applyBorder="1" applyAlignment="1">
      <alignment/>
    </xf>
    <xf numFmtId="164" fontId="0" fillId="0" borderId="31" xfId="0" applyNumberFormat="1" applyFont="1" applyBorder="1" applyAlignment="1">
      <alignment/>
    </xf>
    <xf numFmtId="169" fontId="17" fillId="3" borderId="10" xfId="15" applyNumberFormat="1" applyFont="1" applyFill="1" applyBorder="1" applyAlignment="1">
      <alignment wrapText="1"/>
    </xf>
    <xf numFmtId="169" fontId="17" fillId="3" borderId="20" xfId="15" applyNumberFormat="1" applyFont="1" applyFill="1" applyBorder="1" applyAlignment="1">
      <alignment horizontal="center" wrapText="1"/>
    </xf>
    <xf numFmtId="169" fontId="17" fillId="3" borderId="21" xfId="15" applyNumberFormat="1" applyFont="1" applyFill="1" applyBorder="1" applyAlignment="1">
      <alignment horizontal="center" wrapText="1"/>
    </xf>
    <xf numFmtId="0" fontId="27" fillId="0" borderId="0" xfId="0" applyFont="1" applyAlignment="1">
      <alignment/>
    </xf>
    <xf numFmtId="0" fontId="28" fillId="0" borderId="0" xfId="0" applyFont="1" applyAlignment="1">
      <alignment/>
    </xf>
    <xf numFmtId="0" fontId="27" fillId="0" borderId="0" xfId="0" applyFont="1" applyAlignment="1">
      <alignment horizontal="center"/>
    </xf>
    <xf numFmtId="0" fontId="28" fillId="0" borderId="0" xfId="0" applyFont="1" applyAlignment="1">
      <alignment horizontal="center"/>
    </xf>
    <xf numFmtId="0" fontId="0" fillId="0" borderId="0" xfId="0" applyFont="1" applyAlignment="1">
      <alignment horizontal="center"/>
    </xf>
    <xf numFmtId="0" fontId="17" fillId="0" borderId="0" xfId="0" applyFont="1" applyAlignment="1">
      <alignment horizontal="right"/>
    </xf>
    <xf numFmtId="0" fontId="28" fillId="0" borderId="0" xfId="0" applyFont="1" applyAlignment="1">
      <alignment horizontal="left"/>
    </xf>
    <xf numFmtId="0" fontId="29" fillId="0" borderId="0" xfId="0" applyFont="1" applyAlignment="1">
      <alignment/>
    </xf>
    <xf numFmtId="0" fontId="29" fillId="0" borderId="0" xfId="0" applyFont="1" applyAlignment="1">
      <alignment horizontal="center"/>
    </xf>
    <xf numFmtId="0" fontId="0" fillId="0" borderId="44" xfId="0" applyFont="1" applyBorder="1" applyAlignment="1">
      <alignment/>
    </xf>
    <xf numFmtId="0" fontId="29" fillId="0" borderId="44" xfId="0" applyFont="1" applyBorder="1" applyAlignment="1">
      <alignment/>
    </xf>
    <xf numFmtId="0" fontId="29" fillId="0" borderId="44" xfId="0" applyFont="1" applyBorder="1" applyAlignment="1">
      <alignment horizontal="center"/>
    </xf>
    <xf numFmtId="0" fontId="30" fillId="0" borderId="44" xfId="0" applyFont="1" applyBorder="1" applyAlignment="1">
      <alignment horizontal="center"/>
    </xf>
    <xf numFmtId="0" fontId="12" fillId="13" borderId="0" xfId="23" applyFont="1" applyFill="1">
      <alignment/>
      <protection/>
    </xf>
    <xf numFmtId="0" fontId="12" fillId="13" borderId="0" xfId="23" applyFont="1" applyFill="1" applyAlignment="1">
      <alignment horizontal="center"/>
      <protection/>
    </xf>
    <xf numFmtId="0" fontId="0" fillId="13" borderId="0" xfId="0" applyFont="1" applyFill="1" applyAlignment="1">
      <alignment horizontal="center"/>
    </xf>
    <xf numFmtId="0" fontId="12" fillId="0" borderId="0" xfId="23" applyFont="1">
      <alignment/>
      <protection/>
    </xf>
    <xf numFmtId="0" fontId="12" fillId="0" borderId="0" xfId="23" applyFont="1" applyFill="1" applyAlignment="1">
      <alignment horizontal="left"/>
      <protection/>
    </xf>
    <xf numFmtId="0" fontId="12" fillId="0" borderId="0" xfId="23" applyFont="1" applyFill="1" applyAlignment="1">
      <alignment horizontal="center"/>
      <protection/>
    </xf>
    <xf numFmtId="0" fontId="0" fillId="0" borderId="0" xfId="0" applyFont="1" applyAlignment="1">
      <alignment horizontal="left"/>
    </xf>
    <xf numFmtId="0" fontId="32" fillId="0" borderId="0" xfId="23" applyFont="1" applyFill="1" applyAlignment="1">
      <alignment horizontal="center"/>
      <protection/>
    </xf>
    <xf numFmtId="0" fontId="12" fillId="0" borderId="0" xfId="23" applyFont="1" applyAlignment="1">
      <alignment horizontal="center"/>
      <protection/>
    </xf>
    <xf numFmtId="0" fontId="0" fillId="12" borderId="3" xfId="0" applyFont="1" applyFill="1" applyBorder="1" applyAlignment="1">
      <alignment/>
    </xf>
    <xf numFmtId="0" fontId="0" fillId="13" borderId="0" xfId="0" applyFont="1" applyFill="1" applyAlignment="1">
      <alignment horizontal="left"/>
    </xf>
    <xf numFmtId="0" fontId="0" fillId="3" borderId="3" xfId="0" applyFill="1" applyBorder="1" applyAlignment="1">
      <alignment wrapText="1"/>
    </xf>
    <xf numFmtId="169" fontId="0" fillId="0" borderId="0" xfId="15" applyNumberFormat="1" applyAlignment="1">
      <alignment/>
    </xf>
    <xf numFmtId="0" fontId="12" fillId="13" borderId="3" xfId="24" applyFont="1" applyFill="1" applyBorder="1" applyAlignment="1">
      <alignment horizontal="center" wrapText="1"/>
      <protection/>
    </xf>
    <xf numFmtId="0" fontId="23" fillId="9" borderId="7" xfId="0" applyFont="1" applyFill="1" applyBorder="1" applyAlignment="1">
      <alignment horizontal="center" wrapText="1"/>
    </xf>
    <xf numFmtId="0" fontId="23" fillId="9" borderId="5" xfId="0" applyFont="1" applyFill="1" applyBorder="1" applyAlignment="1">
      <alignment horizontal="center" wrapText="1"/>
    </xf>
    <xf numFmtId="0" fontId="23" fillId="9" borderId="6" xfId="0" applyFont="1" applyFill="1" applyBorder="1" applyAlignment="1">
      <alignment horizontal="center" wrapText="1"/>
    </xf>
    <xf numFmtId="0" fontId="0" fillId="2" borderId="19" xfId="19" applyFont="1" applyBorder="1" applyAlignment="1">
      <alignment horizontal="left" vertical="center" wrapText="1"/>
      <protection/>
    </xf>
    <xf numFmtId="0" fontId="0" fillId="2" borderId="14" xfId="19" applyFont="1" applyBorder="1" applyAlignment="1">
      <alignment horizontal="left" vertical="center" wrapText="1"/>
      <protection/>
    </xf>
    <xf numFmtId="0" fontId="0" fillId="2" borderId="8" xfId="19" applyFont="1" applyBorder="1" applyAlignment="1">
      <alignment horizontal="left" vertical="center" wrapText="1"/>
      <protection/>
    </xf>
    <xf numFmtId="0" fontId="30" fillId="0" borderId="0" xfId="0" applyFont="1" applyAlignment="1">
      <alignment horizontal="center"/>
    </xf>
    <xf numFmtId="0" fontId="0" fillId="0" borderId="0" xfId="0" applyFont="1" applyAlignment="1">
      <alignment horizontal="center"/>
    </xf>
    <xf numFmtId="0" fontId="38" fillId="9" borderId="43" xfId="0" applyFont="1" applyFill="1" applyBorder="1" applyAlignment="1">
      <alignment horizontal="center" wrapText="1"/>
    </xf>
    <xf numFmtId="165" fontId="0" fillId="0" borderId="3" xfId="0" applyNumberFormat="1" applyBorder="1" applyAlignment="1">
      <alignment/>
    </xf>
  </cellXfs>
  <cellStyles count="14">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0G300 Systems" xfId="23"/>
    <cellStyle name="Normal_GeoHP" xfId="24"/>
    <cellStyle name="Normal_IdahoCityCountyPop" xfId="25"/>
    <cellStyle name="Normal_SOLAR RWH PROD ASSMPT (080800)" xfId="26"/>
    <cellStyle name="Percent"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2"/>
          <c:order val="0"/>
          <c:tx>
            <c:v>Zone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
            </c:trendlineLbl>
          </c:trendline>
          <c:xVal>
            <c:numRef>
              <c:f>'Regression Fix OR Data'!$A$3:$A$95</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xVal>
          <c:yVal>
            <c:numRef>
              <c:f>'Regression Fix OR Data'!$D$3:$D$95</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yVal>
          <c:smooth val="0"/>
        </c:ser>
        <c:ser>
          <c:idx val="3"/>
          <c:order val="1"/>
          <c:tx>
            <c:v>Zone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1"/>
            <c:trendlineLbl>
              <c:layout>
                <c:manualLayout>
                  <c:x val="0"/>
                  <c:y val="0"/>
                </c:manualLayout>
              </c:layout>
              <c:numFmt formatCode="0.00000"/>
            </c:trendlineLbl>
          </c:trendline>
          <c:xVal>
            <c:numRef>
              <c:f>'Regression Fix OR Data'!$A$3:$A$95</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xVal>
          <c:yVal>
            <c:numRef>
              <c:f>'Regression Fix OR Data'!$E$3:$E$95</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yVal>
          <c:smooth val="0"/>
        </c:ser>
        <c:ser>
          <c:idx val="0"/>
          <c:order val="2"/>
          <c:tx>
            <c:v>Zone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poly"/>
            <c:order val="3"/>
            <c:dispEq val="1"/>
            <c:dispRSqr val="1"/>
            <c:trendlineLbl>
              <c:layout>
                <c:manualLayout>
                  <c:x val="0"/>
                  <c:y val="0"/>
                </c:manualLayout>
              </c:layout>
              <c:numFmt formatCode="0.00000"/>
            </c:trendlineLbl>
          </c:trendline>
          <c:xVal>
            <c:numRef>
              <c:f>'Regression Fix OR Data'!$A$3:$A$95</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xVal>
          <c:yVal>
            <c:numRef>
              <c:f>'Regression Fix OR Data'!$C$3:$C$95</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yVal>
          <c:smooth val="0"/>
        </c:ser>
        <c:axId val="33168918"/>
        <c:axId val="14664247"/>
      </c:scatterChart>
      <c:valAx>
        <c:axId val="33168918"/>
        <c:scaling>
          <c:orientation val="minMax"/>
        </c:scaling>
        <c:axPos val="b"/>
        <c:delete val="0"/>
        <c:numFmt formatCode="General" sourceLinked="1"/>
        <c:majorTickMark val="out"/>
        <c:minorTickMark val="none"/>
        <c:tickLblPos val="nextTo"/>
        <c:crossAx val="14664247"/>
        <c:crosses val="autoZero"/>
        <c:crossBetween val="midCat"/>
        <c:dispUnits/>
      </c:valAx>
      <c:valAx>
        <c:axId val="14664247"/>
        <c:scaling>
          <c:orientation val="minMax"/>
        </c:scaling>
        <c:axPos val="l"/>
        <c:majorGridlines/>
        <c:delete val="0"/>
        <c:numFmt formatCode="General" sourceLinked="1"/>
        <c:majorTickMark val="out"/>
        <c:minorTickMark val="none"/>
        <c:tickLblPos val="nextTo"/>
        <c:crossAx val="33168918"/>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62"/>
          <c:w val="0.94525"/>
          <c:h val="0.85075"/>
        </c:manualLayout>
      </c:layout>
      <c:scatterChart>
        <c:scatterStyle val="lineMarker"/>
        <c:varyColors val="0"/>
        <c:ser>
          <c:idx val="0"/>
          <c:order val="0"/>
          <c:tx>
            <c:v>Zone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
            </c:trendlineLbl>
          </c:trendline>
          <c:xVal>
            <c:numRef>
              <c:f>'Regression Fix OR Data'!$H$3:$H$62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'Regression Fix OR Data'!$I$3:$I$62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ser>
        <c:ser>
          <c:idx val="1"/>
          <c:order val="1"/>
          <c:tx>
            <c:v>Zone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1"/>
            <c:trendlineLbl>
              <c:layout>
                <c:manualLayout>
                  <c:x val="0"/>
                  <c:y val="0"/>
                </c:manualLayout>
              </c:layout>
              <c:numFmt formatCode="0.00000"/>
            </c:trendlineLbl>
          </c:trendline>
          <c:xVal>
            <c:numRef>
              <c:f>'Regression Fix OR Data'!$H$3:$H$62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'Regression Fix OR Data'!$J$3:$J$62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ser>
        <c:ser>
          <c:idx val="2"/>
          <c:order val="2"/>
          <c:tx>
            <c:v>Zone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poly"/>
            <c:order val="3"/>
            <c:dispEq val="1"/>
            <c:dispRSqr val="1"/>
            <c:trendlineLbl>
              <c:layout>
                <c:manualLayout>
                  <c:x val="0"/>
                  <c:y val="0"/>
                </c:manualLayout>
              </c:layout>
              <c:numFmt formatCode="0.00000"/>
            </c:trendlineLbl>
          </c:trendline>
          <c:xVal>
            <c:numRef>
              <c:f>'Regression Fix OR Data'!$H$3:$H$62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'Regression Fix OR Data'!$K$3:$K$62</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ser>
        <c:axId val="47459464"/>
        <c:axId val="43812361"/>
      </c:scatterChart>
      <c:valAx>
        <c:axId val="47459464"/>
        <c:scaling>
          <c:orientation val="minMax"/>
        </c:scaling>
        <c:axPos val="b"/>
        <c:delete val="0"/>
        <c:numFmt formatCode="General" sourceLinked="1"/>
        <c:majorTickMark val="out"/>
        <c:minorTickMark val="none"/>
        <c:tickLblPos val="nextTo"/>
        <c:crossAx val="43812361"/>
        <c:crosses val="autoZero"/>
        <c:crossBetween val="midCat"/>
        <c:dispUnits/>
      </c:valAx>
      <c:valAx>
        <c:axId val="43812361"/>
        <c:scaling>
          <c:orientation val="minMax"/>
        </c:scaling>
        <c:axPos val="l"/>
        <c:majorGridlines/>
        <c:delete val="0"/>
        <c:numFmt formatCode="General" sourceLinked="1"/>
        <c:majorTickMark val="out"/>
        <c:minorTickMark val="none"/>
        <c:tickLblPos val="nextTo"/>
        <c:crossAx val="47459464"/>
        <c:crosses val="autoZero"/>
        <c:crossBetween val="midCat"/>
        <c:dispUnits/>
      </c:valAx>
      <c:spPr>
        <a:solidFill>
          <a:srgbClr val="C0C0C0"/>
        </a:solidFill>
        <a:ln w="12700">
          <a:solidFill>
            <a:srgbClr val="808080"/>
          </a:solidFill>
        </a:ln>
      </c:spPr>
    </c:plotArea>
    <c:legend>
      <c:legendPos val="b"/>
      <c:layout>
        <c:manualLayout>
          <c:xMode val="edge"/>
          <c:yMode val="edge"/>
          <c:x val="0"/>
          <c:y val="0.934"/>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2.emf" /><Relationship Id="rId4" Type="http://schemas.openxmlformats.org/officeDocument/2006/relationships/image" Target="../media/image11.emf" /><Relationship Id="rId5" Type="http://schemas.openxmlformats.org/officeDocument/2006/relationships/image" Target="../media/image14.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4.emf" /><Relationship Id="rId9" Type="http://schemas.openxmlformats.org/officeDocument/2006/relationships/image" Target="../media/image6.emf" /><Relationship Id="rId10" Type="http://schemas.openxmlformats.org/officeDocument/2006/relationships/image" Target="../media/image10.emf" /><Relationship Id="rId11" Type="http://schemas.openxmlformats.org/officeDocument/2006/relationships/image" Target="../media/image5.emf" /><Relationship Id="rId12" Type="http://schemas.openxmlformats.org/officeDocument/2006/relationships/image" Target="../media/image13.emf" /><Relationship Id="rId13" Type="http://schemas.openxmlformats.org/officeDocument/2006/relationships/image" Target="../media/image1.emf" /><Relationship Id="rId14"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0"/>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1"/>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2"/>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3"/>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4"/>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96</xdr:row>
      <xdr:rowOff>9525</xdr:rowOff>
    </xdr:from>
    <xdr:to>
      <xdr:col>11</xdr:col>
      <xdr:colOff>0</xdr:colOff>
      <xdr:row>120</xdr:row>
      <xdr:rowOff>0</xdr:rowOff>
    </xdr:to>
    <xdr:graphicFrame>
      <xdr:nvGraphicFramePr>
        <xdr:cNvPr id="1" name="Chart 1"/>
        <xdr:cNvGraphicFramePr/>
      </xdr:nvGraphicFramePr>
      <xdr:xfrm>
        <a:off x="66675" y="15878175"/>
        <a:ext cx="6638925" cy="387667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121</xdr:row>
      <xdr:rowOff>123825</xdr:rowOff>
    </xdr:from>
    <xdr:to>
      <xdr:col>10</xdr:col>
      <xdr:colOff>600075</xdr:colOff>
      <xdr:row>149</xdr:row>
      <xdr:rowOff>9525</xdr:rowOff>
    </xdr:to>
    <xdr:graphicFrame>
      <xdr:nvGraphicFramePr>
        <xdr:cNvPr id="2" name="Chart 2"/>
        <xdr:cNvGraphicFramePr/>
      </xdr:nvGraphicFramePr>
      <xdr:xfrm>
        <a:off x="142875" y="20040600"/>
        <a:ext cx="6553200" cy="4419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809625</xdr:colOff>
      <xdr:row>3</xdr:row>
      <xdr:rowOff>152400</xdr:rowOff>
    </xdr:from>
    <xdr:ext cx="76200" cy="200025"/>
    <xdr:sp>
      <xdr:nvSpPr>
        <xdr:cNvPr id="1" name="TextBox 1"/>
        <xdr:cNvSpPr txBox="1">
          <a:spLocks noChangeArrowheads="1"/>
        </xdr:cNvSpPr>
      </xdr:nvSpPr>
      <xdr:spPr>
        <a:xfrm>
          <a:off x="1276350" y="704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3</xdr:row>
      <xdr:rowOff>0</xdr:rowOff>
    </xdr:from>
    <xdr:to>
      <xdr:col>5</xdr:col>
      <xdr:colOff>866775</xdr:colOff>
      <xdr:row>6</xdr:row>
      <xdr:rowOff>28575</xdr:rowOff>
    </xdr:to>
    <xdr:sp>
      <xdr:nvSpPr>
        <xdr:cNvPr id="2" name="TextBox 2"/>
        <xdr:cNvSpPr txBox="1">
          <a:spLocks noChangeArrowheads="1"/>
        </xdr:cNvSpPr>
      </xdr:nvSpPr>
      <xdr:spPr>
        <a:xfrm>
          <a:off x="2390775" y="552450"/>
          <a:ext cx="3667125" cy="514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Load and coincidence factor equations are Jeff Harris recommedations intended to account for use of kWh annual generation as input to PROCOST.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PNWPop&amp;Housing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C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for 5th Plan"/>
      <sheetName val="PNW Households &amp;  Housing Units"/>
      <sheetName val="Housing Completion Summary"/>
      <sheetName val="Housing Start Summary"/>
      <sheetName val="Starts by Utility Type"/>
      <sheetName val="PNWStarts"/>
      <sheetName val="IDStarts"/>
      <sheetName val="MTStarts"/>
      <sheetName val="ORStarts"/>
      <sheetName val="WAStarts"/>
      <sheetName val="ID"/>
      <sheetName val="MT"/>
      <sheetName val="OR"/>
      <sheetName val="WA"/>
      <sheetName val="MHSHIPMNTS &amp; SF &amp; MF Starts"/>
      <sheetName val="MH Retail Price &amp; Shipments"/>
      <sheetName val=" Production &amp; Shipments"/>
      <sheetName val="SF Mortgage Rates &amp; Home Prices"/>
      <sheetName val="Per Capita Income"/>
      <sheetName val="PNW and State Population"/>
      <sheetName val="Idaho County Population"/>
      <sheetName val="Montana County Population"/>
      <sheetName val="Oregon County Populaiton"/>
      <sheetName val="Washington County Population"/>
      <sheetName val="PNW Housing Units"/>
      <sheetName val="ID Housing Units by County"/>
      <sheetName val="MT Housing Units by County"/>
      <sheetName val="OR Housing Units by County"/>
      <sheetName val="WA Housing Units by County"/>
      <sheetName val="Historical Heating Fuel"/>
      <sheetName val="State Level Census Data"/>
      <sheetName val="Units by State &amp;Type 1940 to 00"/>
      <sheetName val="Existing Pre-80 Housing Units"/>
      <sheetName val="Population Forecast"/>
    </sheetNames>
    <sheetDataSet>
      <sheetData sheetId="25">
        <row r="5">
          <cell r="A5" t="str">
            <v>Ada</v>
          </cell>
          <cell r="B5">
            <v>118516</v>
          </cell>
        </row>
        <row r="6">
          <cell r="A6" t="str">
            <v>Adams</v>
          </cell>
          <cell r="B6">
            <v>1982</v>
          </cell>
        </row>
        <row r="7">
          <cell r="A7" t="str">
            <v>Bannock</v>
          </cell>
          <cell r="B7">
            <v>29102</v>
          </cell>
        </row>
        <row r="8">
          <cell r="A8" t="str">
            <v>Bear Lake</v>
          </cell>
          <cell r="B8">
            <v>3268</v>
          </cell>
        </row>
        <row r="9">
          <cell r="A9" t="str">
            <v>Benewah</v>
          </cell>
          <cell r="B9">
            <v>4238</v>
          </cell>
        </row>
        <row r="10">
          <cell r="A10" t="str">
            <v>Bingham</v>
          </cell>
          <cell r="B10">
            <v>14303</v>
          </cell>
        </row>
        <row r="11">
          <cell r="A11" t="str">
            <v>Blaine</v>
          </cell>
          <cell r="B11">
            <v>12186</v>
          </cell>
        </row>
        <row r="12">
          <cell r="A12" t="str">
            <v>Boise</v>
          </cell>
          <cell r="B12">
            <v>4349</v>
          </cell>
        </row>
        <row r="13">
          <cell r="A13" t="str">
            <v>Bonner</v>
          </cell>
          <cell r="B13">
            <v>19646</v>
          </cell>
        </row>
        <row r="14">
          <cell r="A14" t="str">
            <v>Bonneville</v>
          </cell>
          <cell r="B14">
            <v>30484</v>
          </cell>
        </row>
        <row r="15">
          <cell r="A15" t="str">
            <v>Boundary</v>
          </cell>
          <cell r="B15">
            <v>4095</v>
          </cell>
        </row>
        <row r="16">
          <cell r="A16" t="str">
            <v>Butte</v>
          </cell>
          <cell r="B16">
            <v>1290</v>
          </cell>
        </row>
        <row r="17">
          <cell r="A17" t="str">
            <v>Camas</v>
          </cell>
          <cell r="B17">
            <v>601</v>
          </cell>
        </row>
        <row r="18">
          <cell r="A18" t="str">
            <v>Canyon</v>
          </cell>
          <cell r="B18">
            <v>47965</v>
          </cell>
        </row>
        <row r="19">
          <cell r="A19" t="str">
            <v>Caribou</v>
          </cell>
          <cell r="B19">
            <v>3188</v>
          </cell>
        </row>
        <row r="20">
          <cell r="A20" t="str">
            <v>Cassia</v>
          </cell>
          <cell r="B20">
            <v>7862</v>
          </cell>
        </row>
        <row r="21">
          <cell r="A21" t="str">
            <v>Clark</v>
          </cell>
          <cell r="B21">
            <v>521</v>
          </cell>
        </row>
        <row r="22">
          <cell r="A22" t="str">
            <v>Clearwater</v>
          </cell>
          <cell r="B22">
            <v>4144</v>
          </cell>
        </row>
        <row r="23">
          <cell r="A23" t="str">
            <v>Custer</v>
          </cell>
          <cell r="B23">
            <v>2983</v>
          </cell>
        </row>
        <row r="24">
          <cell r="A24" t="str">
            <v>Elmore</v>
          </cell>
          <cell r="B24">
            <v>10527</v>
          </cell>
        </row>
        <row r="25">
          <cell r="A25" t="str">
            <v>Franklin</v>
          </cell>
          <cell r="B25">
            <v>3872</v>
          </cell>
        </row>
        <row r="26">
          <cell r="A26" t="str">
            <v>Fremont</v>
          </cell>
          <cell r="B26">
            <v>6890</v>
          </cell>
        </row>
        <row r="27">
          <cell r="A27" t="str">
            <v>Gem</v>
          </cell>
          <cell r="B27">
            <v>5888</v>
          </cell>
        </row>
        <row r="28">
          <cell r="A28" t="str">
            <v>Gooding</v>
          </cell>
          <cell r="B28">
            <v>5505</v>
          </cell>
        </row>
        <row r="29">
          <cell r="A29" t="str">
            <v>Idaho</v>
          </cell>
          <cell r="B29">
            <v>7537</v>
          </cell>
        </row>
        <row r="30">
          <cell r="A30" t="str">
            <v>Jefferson</v>
          </cell>
          <cell r="B30">
            <v>6287</v>
          </cell>
        </row>
        <row r="31">
          <cell r="A31" t="str">
            <v>Jerome</v>
          </cell>
          <cell r="B31">
            <v>6713</v>
          </cell>
        </row>
        <row r="32">
          <cell r="A32" t="str">
            <v>Kootenai</v>
          </cell>
          <cell r="B32">
            <v>46607</v>
          </cell>
        </row>
        <row r="33">
          <cell r="A33" t="str">
            <v>Latah</v>
          </cell>
          <cell r="B33">
            <v>13838</v>
          </cell>
        </row>
        <row r="34">
          <cell r="A34" t="str">
            <v>Lemhi</v>
          </cell>
          <cell r="B34">
            <v>4154</v>
          </cell>
        </row>
        <row r="35">
          <cell r="A35" t="str">
            <v>Lewis</v>
          </cell>
          <cell r="B35">
            <v>1795</v>
          </cell>
        </row>
        <row r="36">
          <cell r="A36" t="str">
            <v>Lincoln</v>
          </cell>
          <cell r="B36">
            <v>1651</v>
          </cell>
        </row>
        <row r="37">
          <cell r="A37" t="str">
            <v>Madison</v>
          </cell>
          <cell r="B37">
            <v>7630</v>
          </cell>
        </row>
        <row r="38">
          <cell r="A38" t="str">
            <v>Minidoka</v>
          </cell>
          <cell r="B38">
            <v>7498</v>
          </cell>
        </row>
        <row r="39">
          <cell r="A39" t="str">
            <v>Nez Perce</v>
          </cell>
          <cell r="B39">
            <v>16203</v>
          </cell>
        </row>
        <row r="40">
          <cell r="A40" t="str">
            <v>Oneida</v>
          </cell>
          <cell r="B40">
            <v>1755</v>
          </cell>
        </row>
        <row r="41">
          <cell r="A41" t="str">
            <v>Owyhee</v>
          </cell>
          <cell r="B41">
            <v>4452</v>
          </cell>
        </row>
        <row r="42">
          <cell r="A42" t="str">
            <v>Payette</v>
          </cell>
          <cell r="B42">
            <v>7949</v>
          </cell>
        </row>
        <row r="43">
          <cell r="A43" t="str">
            <v>Power</v>
          </cell>
          <cell r="B43">
            <v>2844</v>
          </cell>
        </row>
        <row r="44">
          <cell r="A44" t="str">
            <v>Shoshone</v>
          </cell>
          <cell r="B44">
            <v>7057</v>
          </cell>
        </row>
        <row r="45">
          <cell r="A45" t="str">
            <v>Teton</v>
          </cell>
          <cell r="B45">
            <v>2632</v>
          </cell>
        </row>
        <row r="46">
          <cell r="A46" t="str">
            <v>Twin Falls</v>
          </cell>
          <cell r="B46">
            <v>25595</v>
          </cell>
        </row>
        <row r="47">
          <cell r="A47" t="str">
            <v>Valley</v>
          </cell>
          <cell r="B47">
            <v>8084</v>
          </cell>
        </row>
        <row r="48">
          <cell r="A48" t="str">
            <v>Washington</v>
          </cell>
          <cell r="B48">
            <v>4138</v>
          </cell>
        </row>
      </sheetData>
      <sheetData sheetId="26">
        <row r="5">
          <cell r="A5" t="str">
            <v>Beaverhead</v>
          </cell>
          <cell r="B5">
            <v>4571</v>
          </cell>
        </row>
        <row r="6">
          <cell r="A6" t="str">
            <v>Big Horn</v>
          </cell>
          <cell r="B6">
            <v>4655</v>
          </cell>
        </row>
        <row r="7">
          <cell r="A7" t="str">
            <v>Blaine</v>
          </cell>
          <cell r="B7">
            <v>2947</v>
          </cell>
        </row>
        <row r="8">
          <cell r="A8" t="str">
            <v>Broadwater</v>
          </cell>
          <cell r="B8">
            <v>2002</v>
          </cell>
        </row>
        <row r="9">
          <cell r="A9" t="str">
            <v>Carbon</v>
          </cell>
          <cell r="B9">
            <v>5494</v>
          </cell>
        </row>
        <row r="10">
          <cell r="A10" t="str">
            <v>Carter</v>
          </cell>
          <cell r="B10">
            <v>811</v>
          </cell>
        </row>
        <row r="11">
          <cell r="A11" t="str">
            <v>Cascade</v>
          </cell>
          <cell r="B11">
            <v>35225</v>
          </cell>
        </row>
        <row r="12">
          <cell r="A12" t="str">
            <v>Chouteau</v>
          </cell>
          <cell r="B12">
            <v>2776</v>
          </cell>
        </row>
        <row r="13">
          <cell r="A13" t="str">
            <v>Custer</v>
          </cell>
          <cell r="B13">
            <v>5360</v>
          </cell>
        </row>
        <row r="14">
          <cell r="A14" t="str">
            <v>Daniels</v>
          </cell>
          <cell r="B14">
            <v>1154</v>
          </cell>
        </row>
        <row r="15">
          <cell r="A15" t="str">
            <v>Dawson</v>
          </cell>
          <cell r="B15">
            <v>4168</v>
          </cell>
        </row>
        <row r="16">
          <cell r="A16" t="str">
            <v>Deer Lodge</v>
          </cell>
          <cell r="B16">
            <v>4958</v>
          </cell>
        </row>
        <row r="17">
          <cell r="A17" t="str">
            <v>Fallon</v>
          </cell>
          <cell r="B17">
            <v>1410</v>
          </cell>
        </row>
        <row r="18">
          <cell r="A18" t="str">
            <v>Fergus</v>
          </cell>
          <cell r="B18">
            <v>5558</v>
          </cell>
        </row>
        <row r="19">
          <cell r="A19" t="str">
            <v>Flathead</v>
          </cell>
          <cell r="B19">
            <v>34773</v>
          </cell>
        </row>
        <row r="20">
          <cell r="A20" t="str">
            <v>Gallatin</v>
          </cell>
          <cell r="B20">
            <v>29489</v>
          </cell>
        </row>
        <row r="21">
          <cell r="A21" t="str">
            <v>Garfield</v>
          </cell>
          <cell r="B21">
            <v>961</v>
          </cell>
        </row>
        <row r="22">
          <cell r="A22" t="str">
            <v>Glacier</v>
          </cell>
          <cell r="B22">
            <v>5243</v>
          </cell>
        </row>
        <row r="23">
          <cell r="A23" t="str">
            <v>Golden Valley</v>
          </cell>
          <cell r="B23">
            <v>450</v>
          </cell>
        </row>
        <row r="24">
          <cell r="A24" t="str">
            <v>Granite</v>
          </cell>
          <cell r="B24">
            <v>2074</v>
          </cell>
        </row>
        <row r="25">
          <cell r="A25" t="str">
            <v>Hill</v>
          </cell>
          <cell r="B25">
            <v>7453</v>
          </cell>
        </row>
        <row r="26">
          <cell r="A26" t="str">
            <v>Jefferson</v>
          </cell>
          <cell r="B26">
            <v>4199</v>
          </cell>
        </row>
        <row r="27">
          <cell r="A27" t="str">
            <v>Judith Basin</v>
          </cell>
          <cell r="B27">
            <v>1325</v>
          </cell>
        </row>
        <row r="28">
          <cell r="A28" t="str">
            <v>Lake</v>
          </cell>
          <cell r="B28">
            <v>13605</v>
          </cell>
        </row>
        <row r="29">
          <cell r="A29" t="str">
            <v>Lewis and Clark</v>
          </cell>
          <cell r="B29">
            <v>25672</v>
          </cell>
        </row>
        <row r="30">
          <cell r="A30" t="str">
            <v>Liberty</v>
          </cell>
          <cell r="B30">
            <v>1070</v>
          </cell>
        </row>
        <row r="31">
          <cell r="A31" t="str">
            <v>Lincoln</v>
          </cell>
          <cell r="B31">
            <v>9319</v>
          </cell>
        </row>
        <row r="32">
          <cell r="A32" t="str">
            <v>McCone</v>
          </cell>
          <cell r="B32">
            <v>1087</v>
          </cell>
        </row>
        <row r="33">
          <cell r="A33" t="str">
            <v>Madison</v>
          </cell>
          <cell r="B33">
            <v>4671</v>
          </cell>
        </row>
        <row r="34">
          <cell r="A34" t="str">
            <v>Meagher</v>
          </cell>
          <cell r="B34">
            <v>1363</v>
          </cell>
        </row>
        <row r="35">
          <cell r="A35" t="str">
            <v>Mineral</v>
          </cell>
          <cell r="B35">
            <v>1961</v>
          </cell>
        </row>
        <row r="36">
          <cell r="A36" t="str">
            <v>Missoula</v>
          </cell>
          <cell r="B36">
            <v>41319</v>
          </cell>
        </row>
        <row r="37">
          <cell r="A37" t="str">
            <v>Musselshell</v>
          </cell>
          <cell r="B37">
            <v>2317</v>
          </cell>
        </row>
        <row r="38">
          <cell r="A38" t="str">
            <v>Park</v>
          </cell>
          <cell r="B38">
            <v>8247</v>
          </cell>
        </row>
        <row r="39">
          <cell r="A39" t="str">
            <v>Petroleum</v>
          </cell>
          <cell r="B39">
            <v>292</v>
          </cell>
        </row>
        <row r="40">
          <cell r="A40" t="str">
            <v>Phillips</v>
          </cell>
          <cell r="B40">
            <v>2502</v>
          </cell>
        </row>
        <row r="41">
          <cell r="A41" t="str">
            <v>Pondera</v>
          </cell>
          <cell r="B41">
            <v>2834</v>
          </cell>
        </row>
        <row r="42">
          <cell r="A42" t="str">
            <v>Powder River</v>
          </cell>
          <cell r="B42">
            <v>1007</v>
          </cell>
        </row>
        <row r="43">
          <cell r="A43" t="str">
            <v>Powell</v>
          </cell>
          <cell r="B43">
            <v>2930</v>
          </cell>
        </row>
        <row r="44">
          <cell r="A44" t="str">
            <v>Prairie</v>
          </cell>
          <cell r="B44">
            <v>718</v>
          </cell>
        </row>
        <row r="45">
          <cell r="A45" t="str">
            <v>Ravalli</v>
          </cell>
          <cell r="B45">
            <v>15946</v>
          </cell>
        </row>
        <row r="46">
          <cell r="A46" t="str">
            <v>Richland</v>
          </cell>
          <cell r="B46">
            <v>4557</v>
          </cell>
        </row>
        <row r="47">
          <cell r="A47" t="str">
            <v>Roosevelt</v>
          </cell>
          <cell r="B47">
            <v>4044</v>
          </cell>
        </row>
        <row r="48">
          <cell r="A48" t="str">
            <v>Rosebud</v>
          </cell>
          <cell r="B48">
            <v>3912</v>
          </cell>
        </row>
        <row r="49">
          <cell r="A49" t="str">
            <v>Sanders</v>
          </cell>
          <cell r="B49">
            <v>5271</v>
          </cell>
        </row>
        <row r="50">
          <cell r="A50" t="str">
            <v>Sheridan</v>
          </cell>
          <cell r="B50">
            <v>2167</v>
          </cell>
        </row>
        <row r="51">
          <cell r="A51" t="str">
            <v>Silver Bow</v>
          </cell>
          <cell r="B51">
            <v>16176</v>
          </cell>
        </row>
        <row r="52">
          <cell r="A52" t="str">
            <v>Stillwater</v>
          </cell>
          <cell r="B52">
            <v>3947</v>
          </cell>
        </row>
        <row r="53">
          <cell r="A53" t="str">
            <v>Sweet Grass</v>
          </cell>
          <cell r="B53">
            <v>1860</v>
          </cell>
        </row>
        <row r="54">
          <cell r="A54" t="str">
            <v>Teton</v>
          </cell>
          <cell r="B54">
            <v>2910</v>
          </cell>
        </row>
        <row r="55">
          <cell r="A55" t="str">
            <v>Toole</v>
          </cell>
          <cell r="B55">
            <v>2300</v>
          </cell>
        </row>
        <row r="56">
          <cell r="A56" t="str">
            <v>Treasure</v>
          </cell>
          <cell r="B56">
            <v>422</v>
          </cell>
        </row>
        <row r="57">
          <cell r="A57" t="str">
            <v>Valley</v>
          </cell>
          <cell r="B57">
            <v>4847</v>
          </cell>
        </row>
        <row r="58">
          <cell r="A58" t="str">
            <v>Wheatland</v>
          </cell>
          <cell r="B58">
            <v>1154</v>
          </cell>
        </row>
        <row r="59">
          <cell r="A59" t="str">
            <v>Wibaux</v>
          </cell>
          <cell r="B59">
            <v>587</v>
          </cell>
        </row>
        <row r="60">
          <cell r="A60" t="str">
            <v>Yellowstone</v>
          </cell>
          <cell r="B60">
            <v>54563</v>
          </cell>
        </row>
        <row r="61">
          <cell r="A61" t="str">
            <v>Yellowstone National Park</v>
          </cell>
        </row>
      </sheetData>
      <sheetData sheetId="27">
        <row r="5">
          <cell r="A5" t="str">
            <v>Baker</v>
          </cell>
          <cell r="B5">
            <v>8402</v>
          </cell>
        </row>
        <row r="6">
          <cell r="A6" t="str">
            <v>Benton</v>
          </cell>
          <cell r="B6">
            <v>31980</v>
          </cell>
        </row>
        <row r="7">
          <cell r="A7" t="str">
            <v>Clackamas</v>
          </cell>
          <cell r="B7">
            <v>136954</v>
          </cell>
        </row>
        <row r="8">
          <cell r="A8" t="str">
            <v>Clatsop</v>
          </cell>
          <cell r="B8">
            <v>19685</v>
          </cell>
        </row>
        <row r="9">
          <cell r="A9" t="str">
            <v>Columbia</v>
          </cell>
          <cell r="B9">
            <v>17572</v>
          </cell>
        </row>
        <row r="10">
          <cell r="A10" t="str">
            <v>Coos</v>
          </cell>
          <cell r="B10">
            <v>29247</v>
          </cell>
        </row>
        <row r="11">
          <cell r="A11" t="str">
            <v>Crook</v>
          </cell>
          <cell r="B11">
            <v>8264</v>
          </cell>
        </row>
        <row r="12">
          <cell r="A12" t="str">
            <v>Curry</v>
          </cell>
          <cell r="B12">
            <v>11406</v>
          </cell>
        </row>
        <row r="13">
          <cell r="A13" t="str">
            <v>Deschutes</v>
          </cell>
          <cell r="B13">
            <v>54583</v>
          </cell>
        </row>
        <row r="14">
          <cell r="A14" t="str">
            <v>Douglas</v>
          </cell>
          <cell r="B14">
            <v>43284</v>
          </cell>
        </row>
        <row r="15">
          <cell r="A15" t="str">
            <v>Gilliam</v>
          </cell>
          <cell r="B15">
            <v>1043</v>
          </cell>
        </row>
        <row r="16">
          <cell r="A16" t="str">
            <v>Grant</v>
          </cell>
          <cell r="B16">
            <v>4004</v>
          </cell>
        </row>
        <row r="17">
          <cell r="A17" t="str">
            <v>Harney</v>
          </cell>
          <cell r="B17">
            <v>3533</v>
          </cell>
        </row>
        <row r="18">
          <cell r="A18" t="str">
            <v>Hood River</v>
          </cell>
          <cell r="B18">
            <v>7818</v>
          </cell>
        </row>
        <row r="19">
          <cell r="A19" t="str">
            <v>Jackson</v>
          </cell>
          <cell r="B19">
            <v>75737</v>
          </cell>
        </row>
        <row r="20">
          <cell r="A20" t="str">
            <v>Jefferson</v>
          </cell>
          <cell r="B20">
            <v>8319</v>
          </cell>
        </row>
        <row r="21">
          <cell r="A21" t="str">
            <v>Josephine</v>
          </cell>
          <cell r="B21">
            <v>33239</v>
          </cell>
        </row>
        <row r="22">
          <cell r="A22" t="str">
            <v>Klamath</v>
          </cell>
          <cell r="B22">
            <v>28883</v>
          </cell>
        </row>
        <row r="23">
          <cell r="A23" t="str">
            <v>Lake</v>
          </cell>
          <cell r="B23">
            <v>3999</v>
          </cell>
        </row>
        <row r="24">
          <cell r="A24" t="str">
            <v>Lane</v>
          </cell>
          <cell r="B24">
            <v>138946</v>
          </cell>
        </row>
        <row r="25">
          <cell r="A25" t="str">
            <v>Lincoln</v>
          </cell>
          <cell r="B25">
            <v>26889</v>
          </cell>
        </row>
        <row r="26">
          <cell r="A26" t="str">
            <v>Linn</v>
          </cell>
          <cell r="B26">
            <v>42521</v>
          </cell>
        </row>
        <row r="27">
          <cell r="A27" t="str">
            <v>Malheur</v>
          </cell>
          <cell r="B27">
            <v>11233</v>
          </cell>
        </row>
        <row r="28">
          <cell r="A28" t="str">
            <v>Marion</v>
          </cell>
          <cell r="B28">
            <v>108174</v>
          </cell>
        </row>
        <row r="29">
          <cell r="A29" t="str">
            <v>Morrow</v>
          </cell>
          <cell r="B29">
            <v>4276</v>
          </cell>
        </row>
        <row r="30">
          <cell r="A30" t="str">
            <v>Multnomah</v>
          </cell>
          <cell r="B30">
            <v>288561</v>
          </cell>
        </row>
        <row r="31">
          <cell r="A31" t="str">
            <v>Polk</v>
          </cell>
          <cell r="B31">
            <v>24461</v>
          </cell>
        </row>
        <row r="32">
          <cell r="A32" t="str">
            <v>Sherman</v>
          </cell>
          <cell r="B32">
            <v>935</v>
          </cell>
        </row>
        <row r="33">
          <cell r="A33" t="str">
            <v>Tillamook</v>
          </cell>
          <cell r="B33">
            <v>15906</v>
          </cell>
        </row>
        <row r="34">
          <cell r="A34" t="str">
            <v>Umatilla</v>
          </cell>
          <cell r="B34">
            <v>27676</v>
          </cell>
        </row>
        <row r="35">
          <cell r="A35" t="str">
            <v>Union</v>
          </cell>
          <cell r="B35">
            <v>10603</v>
          </cell>
        </row>
        <row r="36">
          <cell r="A36" t="str">
            <v>Wallowa</v>
          </cell>
          <cell r="B36">
            <v>3900</v>
          </cell>
        </row>
        <row r="37">
          <cell r="A37" t="str">
            <v>Wasco</v>
          </cell>
          <cell r="B37">
            <v>10651</v>
          </cell>
        </row>
        <row r="38">
          <cell r="A38" t="str">
            <v>Washington</v>
          </cell>
          <cell r="B38">
            <v>178913</v>
          </cell>
        </row>
        <row r="39">
          <cell r="A39" t="str">
            <v>Wheeler</v>
          </cell>
          <cell r="B39">
            <v>842</v>
          </cell>
        </row>
        <row r="40">
          <cell r="A40" t="str">
            <v>Yamhill</v>
          </cell>
          <cell r="B40">
            <v>30270</v>
          </cell>
        </row>
      </sheetData>
      <sheetData sheetId="28">
        <row r="5">
          <cell r="A5" t="str">
            <v>Adams</v>
          </cell>
          <cell r="B5">
            <v>5773</v>
          </cell>
        </row>
        <row r="6">
          <cell r="A6" t="str">
            <v>Asotin</v>
          </cell>
          <cell r="B6">
            <v>9111</v>
          </cell>
        </row>
        <row r="7">
          <cell r="A7" t="str">
            <v>Benton</v>
          </cell>
          <cell r="B7">
            <v>55963</v>
          </cell>
        </row>
        <row r="8">
          <cell r="A8" t="str">
            <v>Chelan</v>
          </cell>
          <cell r="B8">
            <v>30407</v>
          </cell>
        </row>
        <row r="9">
          <cell r="A9" t="str">
            <v>Clallam</v>
          </cell>
          <cell r="B9">
            <v>30683</v>
          </cell>
        </row>
        <row r="10">
          <cell r="A10" t="str">
            <v>Clark</v>
          </cell>
          <cell r="B10">
            <v>134030</v>
          </cell>
        </row>
        <row r="11">
          <cell r="A11" t="str">
            <v>Columbia</v>
          </cell>
          <cell r="B11">
            <v>2018</v>
          </cell>
        </row>
        <row r="12">
          <cell r="A12" t="str">
            <v>Cowlitz</v>
          </cell>
          <cell r="B12">
            <v>38624</v>
          </cell>
        </row>
        <row r="13">
          <cell r="A13" t="str">
            <v>Douglas</v>
          </cell>
          <cell r="B13">
            <v>12944</v>
          </cell>
        </row>
        <row r="14">
          <cell r="A14" t="str">
            <v>Ferry</v>
          </cell>
          <cell r="B14">
            <v>3775</v>
          </cell>
        </row>
        <row r="15">
          <cell r="A15" t="str">
            <v>Franklin</v>
          </cell>
          <cell r="B15">
            <v>16084</v>
          </cell>
        </row>
        <row r="16">
          <cell r="A16" t="str">
            <v>Garfield</v>
          </cell>
          <cell r="B16">
            <v>1288</v>
          </cell>
        </row>
        <row r="17">
          <cell r="A17" t="str">
            <v>Grant</v>
          </cell>
          <cell r="B17">
            <v>29081</v>
          </cell>
        </row>
        <row r="18">
          <cell r="A18" t="str">
            <v>Grays Harbor</v>
          </cell>
          <cell r="B18">
            <v>32489</v>
          </cell>
        </row>
        <row r="19">
          <cell r="A19" t="str">
            <v>Island</v>
          </cell>
          <cell r="B19">
            <v>32378</v>
          </cell>
        </row>
        <row r="20">
          <cell r="A20" t="str">
            <v>Jefferson</v>
          </cell>
          <cell r="B20">
            <v>14144</v>
          </cell>
        </row>
        <row r="21">
          <cell r="A21" t="str">
            <v>King</v>
          </cell>
          <cell r="B21">
            <v>742237</v>
          </cell>
        </row>
        <row r="22">
          <cell r="A22" t="str">
            <v>Kitsap</v>
          </cell>
          <cell r="B22">
            <v>92644</v>
          </cell>
        </row>
        <row r="23">
          <cell r="A23" t="str">
            <v>Kittitas</v>
          </cell>
          <cell r="B23">
            <v>16475</v>
          </cell>
        </row>
        <row r="24">
          <cell r="A24" t="str">
            <v>Klickitat</v>
          </cell>
          <cell r="B24">
            <v>8633</v>
          </cell>
        </row>
        <row r="25">
          <cell r="A25" t="str">
            <v>Lewis</v>
          </cell>
          <cell r="B25">
            <v>29585</v>
          </cell>
        </row>
        <row r="26">
          <cell r="A26" t="str">
            <v>Lincoln</v>
          </cell>
          <cell r="B26">
            <v>5298</v>
          </cell>
        </row>
        <row r="27">
          <cell r="A27" t="str">
            <v>Mason</v>
          </cell>
          <cell r="B27">
            <v>25515</v>
          </cell>
        </row>
        <row r="28">
          <cell r="A28" t="str">
            <v>Okanogan</v>
          </cell>
          <cell r="B28">
            <v>19085</v>
          </cell>
        </row>
        <row r="29">
          <cell r="A29" t="str">
            <v>Pacific</v>
          </cell>
          <cell r="B29">
            <v>13991</v>
          </cell>
        </row>
        <row r="30">
          <cell r="A30" t="str">
            <v>Pend Oreille</v>
          </cell>
          <cell r="B30">
            <v>6608</v>
          </cell>
        </row>
        <row r="31">
          <cell r="A31" t="str">
            <v>Pierce</v>
          </cell>
          <cell r="B31">
            <v>277060</v>
          </cell>
        </row>
        <row r="32">
          <cell r="A32" t="str">
            <v>San Juan</v>
          </cell>
          <cell r="B32">
            <v>9752</v>
          </cell>
        </row>
        <row r="33">
          <cell r="A33" t="str">
            <v>Skagit</v>
          </cell>
          <cell r="B33">
            <v>42681</v>
          </cell>
        </row>
        <row r="34">
          <cell r="A34" t="str">
            <v>Skamania</v>
          </cell>
          <cell r="B34">
            <v>4576</v>
          </cell>
        </row>
        <row r="35">
          <cell r="A35" t="str">
            <v>Snohomish</v>
          </cell>
          <cell r="B35">
            <v>236205</v>
          </cell>
        </row>
        <row r="36">
          <cell r="A36" t="str">
            <v>Spokane</v>
          </cell>
          <cell r="B36">
            <v>175005</v>
          </cell>
        </row>
        <row r="37">
          <cell r="A37" t="str">
            <v>Stevens</v>
          </cell>
          <cell r="B37">
            <v>17599</v>
          </cell>
        </row>
        <row r="38">
          <cell r="A38" t="str">
            <v>Thurston</v>
          </cell>
          <cell r="B38">
            <v>86652</v>
          </cell>
        </row>
        <row r="39">
          <cell r="A39" t="str">
            <v>Wahkiakum</v>
          </cell>
          <cell r="B39">
            <v>1792</v>
          </cell>
        </row>
        <row r="40">
          <cell r="A40" t="str">
            <v>Walla Walla</v>
          </cell>
          <cell r="B40">
            <v>21147</v>
          </cell>
        </row>
        <row r="41">
          <cell r="A41" t="str">
            <v>Whatcom</v>
          </cell>
          <cell r="B41">
            <v>73893</v>
          </cell>
        </row>
        <row r="42">
          <cell r="A42" t="str">
            <v>Whitman</v>
          </cell>
          <cell r="B42">
            <v>16676</v>
          </cell>
        </row>
        <row r="43">
          <cell r="A43" t="str">
            <v>Yakima</v>
          </cell>
          <cell r="B43">
            <v>79174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CookingEff"/>
      <sheetName val="Input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2:N26"/>
  <sheetViews>
    <sheetView workbookViewId="0" topLeftCell="A2">
      <selection activeCell="A14" sqref="A14"/>
    </sheetView>
  </sheetViews>
  <sheetFormatPr defaultColWidth="9.140625" defaultRowHeight="12.75"/>
  <cols>
    <col min="1" max="1" width="80.140625" style="0" customWidth="1"/>
    <col min="2" max="2" width="17.7109375" style="0" customWidth="1"/>
    <col min="3" max="3" width="15.421875" style="0" customWidth="1"/>
    <col min="4" max="6" width="12.7109375" style="0" customWidth="1"/>
    <col min="10" max="10" width="9.28125" style="0" bestFit="1" customWidth="1"/>
  </cols>
  <sheetData>
    <row r="2" ht="12.75">
      <c r="A2" s="68" t="s">
        <v>178</v>
      </c>
    </row>
    <row r="5" spans="1:6" ht="102">
      <c r="A5" s="78" t="s">
        <v>115</v>
      </c>
      <c r="B5" s="78" t="s">
        <v>120</v>
      </c>
      <c r="C5" s="78" t="s">
        <v>121</v>
      </c>
      <c r="D5" s="78" t="s">
        <v>179</v>
      </c>
      <c r="E5" s="78" t="s">
        <v>132</v>
      </c>
      <c r="F5" s="78" t="s">
        <v>143</v>
      </c>
    </row>
    <row r="6" spans="1:6" ht="12.75">
      <c r="A6" s="74" t="str">
        <f>MeasureTable!A4</f>
        <v>Solar Residential Water Heater (per. 40 sq.ft. collector area), Solar Zone 5 - Summer Peaking</v>
      </c>
      <c r="B6" s="79">
        <f>MeasureTable!J4</f>
        <v>2600</v>
      </c>
      <c r="C6" s="79">
        <f>MeasureTable!K4</f>
        <v>2798.25</v>
      </c>
      <c r="D6" s="80">
        <f>MeasureTable!R4*C6</f>
        <v>1358.5973228602616</v>
      </c>
      <c r="E6" s="80">
        <f>MeasureTable!U4*C6</f>
        <v>1360.5535953786252</v>
      </c>
      <c r="F6" s="80">
        <f>MeasureTable!AF4*C6</f>
        <v>1392.3240966796875</v>
      </c>
    </row>
    <row r="7" spans="1:6" ht="12.75">
      <c r="A7" s="74" t="str">
        <f>MeasureTable!A5</f>
        <v>Solar Residential Water Heater (per. 40 sq.ft. collector area), Solar Zone 5 - Winter Peaking</v>
      </c>
      <c r="B7" s="79">
        <f>MeasureTable!J5</f>
        <v>2600</v>
      </c>
      <c r="C7" s="79">
        <f>MeasureTable!K5</f>
        <v>2798.25</v>
      </c>
      <c r="D7" s="80">
        <f>MeasureTable!R5*C7</f>
        <v>1358.5973228602616</v>
      </c>
      <c r="E7" s="80">
        <f>MeasureTable!U5*C7</f>
        <v>1359.4317093846798</v>
      </c>
      <c r="F7" s="80">
        <f>MeasureTable!AF5*C7</f>
        <v>1383.7100830078125</v>
      </c>
    </row>
    <row r="8" spans="1:6" ht="12.75">
      <c r="A8" s="74" t="str">
        <f>MeasureTable!A6</f>
        <v>Solar Residential Water Heater (per. 40 sq.ft. collector area), Solar Zone 4 - Summer Peaking</v>
      </c>
      <c r="B8" s="79">
        <f>MeasureTable!J6</f>
        <v>2500</v>
      </c>
      <c r="C8" s="79">
        <f>MeasureTable!K6</f>
        <v>2690.6249999999995</v>
      </c>
      <c r="D8" s="80">
        <f>MeasureTable!R6*C8</f>
        <v>1319.1362926759766</v>
      </c>
      <c r="E8" s="80">
        <f>MeasureTable!U6*C8</f>
        <v>1321.018041025644</v>
      </c>
      <c r="F8" s="80">
        <f>MeasureTable!AF6*C8</f>
        <v>1353.0689697265627</v>
      </c>
    </row>
    <row r="9" spans="1:6" ht="12.75">
      <c r="A9" s="74" t="str">
        <f>MeasureTable!A7</f>
        <v>Solar Residential Water Heater (37.3 sq.ft. collector area), Solar Zone 5 - Summer Peaking</v>
      </c>
      <c r="B9" s="79">
        <f>MeasureTable!J7</f>
        <v>2500</v>
      </c>
      <c r="C9" s="79">
        <f>MeasureTable!K7</f>
        <v>2690.6249999999995</v>
      </c>
      <c r="D9" s="80">
        <f>MeasureTable!R7*C9</f>
        <v>1306.3435796733315</v>
      </c>
      <c r="E9" s="80">
        <f>MeasureTable!U7*C9</f>
        <v>1308.224610940989</v>
      </c>
      <c r="F9" s="80">
        <f>MeasureTable!AF7*C9</f>
        <v>1338.773193359375</v>
      </c>
    </row>
    <row r="10" spans="1:6" ht="12.75">
      <c r="A10" s="74" t="str">
        <f>MeasureTable!A8</f>
        <v>Solar Residential Water Heater (per. 40 sq.ft. collector area), Solar Zone 4 - Winter Peaking</v>
      </c>
      <c r="B10" s="79">
        <f>MeasureTable!J8</f>
        <v>2500</v>
      </c>
      <c r="C10" s="79">
        <f>MeasureTable!K8</f>
        <v>2690.6249999999995</v>
      </c>
      <c r="D10" s="80">
        <f>MeasureTable!R8*C10</f>
        <v>1319.1362926759766</v>
      </c>
      <c r="E10" s="80">
        <f>MeasureTable!U8*C10</f>
        <v>1319.9086166786153</v>
      </c>
      <c r="F10" s="80">
        <f>MeasureTable!AF8*C10</f>
        <v>1337.8865966796875</v>
      </c>
    </row>
    <row r="11" spans="1:14" ht="12.75">
      <c r="A11" s="74" t="str">
        <f>MeasureTable!A9</f>
        <v>Solar Residential Water Heater (37.3 sq.ft. collector area), Solar Zone 5 - Winter Peaking</v>
      </c>
      <c r="B11" s="79">
        <f>MeasureTable!J9</f>
        <v>2500</v>
      </c>
      <c r="C11" s="79">
        <f>MeasureTable!K9</f>
        <v>2690.6249999999995</v>
      </c>
      <c r="D11" s="80">
        <f>MeasureTable!R9*C11</f>
        <v>1306.3435796733315</v>
      </c>
      <c r="E11" s="80">
        <f>MeasureTable!U9*C11</f>
        <v>1307.145874408349</v>
      </c>
      <c r="F11" s="80">
        <f>MeasureTable!AF9*C11</f>
        <v>1330.490478515625</v>
      </c>
      <c r="J11">
        <v>1210</v>
      </c>
      <c r="K11">
        <v>1320</v>
      </c>
      <c r="L11">
        <v>1540</v>
      </c>
      <c r="M11">
        <v>1700</v>
      </c>
      <c r="N11">
        <v>1770</v>
      </c>
    </row>
    <row r="12" spans="1:6" ht="12.75">
      <c r="A12" s="74" t="str">
        <f>MeasureTable!A10</f>
        <v>Solar Residential Water Heater (37.3 sq.ft. collector area), Solar Zone 4 - Summer Peaking</v>
      </c>
      <c r="B12" s="79">
        <f>MeasureTable!J10</f>
        <v>2400</v>
      </c>
      <c r="C12" s="79">
        <f>MeasureTable!K10</f>
        <v>2583</v>
      </c>
      <c r="D12" s="80">
        <f>MeasureTable!R10*C12</f>
        <v>1266.370840968936</v>
      </c>
      <c r="E12" s="80">
        <f>MeasureTable!U10*C12</f>
        <v>1268.1773193846166</v>
      </c>
      <c r="F12" s="80">
        <f>MeasureTable!AF10*C12</f>
        <v>1298.9461669921875</v>
      </c>
    </row>
    <row r="13" spans="1:6" ht="12.75">
      <c r="A13" s="74" t="str">
        <f>MeasureTable!A11</f>
        <v>Solar Residential Water Heater (37.3 sq.ft. collector area), Solar Zone 4 - Winter Peaking</v>
      </c>
      <c r="B13" s="79">
        <f>MeasureTable!J11</f>
        <v>2400</v>
      </c>
      <c r="C13" s="79">
        <f>MeasureTable!K11</f>
        <v>2583</v>
      </c>
      <c r="D13" s="80">
        <f>MeasureTable!R11*C13</f>
        <v>1266.370840968936</v>
      </c>
      <c r="E13" s="80">
        <f>MeasureTable!U11*C13</f>
        <v>1267.112272011469</v>
      </c>
      <c r="F13" s="80">
        <f>MeasureTable!AF11*C13</f>
        <v>1284.37109375</v>
      </c>
    </row>
    <row r="14" spans="1:6" ht="12.75">
      <c r="A14" s="74" t="str">
        <f>MeasureTable!A12</f>
        <v>Solar Residential Water Heater (60 sq.ft. collector area), Solar Zone 5 - Summer Peaking</v>
      </c>
      <c r="B14" s="79">
        <f>MeasureTable!J12</f>
        <v>3200</v>
      </c>
      <c r="C14" s="79">
        <f>MeasureTable!K12</f>
        <v>3444</v>
      </c>
      <c r="D14" s="80">
        <f>MeasureTable!R12*C14</f>
        <v>1672.1197819818642</v>
      </c>
      <c r="E14" s="80">
        <f>MeasureTable!U12*C14</f>
        <v>1674.5275020044655</v>
      </c>
      <c r="F14" s="80">
        <f>MeasureTable!AF12*C14</f>
        <v>1713.629638671875</v>
      </c>
    </row>
    <row r="15" spans="1:6" ht="12.75">
      <c r="A15" s="74" t="str">
        <f>MeasureTable!A13</f>
        <v>Solar Residential Water Heater (per. 40 sq.ft. collector area), Solar Zone 3 - Summer Peaking</v>
      </c>
      <c r="B15" s="79">
        <f>MeasureTable!J13</f>
        <v>2200</v>
      </c>
      <c r="C15" s="79">
        <f>MeasureTable!K13</f>
        <v>2367.75</v>
      </c>
      <c r="D15" s="80">
        <f>MeasureTable!R13*C15</f>
        <v>1149.582350112532</v>
      </c>
      <c r="E15" s="80">
        <f>MeasureTable!U13*C15</f>
        <v>1151.005828954396</v>
      </c>
      <c r="F15" s="80">
        <f>MeasureTable!AF13*C15</f>
        <v>1189.239013671875</v>
      </c>
    </row>
    <row r="17" ht="12.75">
      <c r="A17" t="s">
        <v>180</v>
      </c>
    </row>
    <row r="18" ht="12.75">
      <c r="A18" t="s">
        <v>181</v>
      </c>
    </row>
    <row r="19" spans="1:10" ht="12.75">
      <c r="A19" t="s">
        <v>182</v>
      </c>
      <c r="F19" s="73"/>
      <c r="J19" t="s">
        <v>183</v>
      </c>
    </row>
    <row r="20" spans="6:11" ht="12.75">
      <c r="F20" s="73"/>
      <c r="J20" s="67">
        <v>1800</v>
      </c>
      <c r="K20" s="77">
        <f aca="true" t="shared" si="0" ref="K20:K25">J20/J$20</f>
        <v>1</v>
      </c>
    </row>
    <row r="21" spans="6:11" ht="12.75">
      <c r="F21" s="73"/>
      <c r="G21" s="77"/>
      <c r="H21" s="77"/>
      <c r="J21" s="67">
        <v>1770</v>
      </c>
      <c r="K21" s="77">
        <f t="shared" si="0"/>
        <v>0.9833333333333333</v>
      </c>
    </row>
    <row r="22" spans="6:11" ht="12.75">
      <c r="F22" s="73"/>
      <c r="G22" s="77"/>
      <c r="H22" s="77"/>
      <c r="J22" s="67">
        <v>1700</v>
      </c>
      <c r="K22" s="77">
        <f t="shared" si="0"/>
        <v>0.9444444444444444</v>
      </c>
    </row>
    <row r="23" spans="6:11" ht="12.75">
      <c r="F23" s="73"/>
      <c r="G23" s="77"/>
      <c r="H23" s="77"/>
      <c r="J23" s="67">
        <v>1540</v>
      </c>
      <c r="K23" s="77">
        <f t="shared" si="0"/>
        <v>0.8555555555555555</v>
      </c>
    </row>
    <row r="24" spans="6:11" ht="12.75">
      <c r="F24" s="73"/>
      <c r="G24" s="77"/>
      <c r="H24" s="77"/>
      <c r="J24" s="67">
        <v>1320</v>
      </c>
      <c r="K24" s="77">
        <f t="shared" si="0"/>
        <v>0.7333333333333333</v>
      </c>
    </row>
    <row r="25" spans="7:11" ht="12.75">
      <c r="G25" s="77"/>
      <c r="H25" s="77"/>
      <c r="J25" s="67">
        <v>1210</v>
      </c>
      <c r="K25" s="77">
        <f t="shared" si="0"/>
        <v>0.6722222222222223</v>
      </c>
    </row>
    <row r="26" spans="7:11" ht="12.75">
      <c r="G26" s="77"/>
      <c r="K26" s="77"/>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2:O51"/>
  <sheetViews>
    <sheetView workbookViewId="0" topLeftCell="A10">
      <selection activeCell="B39" sqref="B39"/>
    </sheetView>
  </sheetViews>
  <sheetFormatPr defaultColWidth="9.140625" defaultRowHeight="12.75"/>
  <cols>
    <col min="1" max="1" width="7.00390625" style="169" customWidth="1"/>
    <col min="2" max="2" width="28.421875" style="169" customWidth="1"/>
    <col min="3" max="3" width="15.7109375" style="169" bestFit="1" customWidth="1"/>
    <col min="4" max="4" width="13.421875" style="169" bestFit="1" customWidth="1"/>
    <col min="5" max="5" width="13.28125" style="169" bestFit="1" customWidth="1"/>
    <col min="6" max="6" width="13.140625" style="169" bestFit="1" customWidth="1"/>
    <col min="7" max="7" width="11.140625" style="169" customWidth="1"/>
    <col min="8" max="8" width="13.28125" style="169" bestFit="1" customWidth="1"/>
    <col min="9" max="9" width="13.28125" style="169" customWidth="1"/>
    <col min="10" max="10" width="27.8515625" style="169" customWidth="1"/>
    <col min="11" max="11" width="8.57421875" style="169" customWidth="1"/>
    <col min="12" max="16384" width="7.00390625" style="169" customWidth="1"/>
  </cols>
  <sheetData>
    <row r="2" ht="18">
      <c r="A2" s="168" t="s">
        <v>372</v>
      </c>
    </row>
    <row r="4" ht="12.75"/>
    <row r="5" ht="12.75"/>
    <row r="6" ht="12.75"/>
    <row r="10" ht="13.5" thickBot="1"/>
    <row r="11" spans="2:9" ht="13.5" thickBot="1">
      <c r="B11" s="170" t="s">
        <v>373</v>
      </c>
      <c r="C11" s="171">
        <f>'Input Assumptions'!H8</f>
        <v>0.9566261668292665</v>
      </c>
      <c r="D11" s="171">
        <f>'Input Assumptions'!H9</f>
        <v>0.04337383317073355</v>
      </c>
      <c r="E11" s="171">
        <f>'Input Assumptions'!H7</f>
        <v>1</v>
      </c>
      <c r="F11" s="171">
        <f>'Input Assumptions'!H6</f>
        <v>1</v>
      </c>
      <c r="G11" s="171">
        <f>'Input Assumptions'!H5</f>
        <v>0.21634851827027432</v>
      </c>
      <c r="H11" s="172">
        <f>'Input Assumptions'!H4</f>
        <v>0.7836514817297257</v>
      </c>
      <c r="I11" s="173"/>
    </row>
    <row r="12" spans="2:15" ht="26.25" thickBot="1">
      <c r="B12" s="174" t="s">
        <v>118</v>
      </c>
      <c r="C12" s="175" t="s">
        <v>161</v>
      </c>
      <c r="D12" s="76" t="s">
        <v>163</v>
      </c>
      <c r="E12" s="76" t="s">
        <v>160</v>
      </c>
      <c r="F12" s="76" t="s">
        <v>162</v>
      </c>
      <c r="G12" s="76" t="s">
        <v>374</v>
      </c>
      <c r="H12" s="176" t="s">
        <v>206</v>
      </c>
      <c r="I12" s="16"/>
      <c r="J12" s="177"/>
      <c r="K12" s="178" t="s">
        <v>375</v>
      </c>
      <c r="L12" s="178" t="s">
        <v>376</v>
      </c>
      <c r="M12" s="178" t="s">
        <v>377</v>
      </c>
      <c r="N12" s="178" t="s">
        <v>378</v>
      </c>
      <c r="O12" s="179" t="s">
        <v>371</v>
      </c>
    </row>
    <row r="13" spans="2:15" ht="12.75">
      <c r="B13" s="71"/>
      <c r="C13" s="180"/>
      <c r="D13" s="180"/>
      <c r="E13" s="180"/>
      <c r="F13" s="180"/>
      <c r="G13" s="180"/>
      <c r="H13" s="180"/>
      <c r="I13" s="75"/>
      <c r="J13" s="181"/>
      <c r="K13" s="182"/>
      <c r="L13" s="182"/>
      <c r="M13" s="182"/>
      <c r="N13" s="182"/>
      <c r="O13" s="183"/>
    </row>
    <row r="14" spans="2:15" ht="12.75">
      <c r="B14" s="184" t="s">
        <v>379</v>
      </c>
      <c r="C14" s="185">
        <v>1849.4080507421252</v>
      </c>
      <c r="D14" s="185">
        <v>1982.1106881847297</v>
      </c>
      <c r="E14" s="185">
        <v>1936.7252685357635</v>
      </c>
      <c r="F14" s="185">
        <v>2158.116019051248</v>
      </c>
      <c r="G14" s="185">
        <v>2394.20380473548</v>
      </c>
      <c r="H14" s="185">
        <v>2553.319574962179</v>
      </c>
      <c r="I14" s="186"/>
      <c r="J14" s="184" t="s">
        <v>379</v>
      </c>
      <c r="K14" s="187">
        <f>(C$11*C14)+(D$11*D14)</f>
        <v>1855.1638727998773</v>
      </c>
      <c r="L14" s="187">
        <f aca="true" t="shared" si="0" ref="L14:M16">E14</f>
        <v>1936.7252685357635</v>
      </c>
      <c r="M14" s="187">
        <f t="shared" si="0"/>
        <v>2158.116019051248</v>
      </c>
      <c r="N14" s="187">
        <f>(G$11*G14)+(H$11*H14)</f>
        <v>2518.895113840199</v>
      </c>
      <c r="O14" s="188">
        <f>O16*O18</f>
        <v>2628.8</v>
      </c>
    </row>
    <row r="15" spans="2:15" ht="12.75">
      <c r="B15" s="184" t="s">
        <v>380</v>
      </c>
      <c r="C15" s="185">
        <v>3038.1918253186986</v>
      </c>
      <c r="D15" s="185">
        <v>3316.6940419862776</v>
      </c>
      <c r="E15" s="185">
        <v>2865.8799204595643</v>
      </c>
      <c r="F15" s="185">
        <v>2880.0424145873717</v>
      </c>
      <c r="G15" s="185">
        <v>2476.267542518225</v>
      </c>
      <c r="H15" s="185">
        <v>2523.2225038463207</v>
      </c>
      <c r="I15" s="186"/>
      <c r="J15" s="184" t="s">
        <v>380</v>
      </c>
      <c r="K15" s="187">
        <f>(C$11*C15)+(D$11*D15)</f>
        <v>3050.271534002118</v>
      </c>
      <c r="L15" s="187">
        <f t="shared" si="0"/>
        <v>2865.8799204595643</v>
      </c>
      <c r="M15" s="187">
        <f t="shared" si="0"/>
        <v>2880.0424145873717</v>
      </c>
      <c r="N15" s="187">
        <f>(G$11*G15)+(H$11*H15)</f>
        <v>2513.063867537549</v>
      </c>
      <c r="O15" s="188">
        <f>O16*O19</f>
        <v>2331.2</v>
      </c>
    </row>
    <row r="16" spans="2:15" ht="12.75">
      <c r="B16" s="184" t="s">
        <v>381</v>
      </c>
      <c r="C16" s="185">
        <v>4887.599876060824</v>
      </c>
      <c r="D16" s="185">
        <v>5298.804730171008</v>
      </c>
      <c r="E16" s="185">
        <v>4802.605188995328</v>
      </c>
      <c r="F16" s="185">
        <v>5038.1584336386195</v>
      </c>
      <c r="G16" s="185">
        <v>4870.471347253705</v>
      </c>
      <c r="H16" s="185">
        <v>5076.542078808499</v>
      </c>
      <c r="I16" s="186"/>
      <c r="J16" s="184" t="s">
        <v>381</v>
      </c>
      <c r="K16" s="187">
        <f>(C$11*C16)+(D$11*D16)</f>
        <v>4905.435406801995</v>
      </c>
      <c r="L16" s="187">
        <f t="shared" si="0"/>
        <v>4802.605188995328</v>
      </c>
      <c r="M16" s="187">
        <f t="shared" si="0"/>
        <v>5038.1584336386195</v>
      </c>
      <c r="N16" s="187">
        <f>(G$11*G16)+(H$11*H16)</f>
        <v>5031.958981377748</v>
      </c>
      <c r="O16" s="188">
        <f>'Input Assumptions'!C3</f>
        <v>4960</v>
      </c>
    </row>
    <row r="17" spans="2:15" ht="12.75">
      <c r="B17" s="189"/>
      <c r="C17" s="190"/>
      <c r="D17" s="190"/>
      <c r="E17" s="190"/>
      <c r="F17" s="190"/>
      <c r="G17" s="190"/>
      <c r="H17" s="190"/>
      <c r="I17" s="191"/>
      <c r="J17" s="189"/>
      <c r="K17" s="182"/>
      <c r="L17" s="182"/>
      <c r="M17" s="182"/>
      <c r="N17" s="182"/>
      <c r="O17" s="183"/>
    </row>
    <row r="18" spans="2:15" ht="12.75">
      <c r="B18" s="184" t="s">
        <v>382</v>
      </c>
      <c r="C18" s="192">
        <v>0.37838777674916</v>
      </c>
      <c r="D18" s="192">
        <v>0.374067509394852</v>
      </c>
      <c r="E18" s="192">
        <v>0.40326555948708187</v>
      </c>
      <c r="F18" s="192">
        <v>0.42835413921126536</v>
      </c>
      <c r="G18" s="192">
        <v>0.49157538029363235</v>
      </c>
      <c r="H18" s="192">
        <v>0.5029643279469204</v>
      </c>
      <c r="I18" s="193"/>
      <c r="J18" s="184" t="s">
        <v>382</v>
      </c>
      <c r="K18" s="194">
        <f>(C$11*C18)+(D$11*D18)</f>
        <v>0.3782003901936813</v>
      </c>
      <c r="L18" s="194">
        <f>E18</f>
        <v>0.40326555948708187</v>
      </c>
      <c r="M18" s="194">
        <f>F18</f>
        <v>0.42835413921126536</v>
      </c>
      <c r="N18" s="194">
        <f>(G$11*G18)+(H$11*H18)</f>
        <v>0.5005003459974738</v>
      </c>
      <c r="O18" s="195">
        <f>'Input Assumptions'!D3</f>
        <v>0.53</v>
      </c>
    </row>
    <row r="19" spans="2:15" ht="12.75">
      <c r="B19" s="184" t="s">
        <v>383</v>
      </c>
      <c r="C19" s="192">
        <v>0.62161222325084</v>
      </c>
      <c r="D19" s="192">
        <v>0.6259324906051479</v>
      </c>
      <c r="E19" s="192">
        <v>0.5967344405129181</v>
      </c>
      <c r="F19" s="192">
        <v>0.5716458607887347</v>
      </c>
      <c r="G19" s="192">
        <v>0.5084246197063677</v>
      </c>
      <c r="H19" s="192">
        <v>0.4970356720530797</v>
      </c>
      <c r="I19" s="193"/>
      <c r="J19" s="184" t="s">
        <v>383</v>
      </c>
      <c r="K19" s="194">
        <f>(C$11*C19)+(D$11*D19)</f>
        <v>0.6217996098063187</v>
      </c>
      <c r="L19" s="194">
        <f>E19</f>
        <v>0.5967344405129181</v>
      </c>
      <c r="M19" s="194">
        <f>F19</f>
        <v>0.5716458607887347</v>
      </c>
      <c r="N19" s="194">
        <f>(G$11*G19)+(H$11*H19)</f>
        <v>0.4994996540025262</v>
      </c>
      <c r="O19" s="195">
        <f>1-O18</f>
        <v>0.47</v>
      </c>
    </row>
    <row r="20" spans="2:15" ht="12.75">
      <c r="B20" s="72"/>
      <c r="C20" s="196"/>
      <c r="D20" s="196"/>
      <c r="E20" s="196"/>
      <c r="F20" s="196"/>
      <c r="G20" s="196"/>
      <c r="H20" s="196"/>
      <c r="I20" s="197"/>
      <c r="J20" s="72"/>
      <c r="K20" s="182"/>
      <c r="L20" s="182"/>
      <c r="M20" s="182"/>
      <c r="N20" s="182"/>
      <c r="O20" s="183"/>
    </row>
    <row r="21" spans="2:15" ht="12.75">
      <c r="B21" s="184" t="s">
        <v>384</v>
      </c>
      <c r="C21" s="198">
        <v>1.124712192</v>
      </c>
      <c r="D21" s="198">
        <v>0.387522666</v>
      </c>
      <c r="E21" s="198">
        <v>1.215758364</v>
      </c>
      <c r="F21" s="198">
        <v>1.015350666</v>
      </c>
      <c r="G21" s="198">
        <v>1.1601900299999999</v>
      </c>
      <c r="H21" s="198">
        <v>0.53972373</v>
      </c>
      <c r="I21" s="199"/>
      <c r="J21" s="184" t="s">
        <v>384</v>
      </c>
      <c r="K21" s="200">
        <f>(C$11*C21)+(D$11*D21)</f>
        <v>1.092737456484064</v>
      </c>
      <c r="L21" s="200">
        <f aca="true" t="shared" si="1" ref="L21:M23">E21</f>
        <v>1.215758364</v>
      </c>
      <c r="M21" s="200">
        <f t="shared" si="1"/>
        <v>1.015350666</v>
      </c>
      <c r="N21" s="200">
        <f>(G$11*G21)+(H$11*H21)</f>
        <v>0.6739606946416394</v>
      </c>
      <c r="O21" s="201">
        <f>H21</f>
        <v>0.53972373</v>
      </c>
    </row>
    <row r="22" spans="2:15" ht="12.75">
      <c r="B22" s="184" t="s">
        <v>385</v>
      </c>
      <c r="C22" s="198">
        <v>0.705620334</v>
      </c>
      <c r="D22" s="198">
        <v>0.945092268</v>
      </c>
      <c r="E22" s="198">
        <v>0.773320194</v>
      </c>
      <c r="F22" s="198">
        <v>0.5828438459999999</v>
      </c>
      <c r="G22" s="198">
        <v>0.7299695039999999</v>
      </c>
      <c r="H22" s="198">
        <v>0.9657355859999999</v>
      </c>
      <c r="I22" s="199"/>
      <c r="J22" s="184" t="s">
        <v>385</v>
      </c>
      <c r="K22" s="200">
        <f>(C$11*C22)+(D$11*D22)</f>
        <v>0.716007149714389</v>
      </c>
      <c r="L22" s="200">
        <f t="shared" si="1"/>
        <v>0.773320194</v>
      </c>
      <c r="M22" s="200">
        <f t="shared" si="1"/>
        <v>0.5828438459999999</v>
      </c>
      <c r="N22" s="200">
        <f>(G$11*G22)+(H$11*H22)</f>
        <v>0.9147279435009119</v>
      </c>
      <c r="O22" s="201">
        <f>H22</f>
        <v>0.9657355859999999</v>
      </c>
    </row>
    <row r="23" spans="2:15" ht="12.75">
      <c r="B23" s="184" t="s">
        <v>386</v>
      </c>
      <c r="C23" s="198">
        <v>2.15533908</v>
      </c>
      <c r="D23" s="198">
        <v>2.083086078</v>
      </c>
      <c r="E23" s="198">
        <v>2.1325122540000003</v>
      </c>
      <c r="F23" s="198">
        <v>2.250224448</v>
      </c>
      <c r="G23" s="198">
        <v>2.320593966</v>
      </c>
      <c r="H23" s="198">
        <v>2.227805988</v>
      </c>
      <c r="I23" s="199"/>
      <c r="J23" s="184" t="s">
        <v>386</v>
      </c>
      <c r="K23" s="200">
        <f>(C$11*C23)+(D$11*D23)</f>
        <v>2.1522051903451676</v>
      </c>
      <c r="L23" s="200">
        <f t="shared" si="1"/>
        <v>2.1325122540000003</v>
      </c>
      <c r="M23" s="200">
        <f t="shared" si="1"/>
        <v>2.250224448</v>
      </c>
      <c r="N23" s="200">
        <f>(G$11*G23)+(H$11*H23)</f>
        <v>2.2478805295535946</v>
      </c>
      <c r="O23" s="201">
        <f>H23</f>
        <v>2.227805988</v>
      </c>
    </row>
    <row r="24" spans="2:15" ht="12.75">
      <c r="B24" s="184"/>
      <c r="C24" s="202"/>
      <c r="D24" s="202"/>
      <c r="E24" s="202"/>
      <c r="F24" s="202"/>
      <c r="G24" s="202"/>
      <c r="H24" s="202"/>
      <c r="I24" s="203"/>
      <c r="J24" s="184"/>
      <c r="K24" s="182"/>
      <c r="L24" s="182"/>
      <c r="M24" s="182"/>
      <c r="N24" s="182"/>
      <c r="O24" s="183"/>
    </row>
    <row r="25" spans="2:15" ht="12.75">
      <c r="B25" s="184" t="s">
        <v>387</v>
      </c>
      <c r="C25" s="204">
        <v>78.37384967864399</v>
      </c>
      <c r="D25" s="204">
        <v>57.34060354800001</v>
      </c>
      <c r="E25" s="204">
        <v>107.22447488291998</v>
      </c>
      <c r="F25" s="204">
        <v>148.70394313048791</v>
      </c>
      <c r="G25" s="204">
        <v>108.58746752471995</v>
      </c>
      <c r="H25" s="204">
        <v>119.79066165300002</v>
      </c>
      <c r="I25" s="205"/>
      <c r="J25" s="184" t="s">
        <v>387</v>
      </c>
      <c r="K25" s="187">
        <f aca="true" t="shared" si="2" ref="K25:K30">(C$11*C25)+(D$11*D25)</f>
        <v>77.46155716993447</v>
      </c>
      <c r="L25" s="187">
        <f aca="true" t="shared" si="3" ref="L25:M30">E25</f>
        <v>107.22447488291998</v>
      </c>
      <c r="M25" s="187">
        <f t="shared" si="3"/>
        <v>148.70394313048791</v>
      </c>
      <c r="N25" s="187">
        <f aca="true" t="shared" si="4" ref="N25:N30">(G$11*G25)+(H$11*H25)</f>
        <v>117.36686720345239</v>
      </c>
      <c r="O25" s="188">
        <f aca="true" t="shared" si="5" ref="O25:O30">H25</f>
        <v>119.79066165300002</v>
      </c>
    </row>
    <row r="26" spans="2:15" ht="12.75">
      <c r="B26" s="184" t="s">
        <v>388</v>
      </c>
      <c r="C26" s="204">
        <v>426.2402003966465</v>
      </c>
      <c r="D26" s="204">
        <v>544.7568931458424</v>
      </c>
      <c r="E26" s="204">
        <v>447.6640768641055</v>
      </c>
      <c r="F26" s="204">
        <v>480.6269175998637</v>
      </c>
      <c r="G26" s="204">
        <v>543.03852941274</v>
      </c>
      <c r="H26" s="204">
        <v>562.3078573634398</v>
      </c>
      <c r="I26" s="205"/>
      <c r="J26" s="184" t="s">
        <v>388</v>
      </c>
      <c r="K26" s="187">
        <f t="shared" si="2"/>
        <v>431.38072365589727</v>
      </c>
      <c r="L26" s="187">
        <f t="shared" si="3"/>
        <v>447.6640768641055</v>
      </c>
      <c r="M26" s="187">
        <f t="shared" si="3"/>
        <v>480.6269175998637</v>
      </c>
      <c r="N26" s="187">
        <f t="shared" si="4"/>
        <v>558.1389668132418</v>
      </c>
      <c r="O26" s="188">
        <f t="shared" si="5"/>
        <v>562.3078573634398</v>
      </c>
    </row>
    <row r="27" spans="2:15" ht="12.75">
      <c r="B27" s="184" t="s">
        <v>389</v>
      </c>
      <c r="C27" s="204">
        <v>1849.4080507421252</v>
      </c>
      <c r="D27" s="204">
        <v>1982.1106881847297</v>
      </c>
      <c r="E27" s="204">
        <v>1936.7252685357635</v>
      </c>
      <c r="F27" s="204">
        <v>2158.116019051248</v>
      </c>
      <c r="G27" s="204">
        <v>2394.20380473548</v>
      </c>
      <c r="H27" s="204">
        <v>2553.319574962179</v>
      </c>
      <c r="I27" s="205"/>
      <c r="J27" s="184" t="s">
        <v>389</v>
      </c>
      <c r="K27" s="187">
        <f t="shared" si="2"/>
        <v>1855.1638727998773</v>
      </c>
      <c r="L27" s="187">
        <f t="shared" si="3"/>
        <v>1936.7252685357635</v>
      </c>
      <c r="M27" s="187">
        <f t="shared" si="3"/>
        <v>2158.116019051248</v>
      </c>
      <c r="N27" s="187">
        <f t="shared" si="4"/>
        <v>2518.895113840199</v>
      </c>
      <c r="O27" s="188">
        <f t="shared" si="5"/>
        <v>2553.319574962179</v>
      </c>
    </row>
    <row r="28" spans="2:15" ht="12.75">
      <c r="B28" s="184" t="s">
        <v>390</v>
      </c>
      <c r="C28" s="206">
        <v>10.676850432626061</v>
      </c>
      <c r="D28" s="206">
        <v>5.028144903683286</v>
      </c>
      <c r="E28" s="206">
        <v>8.435799977604587</v>
      </c>
      <c r="F28" s="206">
        <v>5.08003271198476</v>
      </c>
      <c r="G28" s="206">
        <v>7.949180526965476</v>
      </c>
      <c r="H28" s="206">
        <v>3.3521348791209675</v>
      </c>
      <c r="I28" s="207"/>
      <c r="J28" s="184" t="s">
        <v>390</v>
      </c>
      <c r="K28" s="200">
        <f t="shared" si="2"/>
        <v>10.431844421383099</v>
      </c>
      <c r="L28" s="200">
        <f t="shared" si="3"/>
        <v>8.435799977604587</v>
      </c>
      <c r="M28" s="200">
        <f t="shared" si="3"/>
        <v>5.08003271198476</v>
      </c>
      <c r="N28" s="200">
        <f t="shared" si="4"/>
        <v>4.34669889345294</v>
      </c>
      <c r="O28" s="201">
        <f t="shared" si="5"/>
        <v>3.3521348791209675</v>
      </c>
    </row>
    <row r="29" spans="2:15" ht="12.75">
      <c r="B29" s="184" t="s">
        <v>391</v>
      </c>
      <c r="C29" s="208">
        <v>2.463313070927931</v>
      </c>
      <c r="D29" s="208">
        <v>2.5815135383840038</v>
      </c>
      <c r="E29" s="208">
        <v>2.570455187587702</v>
      </c>
      <c r="F29" s="208">
        <v>1.804459157591397</v>
      </c>
      <c r="G29" s="208">
        <v>2.0002164913171945</v>
      </c>
      <c r="H29" s="208">
        <v>2.555565484547739</v>
      </c>
      <c r="I29" s="209"/>
      <c r="J29" s="184" t="s">
        <v>391</v>
      </c>
      <c r="K29" s="200">
        <f t="shared" si="2"/>
        <v>2.4684398782840735</v>
      </c>
      <c r="L29" s="200">
        <f t="shared" si="3"/>
        <v>2.570455187587702</v>
      </c>
      <c r="M29" s="200">
        <f t="shared" si="3"/>
        <v>1.804459157591397</v>
      </c>
      <c r="N29" s="200">
        <f t="shared" si="4"/>
        <v>2.435416552739422</v>
      </c>
      <c r="O29" s="201">
        <f t="shared" si="5"/>
        <v>2.555565484547739</v>
      </c>
    </row>
    <row r="30" spans="2:15" ht="12.75">
      <c r="B30" s="184" t="s">
        <v>392</v>
      </c>
      <c r="C30" s="206">
        <v>0.09795193826099807</v>
      </c>
      <c r="D30" s="206">
        <v>0.10862169633303234</v>
      </c>
      <c r="E30" s="206">
        <v>0.10367460210706521</v>
      </c>
      <c r="F30" s="206">
        <v>0.10948253467176032</v>
      </c>
      <c r="G30" s="206">
        <v>0.11777628513132109</v>
      </c>
      <c r="H30" s="206">
        <v>0.13083492857747434</v>
      </c>
      <c r="I30" s="207"/>
      <c r="J30" s="184" t="s">
        <v>392</v>
      </c>
      <c r="K30" s="200">
        <f t="shared" si="2"/>
        <v>0.09841472656758657</v>
      </c>
      <c r="L30" s="200">
        <f t="shared" si="3"/>
        <v>0.10367460210706521</v>
      </c>
      <c r="M30" s="200">
        <f t="shared" si="3"/>
        <v>0.10948253467176032</v>
      </c>
      <c r="N30" s="200">
        <f t="shared" si="4"/>
        <v>0.12800971041727927</v>
      </c>
      <c r="O30" s="201">
        <f t="shared" si="5"/>
        <v>0.13083492857747434</v>
      </c>
    </row>
    <row r="31" spans="2:15" ht="12.75">
      <c r="B31" s="210" t="s">
        <v>393</v>
      </c>
      <c r="C31" s="211"/>
      <c r="D31" s="211"/>
      <c r="E31" s="211"/>
      <c r="F31" s="211"/>
      <c r="G31" s="211"/>
      <c r="H31" s="211"/>
      <c r="I31" s="212"/>
      <c r="J31" s="210" t="s">
        <v>393</v>
      </c>
      <c r="K31" s="182"/>
      <c r="L31" s="182"/>
      <c r="M31" s="182"/>
      <c r="N31" s="182"/>
      <c r="O31" s="183"/>
    </row>
    <row r="32" spans="2:15" ht="12.75">
      <c r="B32" s="184" t="s">
        <v>394</v>
      </c>
      <c r="C32" s="206">
        <v>0.5218261026473848</v>
      </c>
      <c r="D32" s="206">
        <v>0.18603295854776483</v>
      </c>
      <c r="E32" s="206">
        <v>0.5701061561168407</v>
      </c>
      <c r="F32" s="206">
        <v>0.4512219511713349</v>
      </c>
      <c r="G32" s="206">
        <v>0.4999539113685689</v>
      </c>
      <c r="H32" s="206">
        <v>0.2422669356789609</v>
      </c>
      <c r="I32" s="207"/>
      <c r="J32" s="184" t="s">
        <v>394</v>
      </c>
      <c r="K32" s="200">
        <f>(C$11*C32)+(D$11*D32)</f>
        <v>0.5072614668353319</v>
      </c>
      <c r="L32" s="200">
        <f>E32</f>
        <v>0.5701061561168407</v>
      </c>
      <c r="M32" s="200">
        <f>F32</f>
        <v>0.4512219511713349</v>
      </c>
      <c r="N32" s="200">
        <f>(G$11*G32)+(H$11*H32)</f>
        <v>0.2980171310469558</v>
      </c>
      <c r="O32" s="201">
        <f>H32</f>
        <v>0.2422669356789609</v>
      </c>
    </row>
    <row r="33" spans="2:15" ht="12.75">
      <c r="B33" s="213" t="s">
        <v>395</v>
      </c>
      <c r="C33" s="206">
        <v>0.327382517464491</v>
      </c>
      <c r="D33" s="206">
        <v>0.45369813469609294</v>
      </c>
      <c r="E33" s="206">
        <v>0.36263341162493495</v>
      </c>
      <c r="F33" s="206">
        <v>0.2590158712914313</v>
      </c>
      <c r="G33" s="206">
        <v>0.3145614936068484</v>
      </c>
      <c r="H33" s="206">
        <v>0.43349178124212845</v>
      </c>
      <c r="I33" s="214"/>
      <c r="J33" s="213" t="s">
        <v>395</v>
      </c>
      <c r="K33" s="200">
        <f>(C$11*C33)+(D$11*D33)</f>
        <v>0.3328613099731527</v>
      </c>
      <c r="L33" s="200">
        <f>E33</f>
        <v>0.36263341162493495</v>
      </c>
      <c r="M33" s="200">
        <f>F33</f>
        <v>0.2590158712914313</v>
      </c>
      <c r="N33" s="200">
        <f>(G$11*G33)+(H$11*H33)</f>
        <v>0.40776138973477805</v>
      </c>
      <c r="O33" s="201">
        <f>H33</f>
        <v>0.43349178124212845</v>
      </c>
    </row>
    <row r="34" spans="2:15" ht="13.5" thickBot="1">
      <c r="B34" s="215" t="s">
        <v>177</v>
      </c>
      <c r="C34" s="216"/>
      <c r="D34" s="216"/>
      <c r="E34" s="216"/>
      <c r="F34" s="216"/>
      <c r="G34" s="216"/>
      <c r="H34" s="216"/>
      <c r="I34" s="217"/>
      <c r="J34" s="215" t="s">
        <v>177</v>
      </c>
      <c r="K34" s="218"/>
      <c r="L34" s="218"/>
      <c r="M34" s="218"/>
      <c r="N34" s="218"/>
      <c r="O34" s="219"/>
    </row>
    <row r="50" spans="1:2" ht="89.25">
      <c r="A50" s="220" t="s">
        <v>396</v>
      </c>
      <c r="B50" s="220" t="s">
        <v>397</v>
      </c>
    </row>
    <row r="51" spans="1:2" ht="12.75">
      <c r="A51" s="221">
        <f>1540/8760</f>
        <v>0.17579908675799086</v>
      </c>
      <c r="B51" s="221" t="e">
        <f>(#REF!*#REF!*A51)/1</f>
        <v>#REF!</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9"/>
  <dimension ref="A3:D43"/>
  <sheetViews>
    <sheetView zoomScale="75" zoomScaleNormal="75" workbookViewId="0" topLeftCell="A16">
      <selection activeCell="D4" sqref="A4:D43"/>
    </sheetView>
  </sheetViews>
  <sheetFormatPr defaultColWidth="9.140625" defaultRowHeight="12.75"/>
  <cols>
    <col min="1" max="1" width="78.57421875" style="0" customWidth="1"/>
    <col min="2" max="2" width="92.421875" style="0" customWidth="1"/>
    <col min="3" max="3" width="31.421875" style="0" customWidth="1"/>
    <col min="4" max="4" width="57.140625" style="0" customWidth="1"/>
  </cols>
  <sheetData>
    <row r="3" spans="1:4" ht="12.75">
      <c r="A3" t="s">
        <v>115</v>
      </c>
      <c r="B3" t="s">
        <v>116</v>
      </c>
      <c r="C3" t="s">
        <v>117</v>
      </c>
      <c r="D3" t="s">
        <v>118</v>
      </c>
    </row>
    <row r="4" spans="1:4" ht="12.75">
      <c r="A4" t="s">
        <v>450</v>
      </c>
      <c r="B4" t="s">
        <v>184</v>
      </c>
      <c r="C4" t="s">
        <v>185</v>
      </c>
      <c r="D4" t="s">
        <v>411</v>
      </c>
    </row>
    <row r="5" spans="1:4" ht="12.75">
      <c r="A5" t="s">
        <v>415</v>
      </c>
      <c r="B5" t="s">
        <v>184</v>
      </c>
      <c r="C5" t="s">
        <v>185</v>
      </c>
      <c r="D5" t="s">
        <v>411</v>
      </c>
    </row>
    <row r="6" spans="1:4" ht="12.75">
      <c r="A6" t="s">
        <v>425</v>
      </c>
      <c r="B6" t="s">
        <v>184</v>
      </c>
      <c r="C6" t="s">
        <v>185</v>
      </c>
      <c r="D6" t="s">
        <v>411</v>
      </c>
    </row>
    <row r="7" spans="1:4" ht="12.75">
      <c r="A7" t="s">
        <v>435</v>
      </c>
      <c r="B7" t="s">
        <v>184</v>
      </c>
      <c r="C7" t="s">
        <v>185</v>
      </c>
      <c r="D7" t="s">
        <v>411</v>
      </c>
    </row>
    <row r="8" spans="1:4" ht="12.75">
      <c r="A8" t="s">
        <v>445</v>
      </c>
      <c r="B8" t="s">
        <v>184</v>
      </c>
      <c r="C8" t="s">
        <v>185</v>
      </c>
      <c r="D8" t="s">
        <v>413</v>
      </c>
    </row>
    <row r="9" spans="1:4" ht="12.75">
      <c r="A9" t="s">
        <v>416</v>
      </c>
      <c r="B9" t="s">
        <v>184</v>
      </c>
      <c r="C9" t="s">
        <v>185</v>
      </c>
      <c r="D9" t="s">
        <v>413</v>
      </c>
    </row>
    <row r="10" spans="1:4" ht="12.75">
      <c r="A10" t="s">
        <v>426</v>
      </c>
      <c r="B10" t="s">
        <v>184</v>
      </c>
      <c r="C10" t="s">
        <v>185</v>
      </c>
      <c r="D10" t="s">
        <v>413</v>
      </c>
    </row>
    <row r="11" spans="1:4" ht="12.75">
      <c r="A11" t="s">
        <v>436</v>
      </c>
      <c r="B11" t="s">
        <v>184</v>
      </c>
      <c r="C11" t="s">
        <v>185</v>
      </c>
      <c r="D11" t="s">
        <v>413</v>
      </c>
    </row>
    <row r="12" spans="1:4" ht="12.75">
      <c r="A12" t="s">
        <v>451</v>
      </c>
      <c r="B12" t="s">
        <v>184</v>
      </c>
      <c r="C12" t="s">
        <v>185</v>
      </c>
      <c r="D12" t="s">
        <v>410</v>
      </c>
    </row>
    <row r="13" spans="1:4" ht="12.75">
      <c r="A13" t="s">
        <v>417</v>
      </c>
      <c r="B13" t="s">
        <v>184</v>
      </c>
      <c r="C13" t="s">
        <v>185</v>
      </c>
      <c r="D13" t="s">
        <v>410</v>
      </c>
    </row>
    <row r="14" spans="1:4" ht="12.75">
      <c r="A14" t="s">
        <v>427</v>
      </c>
      <c r="B14" t="s">
        <v>184</v>
      </c>
      <c r="C14" t="s">
        <v>185</v>
      </c>
      <c r="D14" t="s">
        <v>410</v>
      </c>
    </row>
    <row r="15" spans="1:4" ht="12.75">
      <c r="A15" t="s">
        <v>437</v>
      </c>
      <c r="B15" t="s">
        <v>184</v>
      </c>
      <c r="C15" t="s">
        <v>185</v>
      </c>
      <c r="D15" t="s">
        <v>410</v>
      </c>
    </row>
    <row r="16" spans="1:4" ht="12.75">
      <c r="A16" t="s">
        <v>446</v>
      </c>
      <c r="B16" t="s">
        <v>184</v>
      </c>
      <c r="C16" t="s">
        <v>185</v>
      </c>
      <c r="D16" t="s">
        <v>412</v>
      </c>
    </row>
    <row r="17" spans="1:4" ht="12.75">
      <c r="A17" t="s">
        <v>418</v>
      </c>
      <c r="B17" t="s">
        <v>184</v>
      </c>
      <c r="C17" t="s">
        <v>185</v>
      </c>
      <c r="D17" t="s">
        <v>412</v>
      </c>
    </row>
    <row r="18" spans="1:4" ht="12.75">
      <c r="A18" t="s">
        <v>428</v>
      </c>
      <c r="B18" t="s">
        <v>184</v>
      </c>
      <c r="C18" t="s">
        <v>185</v>
      </c>
      <c r="D18" t="s">
        <v>412</v>
      </c>
    </row>
    <row r="19" spans="1:4" ht="12.75">
      <c r="A19" t="s">
        <v>438</v>
      </c>
      <c r="B19" t="s">
        <v>184</v>
      </c>
      <c r="C19" t="s">
        <v>185</v>
      </c>
      <c r="D19" t="s">
        <v>412</v>
      </c>
    </row>
    <row r="20" spans="1:4" ht="12.75">
      <c r="A20" t="s">
        <v>452</v>
      </c>
      <c r="B20" t="s">
        <v>184</v>
      </c>
      <c r="C20" t="s">
        <v>185</v>
      </c>
      <c r="D20" t="s">
        <v>407</v>
      </c>
    </row>
    <row r="21" spans="1:4" ht="12.75">
      <c r="A21" t="s">
        <v>419</v>
      </c>
      <c r="B21" t="s">
        <v>184</v>
      </c>
      <c r="C21" t="s">
        <v>185</v>
      </c>
      <c r="D21" t="s">
        <v>407</v>
      </c>
    </row>
    <row r="22" spans="1:4" ht="12.75">
      <c r="A22" t="s">
        <v>429</v>
      </c>
      <c r="B22" t="s">
        <v>184</v>
      </c>
      <c r="C22" t="s">
        <v>185</v>
      </c>
      <c r="D22" t="s">
        <v>407</v>
      </c>
    </row>
    <row r="23" spans="1:4" ht="12.75">
      <c r="A23" t="s">
        <v>439</v>
      </c>
      <c r="B23" t="s">
        <v>184</v>
      </c>
      <c r="C23" t="s">
        <v>185</v>
      </c>
      <c r="D23" t="s">
        <v>407</v>
      </c>
    </row>
    <row r="24" spans="1:4" ht="12.75">
      <c r="A24" t="s">
        <v>447</v>
      </c>
      <c r="B24" t="s">
        <v>184</v>
      </c>
      <c r="C24" t="s">
        <v>185</v>
      </c>
      <c r="D24" t="s">
        <v>409</v>
      </c>
    </row>
    <row r="25" spans="1:4" ht="12.75">
      <c r="A25" t="s">
        <v>420</v>
      </c>
      <c r="B25" t="s">
        <v>184</v>
      </c>
      <c r="C25" t="s">
        <v>185</v>
      </c>
      <c r="D25" t="s">
        <v>409</v>
      </c>
    </row>
    <row r="26" spans="1:4" ht="12.75">
      <c r="A26" t="s">
        <v>430</v>
      </c>
      <c r="B26" t="s">
        <v>184</v>
      </c>
      <c r="C26" t="s">
        <v>185</v>
      </c>
      <c r="D26" t="s">
        <v>409</v>
      </c>
    </row>
    <row r="27" spans="1:4" ht="12.75">
      <c r="A27" t="s">
        <v>440</v>
      </c>
      <c r="B27" t="s">
        <v>184</v>
      </c>
      <c r="C27" t="s">
        <v>185</v>
      </c>
      <c r="D27" t="s">
        <v>409</v>
      </c>
    </row>
    <row r="28" spans="1:4" ht="12.75">
      <c r="A28" t="s">
        <v>453</v>
      </c>
      <c r="B28" t="s">
        <v>184</v>
      </c>
      <c r="C28" t="s">
        <v>185</v>
      </c>
      <c r="D28" t="s">
        <v>405</v>
      </c>
    </row>
    <row r="29" spans="1:4" ht="12.75">
      <c r="A29" t="s">
        <v>421</v>
      </c>
      <c r="B29" t="s">
        <v>184</v>
      </c>
      <c r="C29" t="s">
        <v>185</v>
      </c>
      <c r="D29" t="s">
        <v>405</v>
      </c>
    </row>
    <row r="30" spans="1:4" ht="12.75">
      <c r="A30" t="s">
        <v>431</v>
      </c>
      <c r="B30" t="s">
        <v>184</v>
      </c>
      <c r="C30" t="s">
        <v>185</v>
      </c>
      <c r="D30" t="s">
        <v>405</v>
      </c>
    </row>
    <row r="31" spans="1:4" ht="12.75">
      <c r="A31" t="s">
        <v>441</v>
      </c>
      <c r="B31" t="s">
        <v>184</v>
      </c>
      <c r="C31" t="s">
        <v>185</v>
      </c>
      <c r="D31" t="s">
        <v>405</v>
      </c>
    </row>
    <row r="32" spans="1:4" ht="12.75">
      <c r="A32" t="s">
        <v>448</v>
      </c>
      <c r="B32" t="s">
        <v>184</v>
      </c>
      <c r="C32" t="s">
        <v>185</v>
      </c>
      <c r="D32" t="s">
        <v>408</v>
      </c>
    </row>
    <row r="33" spans="1:4" ht="12.75">
      <c r="A33" t="s">
        <v>422</v>
      </c>
      <c r="B33" t="s">
        <v>184</v>
      </c>
      <c r="C33" t="s">
        <v>185</v>
      </c>
      <c r="D33" t="s">
        <v>408</v>
      </c>
    </row>
    <row r="34" spans="1:4" ht="12.75">
      <c r="A34" t="s">
        <v>432</v>
      </c>
      <c r="B34" t="s">
        <v>184</v>
      </c>
      <c r="C34" t="s">
        <v>185</v>
      </c>
      <c r="D34" t="s">
        <v>408</v>
      </c>
    </row>
    <row r="35" spans="1:4" ht="12.75">
      <c r="A35" t="s">
        <v>442</v>
      </c>
      <c r="B35" t="s">
        <v>184</v>
      </c>
      <c r="C35" t="s">
        <v>185</v>
      </c>
      <c r="D35" t="s">
        <v>408</v>
      </c>
    </row>
    <row r="36" spans="1:4" ht="12.75">
      <c r="A36" t="s">
        <v>454</v>
      </c>
      <c r="B36" t="s">
        <v>184</v>
      </c>
      <c r="C36" t="s">
        <v>185</v>
      </c>
      <c r="D36" t="s">
        <v>404</v>
      </c>
    </row>
    <row r="37" spans="1:4" ht="12.75">
      <c r="A37" t="s">
        <v>423</v>
      </c>
      <c r="B37" t="s">
        <v>184</v>
      </c>
      <c r="C37" t="s">
        <v>185</v>
      </c>
      <c r="D37" t="s">
        <v>404</v>
      </c>
    </row>
    <row r="38" spans="1:4" ht="12.75">
      <c r="A38" t="s">
        <v>433</v>
      </c>
      <c r="B38" t="s">
        <v>184</v>
      </c>
      <c r="C38" t="s">
        <v>185</v>
      </c>
      <c r="D38" t="s">
        <v>404</v>
      </c>
    </row>
    <row r="39" spans="1:4" ht="12.75">
      <c r="A39" t="s">
        <v>443</v>
      </c>
      <c r="B39" t="s">
        <v>184</v>
      </c>
      <c r="C39" t="s">
        <v>185</v>
      </c>
      <c r="D39" t="s">
        <v>404</v>
      </c>
    </row>
    <row r="40" spans="1:4" ht="12.75">
      <c r="A40" t="s">
        <v>449</v>
      </c>
      <c r="B40" t="s">
        <v>184</v>
      </c>
      <c r="C40" t="s">
        <v>185</v>
      </c>
      <c r="D40" t="s">
        <v>406</v>
      </c>
    </row>
    <row r="41" spans="1:4" ht="12.75">
      <c r="A41" t="s">
        <v>424</v>
      </c>
      <c r="B41" t="s">
        <v>184</v>
      </c>
      <c r="C41" t="s">
        <v>185</v>
      </c>
      <c r="D41" t="s">
        <v>406</v>
      </c>
    </row>
    <row r="42" spans="1:4" ht="12.75">
      <c r="A42" t="s">
        <v>434</v>
      </c>
      <c r="B42" t="s">
        <v>184</v>
      </c>
      <c r="C42" t="s">
        <v>185</v>
      </c>
      <c r="D42" t="s">
        <v>406</v>
      </c>
    </row>
    <row r="43" spans="1:4" ht="12.75">
      <c r="A43" t="s">
        <v>444</v>
      </c>
      <c r="B43" t="s">
        <v>184</v>
      </c>
      <c r="C43" t="s">
        <v>185</v>
      </c>
      <c r="D43" t="s">
        <v>406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AL43"/>
  <sheetViews>
    <sheetView tabSelected="1" workbookViewId="0" topLeftCell="A1">
      <selection activeCell="A1" sqref="A1"/>
    </sheetView>
  </sheetViews>
  <sheetFormatPr defaultColWidth="9.140625" defaultRowHeight="12.75"/>
  <cols>
    <col min="1" max="1" width="44.57421875" style="5" customWidth="1"/>
    <col min="2" max="2" width="38.28125" style="5" customWidth="1"/>
    <col min="3" max="3" width="12.7109375" style="5" bestFit="1" customWidth="1"/>
    <col min="4" max="4" width="21.7109375" style="5" customWidth="1"/>
    <col min="5" max="5" width="12.8515625" style="5" bestFit="1" customWidth="1"/>
    <col min="6" max="6" width="14.421875" style="5" bestFit="1" customWidth="1"/>
    <col min="7" max="7" width="14.421875" style="5" customWidth="1"/>
    <col min="8" max="8" width="10.00390625" style="5" bestFit="1" customWidth="1"/>
    <col min="9" max="9" width="10.421875" style="5" bestFit="1" customWidth="1"/>
    <col min="10" max="11" width="11.7109375" style="5" bestFit="1" customWidth="1"/>
    <col min="12" max="12" width="19.7109375" style="5" bestFit="1" customWidth="1"/>
    <col min="13" max="13" width="12.140625" style="5" bestFit="1" customWidth="1"/>
    <col min="14" max="15" width="14.57421875" style="5" bestFit="1" customWidth="1"/>
    <col min="16" max="16" width="14.57421875" style="5" customWidth="1"/>
    <col min="17" max="17" width="12.28125" style="5" bestFit="1" customWidth="1"/>
    <col min="18" max="18" width="16.140625" style="5" bestFit="1" customWidth="1"/>
    <col min="19" max="19" width="15.140625" style="5" bestFit="1" customWidth="1"/>
    <col min="20" max="20" width="18.28125" style="5" bestFit="1" customWidth="1"/>
    <col min="21" max="21" width="16.140625" style="5" bestFit="1" customWidth="1"/>
    <col min="22" max="22" width="10.8515625" style="5" bestFit="1" customWidth="1"/>
    <col min="23" max="23" width="8.7109375" style="5" bestFit="1" customWidth="1"/>
    <col min="24" max="24" width="14.00390625" style="5" bestFit="1" customWidth="1"/>
    <col min="25" max="25" width="16.8515625" style="5" bestFit="1" customWidth="1"/>
    <col min="26" max="26" width="22.57421875" style="5" bestFit="1" customWidth="1"/>
    <col min="27" max="27" width="19.00390625" style="5" bestFit="1" customWidth="1"/>
    <col min="28" max="28" width="9.8515625" style="5" bestFit="1" customWidth="1"/>
    <col min="29" max="29" width="15.140625" style="5" bestFit="1" customWidth="1"/>
    <col min="30" max="30" width="15.57421875" style="5" bestFit="1" customWidth="1"/>
    <col min="31" max="31" width="15.140625" style="5" bestFit="1" customWidth="1"/>
    <col min="32" max="32" width="15.421875" style="5" bestFit="1" customWidth="1"/>
    <col min="33" max="33" width="21.8515625" style="5" bestFit="1" customWidth="1"/>
    <col min="34" max="34" width="12.28125" style="5" bestFit="1" customWidth="1"/>
    <col min="35" max="35" width="61.28125" style="5" customWidth="1"/>
    <col min="36" max="36" width="65.7109375" style="5" bestFit="1" customWidth="1"/>
    <col min="37" max="37" width="12.140625" style="5" customWidth="1"/>
    <col min="38" max="16384" width="9.140625" style="5" customWidth="1"/>
  </cols>
  <sheetData>
    <row r="1" ht="13.5" thickBot="1"/>
    <row r="2" spans="1:36" s="84" customFormat="1" ht="36.75" thickBot="1">
      <c r="A2" s="298" t="s">
        <v>111</v>
      </c>
      <c r="B2" s="299"/>
      <c r="C2" s="299"/>
      <c r="D2" s="299"/>
      <c r="E2" s="299"/>
      <c r="F2" s="299"/>
      <c r="G2" s="299"/>
      <c r="H2" s="299"/>
      <c r="I2" s="299"/>
      <c r="J2" s="299"/>
      <c r="K2" s="299"/>
      <c r="L2" s="299"/>
      <c r="M2" s="299"/>
      <c r="N2" s="299"/>
      <c r="O2" s="299"/>
      <c r="P2" s="299"/>
      <c r="Q2" s="299"/>
      <c r="R2" s="299"/>
      <c r="S2" s="299"/>
      <c r="T2" s="299"/>
      <c r="U2" s="299"/>
      <c r="V2" s="299"/>
      <c r="W2" s="300"/>
      <c r="X2" s="81" t="s">
        <v>112</v>
      </c>
      <c r="Y2" s="82"/>
      <c r="Z2" s="83"/>
      <c r="AA2" s="81" t="s">
        <v>113</v>
      </c>
      <c r="AB2" s="82"/>
      <c r="AC2" s="82"/>
      <c r="AD2" s="83"/>
      <c r="AE2" s="81" t="s">
        <v>114</v>
      </c>
      <c r="AF2" s="82"/>
      <c r="AG2" s="82"/>
      <c r="AH2" s="83"/>
      <c r="AI2" s="81" t="s">
        <v>146</v>
      </c>
      <c r="AJ2" s="83"/>
    </row>
    <row r="3" spans="1:38" s="63" customFormat="1" ht="77.25" thickBot="1">
      <c r="A3" s="61" t="s">
        <v>115</v>
      </c>
      <c r="B3" s="62" t="s">
        <v>116</v>
      </c>
      <c r="C3" s="62" t="s">
        <v>117</v>
      </c>
      <c r="D3" s="62" t="s">
        <v>118</v>
      </c>
      <c r="E3" s="62" t="s">
        <v>148</v>
      </c>
      <c r="F3" s="62" t="s">
        <v>149</v>
      </c>
      <c r="G3" s="62" t="s">
        <v>150</v>
      </c>
      <c r="H3" s="62" t="s">
        <v>119</v>
      </c>
      <c r="I3" s="62" t="s">
        <v>151</v>
      </c>
      <c r="J3" s="62" t="s">
        <v>120</v>
      </c>
      <c r="K3" s="62" t="s">
        <v>121</v>
      </c>
      <c r="L3" s="62" t="s">
        <v>122</v>
      </c>
      <c r="M3" s="62" t="s">
        <v>123</v>
      </c>
      <c r="N3" s="62" t="s">
        <v>152</v>
      </c>
      <c r="O3" s="62" t="s">
        <v>124</v>
      </c>
      <c r="P3" s="62" t="s">
        <v>153</v>
      </c>
      <c r="Q3" s="62" t="s">
        <v>125</v>
      </c>
      <c r="R3" s="62" t="s">
        <v>126</v>
      </c>
      <c r="S3" s="62" t="s">
        <v>130</v>
      </c>
      <c r="T3" s="62" t="s">
        <v>131</v>
      </c>
      <c r="U3" s="62" t="s">
        <v>132</v>
      </c>
      <c r="V3" s="62" t="s">
        <v>133</v>
      </c>
      <c r="W3" s="62" t="s">
        <v>134</v>
      </c>
      <c r="X3" s="85" t="s">
        <v>135</v>
      </c>
      <c r="Y3" s="85" t="s">
        <v>136</v>
      </c>
      <c r="Z3" s="86" t="s">
        <v>137</v>
      </c>
      <c r="AA3" s="86" t="s">
        <v>138</v>
      </c>
      <c r="AB3" s="86" t="s">
        <v>139</v>
      </c>
      <c r="AC3" s="86" t="s">
        <v>140</v>
      </c>
      <c r="AD3" s="86" t="s">
        <v>141</v>
      </c>
      <c r="AE3" s="86" t="s">
        <v>142</v>
      </c>
      <c r="AF3" s="86" t="s">
        <v>143</v>
      </c>
      <c r="AG3" s="86" t="s">
        <v>144</v>
      </c>
      <c r="AH3" s="87" t="s">
        <v>134</v>
      </c>
      <c r="AI3" s="88" t="s">
        <v>145</v>
      </c>
      <c r="AJ3" s="89" t="s">
        <v>146</v>
      </c>
      <c r="AK3" s="306" t="s">
        <v>61</v>
      </c>
      <c r="AL3" s="90"/>
    </row>
    <row r="4" spans="1:38" ht="51">
      <c r="A4" s="91" t="str">
        <f>'Solar DHW'!B95</f>
        <v>Solar Residential Water Heater (per. 40 sq.ft. collector area), Solar Zone 5 - Summer Peaking</v>
      </c>
      <c r="B4" s="92" t="str">
        <f>VLOOKUP($A4,'Lookup Table'!$A$3:$D$43,2,0)</f>
        <v>System must be design,installed and inspected per EWEB Solar Water Heater Program Specifications or equivalent</v>
      </c>
      <c r="C4" s="92" t="str">
        <f>VLOOKUP($A4,'Lookup Table'!$A$3:$D$43,3,0)</f>
        <v>Residential domestic water heating</v>
      </c>
      <c r="D4" s="92" t="str">
        <f>VLOOKUP($A4,'Lookup Table'!$A$3:$D$43,4,0)</f>
        <v>Solar Zone 5, summer-peaking utility distribution system or sub-system</v>
      </c>
      <c r="E4" s="93">
        <f>'Solar DHW'!E95</f>
        <v>3850</v>
      </c>
      <c r="F4" s="93">
        <f>'Solar DHW'!F95</f>
        <v>0</v>
      </c>
      <c r="G4" s="93">
        <f>'Solar DHW'!G95</f>
        <v>602.8137817382812</v>
      </c>
      <c r="H4" s="94">
        <f>'Solar DHW'!C95</f>
        <v>20</v>
      </c>
      <c r="I4" s="94" t="s">
        <v>156</v>
      </c>
      <c r="J4" s="94">
        <f>'Solar DHW'!D95</f>
        <v>2600</v>
      </c>
      <c r="K4" s="94">
        <f>'Solar DHW'!K95</f>
        <v>2798.25</v>
      </c>
      <c r="L4" s="95">
        <f>'Solar DHW'!J95</f>
        <v>0.4300000071525574</v>
      </c>
      <c r="M4" s="95">
        <f>'Solar DHW'!L95</f>
        <v>0.05365508704403198</v>
      </c>
      <c r="N4" s="96">
        <f>'Solar DHW'!N95/'Solar DHW'!$K95</f>
        <v>1.3758602060287493</v>
      </c>
      <c r="O4" s="96">
        <f>'Solar DHW'!O95/'Solar DHW'!$K95</f>
        <v>0</v>
      </c>
      <c r="P4" s="96">
        <f>'Solar DHW'!P95/'Solar DHW'!$K95</f>
        <v>0.21542527713330875</v>
      </c>
      <c r="Q4" s="96">
        <f>'Solar DHW'!Q95/'Solar DHW'!$K95</f>
        <v>1.591285429509515</v>
      </c>
      <c r="R4" s="96">
        <f>'Solar DHW'!S95/'Solar DHW'!$K95</f>
        <v>0.4855167775789374</v>
      </c>
      <c r="S4" s="96">
        <f>'Solar DHW'!T95/'Solar DHW'!$K95</f>
        <v>0.0007323132415010794</v>
      </c>
      <c r="T4" s="96">
        <f>'Solar DHW'!U95/'Solar DHW'!$K95</f>
        <v>0</v>
      </c>
      <c r="U4" s="96">
        <f>'Solar DHW'!V95/'Solar DHW'!$K95</f>
        <v>0.48621588327655685</v>
      </c>
      <c r="V4" s="96">
        <f aca="true" t="shared" si="0" ref="V4:V13">U4-Q4</f>
        <v>-1.105069546232958</v>
      </c>
      <c r="W4" s="95">
        <f>'Solar DHW'!X95</f>
        <v>0.35339046884709246</v>
      </c>
      <c r="X4" s="95">
        <f>'Solar DHW'!I95</f>
        <v>2.56</v>
      </c>
      <c r="Y4" s="95">
        <f>'Solar DHW'!M95</f>
        <v>0.12477926909923553</v>
      </c>
      <c r="Z4" s="95">
        <f>'Solar DHW'!Y95/'Solar DHW'!$K95</f>
        <v>0.011353693730090096</v>
      </c>
      <c r="AA4" s="96">
        <v>0</v>
      </c>
      <c r="AB4" s="96">
        <v>0</v>
      </c>
      <c r="AC4" s="96">
        <f>'Solar DHW'!Z95/'Solar DHW'!$K95</f>
        <v>0</v>
      </c>
      <c r="AD4" s="96">
        <f>'Solar DHW'!AA95/'Solar DHW'!$K95</f>
        <v>0</v>
      </c>
      <c r="AE4" s="96">
        <f>'Solar DHW'!AC95/'Solar DHW'!$K95</f>
        <v>1.591285429509515</v>
      </c>
      <c r="AF4" s="96">
        <f>'Solar DHW'!AB95/'Solar DHW'!$K95</f>
        <v>0.4975695869488743</v>
      </c>
      <c r="AG4" s="96">
        <f aca="true" t="shared" si="1" ref="AG4:AG13">AF4-AE4</f>
        <v>-1.0937158425606406</v>
      </c>
      <c r="AH4" s="95">
        <f>'Solar DHW'!AD95</f>
        <v>0.3126840591430664</v>
      </c>
      <c r="AI4" s="97" t="s">
        <v>186</v>
      </c>
      <c r="AJ4" s="98"/>
      <c r="AK4" s="307">
        <f>VLOOKUP(A4,'Solar DHW'!B$95:R$134,17,0)</f>
        <v>124.99621471503981</v>
      </c>
      <c r="AL4" s="90"/>
    </row>
    <row r="5" spans="1:37" ht="51">
      <c r="A5" s="91" t="str">
        <f>'Solar DHW'!B96</f>
        <v>Solar Residential Water Heater (per. 40 sq.ft. collector area), Solar Zone 5 - Winter Peaking</v>
      </c>
      <c r="B5" s="92" t="str">
        <f>VLOOKUP($A5,'Lookup Table'!$A$3:$D$43,2,0)</f>
        <v>System must be design,installed and inspected per EWEB Solar Water Heater Program Specifications or equivalent</v>
      </c>
      <c r="C5" s="92" t="str">
        <f>VLOOKUP($A5,'Lookup Table'!$A$3:$D$43,3,0)</f>
        <v>Residential domestic water heating</v>
      </c>
      <c r="D5" s="92" t="str">
        <f>VLOOKUP($A5,'Lookup Table'!$A$3:$D$43,4,0)</f>
        <v>Solar Zone 5, winter-peaking utility distribution system or sub-system</v>
      </c>
      <c r="E5" s="93">
        <f>'Solar DHW'!E96</f>
        <v>3850</v>
      </c>
      <c r="F5" s="93">
        <f>'Solar DHW'!F96</f>
        <v>0</v>
      </c>
      <c r="G5" s="93">
        <f>'Solar DHW'!G96</f>
        <v>602.8137817382812</v>
      </c>
      <c r="H5" s="94">
        <f>'Solar DHW'!C96</f>
        <v>20</v>
      </c>
      <c r="I5" s="94" t="s">
        <v>156</v>
      </c>
      <c r="J5" s="94">
        <f>'Solar DHW'!D96</f>
        <v>2600</v>
      </c>
      <c r="K5" s="94">
        <f>'Solar DHW'!K96</f>
        <v>2798.25</v>
      </c>
      <c r="L5" s="95">
        <f>'Solar DHW'!J96</f>
        <v>0.23999999463558197</v>
      </c>
      <c r="M5" s="95">
        <f>'Solar DHW'!L96</f>
        <v>0.0228848901038989</v>
      </c>
      <c r="N5" s="96">
        <f>'Solar DHW'!N96/'Solar DHW'!$K96</f>
        <v>1.3758602060287493</v>
      </c>
      <c r="O5" s="96">
        <f>'Solar DHW'!O96/'Solar DHW'!$K96</f>
        <v>0</v>
      </c>
      <c r="P5" s="96">
        <f>'Solar DHW'!P96/'Solar DHW'!$K96</f>
        <v>0.21542527713330875</v>
      </c>
      <c r="Q5" s="96">
        <f>'Solar DHW'!Q96/'Solar DHW'!$K96</f>
        <v>1.591285429509515</v>
      </c>
      <c r="R5" s="96">
        <f>'Solar DHW'!S96/'Solar DHW'!$K96</f>
        <v>0.4855167775789374</v>
      </c>
      <c r="S5" s="96">
        <f>'Solar DHW'!T96/'Solar DHW'!$K96</f>
        <v>0.0003123451874657226</v>
      </c>
      <c r="T5" s="96">
        <f>'Solar DHW'!U96/'Solar DHW'!$K96</f>
        <v>0</v>
      </c>
      <c r="U5" s="96">
        <f>'Solar DHW'!V96/'Solar DHW'!$K96</f>
        <v>0.48581495912969885</v>
      </c>
      <c r="V5" s="96">
        <f t="shared" si="0"/>
        <v>-1.105470470379816</v>
      </c>
      <c r="W5" s="95">
        <f>'Solar DHW'!X96</f>
        <v>0.35309906994980533</v>
      </c>
      <c r="X5" s="95">
        <f>'Solar DHW'!I96</f>
        <v>3.35</v>
      </c>
      <c r="Y5" s="95">
        <f>'Solar DHW'!M96</f>
        <v>0.09535370767116547</v>
      </c>
      <c r="Z5" s="95">
        <f>'Solar DHW'!Y96/'Solar DHW'!$K96</f>
        <v>0.008676254748233062</v>
      </c>
      <c r="AA5" s="96">
        <v>0</v>
      </c>
      <c r="AB5" s="96">
        <v>0</v>
      </c>
      <c r="AC5" s="96">
        <f>'Solar DHW'!Z96/'Solar DHW'!$K96</f>
        <v>0</v>
      </c>
      <c r="AD5" s="96">
        <f>'Solar DHW'!AA96/'Solar DHW'!$K96</f>
        <v>0</v>
      </c>
      <c r="AE5" s="96">
        <f>'Solar DHW'!AC96/'Solar DHW'!$K96</f>
        <v>1.591285429509515</v>
      </c>
      <c r="AF5" s="96">
        <f>'Solar DHW'!AB96/'Solar DHW'!$K96</f>
        <v>0.49449122952124097</v>
      </c>
      <c r="AG5" s="96">
        <f t="shared" si="1"/>
        <v>-1.096794199988274</v>
      </c>
      <c r="AH5" s="95">
        <f>'Solar DHW'!AD96</f>
        <v>0.3107495605945587</v>
      </c>
      <c r="AI5" s="97" t="s">
        <v>186</v>
      </c>
      <c r="AJ5" s="98"/>
      <c r="AK5" s="307">
        <f>VLOOKUP(A5,'Solar DHW'!B$95:R$134,17,0)</f>
        <v>124.99621471503981</v>
      </c>
    </row>
    <row r="6" spans="1:37" ht="51">
      <c r="A6" s="91" t="str">
        <f>'Solar DHW'!B97</f>
        <v>Solar Residential Water Heater (per. 40 sq.ft. collector area), Solar Zone 4 - Summer Peaking</v>
      </c>
      <c r="B6" s="92" t="str">
        <f>VLOOKUP($A6,'Lookup Table'!$A$3:$D$43,2,0)</f>
        <v>System must be design,installed and inspected per EWEB Solar Water Heater Program Specifications or equivalent</v>
      </c>
      <c r="C6" s="92" t="str">
        <f>VLOOKUP($A6,'Lookup Table'!$A$3:$D$43,3,0)</f>
        <v>Residential domestic water heating</v>
      </c>
      <c r="D6" s="92" t="str">
        <f>VLOOKUP($A6,'Lookup Table'!$A$3:$D$43,4,0)</f>
        <v>Solar Zone 4, summer-peaking utility distribution system or sub-system</v>
      </c>
      <c r="E6" s="93">
        <f>'Solar DHW'!E97</f>
        <v>3850</v>
      </c>
      <c r="F6" s="93">
        <f>'Solar DHW'!F97</f>
        <v>0</v>
      </c>
      <c r="G6" s="93">
        <f>'Solar DHW'!G97</f>
        <v>602.8137817382812</v>
      </c>
      <c r="H6" s="94">
        <f>'Solar DHW'!C97</f>
        <v>20</v>
      </c>
      <c r="I6" s="94" t="s">
        <v>156</v>
      </c>
      <c r="J6" s="94">
        <f>'Solar DHW'!D97</f>
        <v>2500</v>
      </c>
      <c r="K6" s="94">
        <f>'Solar DHW'!K97</f>
        <v>2690.6249999999995</v>
      </c>
      <c r="L6" s="95">
        <f>'Solar DHW'!J97</f>
        <v>0.4099999964237213</v>
      </c>
      <c r="M6" s="95">
        <f>'Solar DHW'!L97</f>
        <v>0.051611097405193825</v>
      </c>
      <c r="N6" s="96">
        <f>'Solar DHW'!N97/'Solar DHW'!$K97</f>
        <v>1.4308946142698993</v>
      </c>
      <c r="O6" s="96">
        <f>'Solar DHW'!O97/'Solar DHW'!$K97</f>
        <v>0</v>
      </c>
      <c r="P6" s="96">
        <f>'Solar DHW'!P97/'Solar DHW'!$K97</f>
        <v>0.22404228821864114</v>
      </c>
      <c r="Q6" s="96">
        <f>'Solar DHW'!Q97/'Solar DHW'!$K97</f>
        <v>1.6549368466898957</v>
      </c>
      <c r="R6" s="96">
        <f>'Solar DHW'!S97/'Solar DHW'!$K97</f>
        <v>0.4902713282884002</v>
      </c>
      <c r="S6" s="96">
        <f>'Solar DHW'!T97/'Solar DHW'!$K97</f>
        <v>0.0007325924065885645</v>
      </c>
      <c r="T6" s="96">
        <f>'Solar DHW'!U97/'Solar DHW'!$K97</f>
        <v>0</v>
      </c>
      <c r="U6" s="96">
        <f>'Solar DHW'!V97/'Solar DHW'!$K97</f>
        <v>0.4909707004973358</v>
      </c>
      <c r="V6" s="96">
        <f t="shared" si="0"/>
        <v>-1.16396614619256</v>
      </c>
      <c r="W6" s="95">
        <f>'Solar DHW'!X97</f>
        <v>0.3431214958816859</v>
      </c>
      <c r="X6" s="95">
        <f>'Solar DHW'!I97</f>
        <v>2.44</v>
      </c>
      <c r="Y6" s="95">
        <f>'Solar DHW'!M97</f>
        <v>0.12588073313236237</v>
      </c>
      <c r="Z6" s="95">
        <f>'Solar DHW'!Y97/'Solar DHW'!$K97</f>
        <v>0.011912071945775263</v>
      </c>
      <c r="AA6" s="96">
        <v>0</v>
      </c>
      <c r="AB6" s="96">
        <v>0</v>
      </c>
      <c r="AC6" s="96">
        <f>'Solar DHW'!Z97/'Solar DHW'!$K97</f>
        <v>0</v>
      </c>
      <c r="AD6" s="96">
        <f>'Solar DHW'!AA97/'Solar DHW'!$K97</f>
        <v>0</v>
      </c>
      <c r="AE6" s="96">
        <f>'Solar DHW'!AC97/'Solar DHW'!$K97</f>
        <v>1.6549368466898957</v>
      </c>
      <c r="AF6" s="96">
        <f>'Solar DHW'!AB97/'Solar DHW'!$K97</f>
        <v>0.5028827762049943</v>
      </c>
      <c r="AG6" s="96">
        <f t="shared" si="1"/>
        <v>-1.1520540704849014</v>
      </c>
      <c r="AH6" s="95">
        <f>'Solar DHW'!AD97</f>
        <v>0.30386826395988464</v>
      </c>
      <c r="AI6" s="97" t="s">
        <v>186</v>
      </c>
      <c r="AJ6" s="98"/>
      <c r="AK6" s="307">
        <f>VLOOKUP(A6,'Solar DHW'!B$95:R$134,17,0)</f>
        <v>129.99606330364142</v>
      </c>
    </row>
    <row r="7" spans="1:37" ht="51">
      <c r="A7" s="91" t="str">
        <f>'Solar DHW'!B98</f>
        <v>Solar Residential Water Heater (37.3 sq.ft. collector area), Solar Zone 5 - Summer Peaking</v>
      </c>
      <c r="B7" s="92" t="str">
        <f>VLOOKUP($A7,'Lookup Table'!$A$3:$D$43,2,0)</f>
        <v>System must be design,installed and inspected per EWEB Solar Water Heater Program Specifications or equivalent</v>
      </c>
      <c r="C7" s="92" t="str">
        <f>VLOOKUP($A7,'Lookup Table'!$A$3:$D$43,3,0)</f>
        <v>Residential domestic water heating</v>
      </c>
      <c r="D7" s="92" t="str">
        <f>VLOOKUP($A7,'Lookup Table'!$A$3:$D$43,4,0)</f>
        <v>Solar Zone 5, winter-peaking utility distribution system or sub-system</v>
      </c>
      <c r="E7" s="93">
        <f>'Solar DHW'!E98</f>
        <v>3850</v>
      </c>
      <c r="F7" s="93">
        <f>'Solar DHW'!F98</f>
        <v>0</v>
      </c>
      <c r="G7" s="93">
        <f>'Solar DHW'!G98</f>
        <v>602.8137817382812</v>
      </c>
      <c r="H7" s="94">
        <f>'Solar DHW'!C98</f>
        <v>20</v>
      </c>
      <c r="I7" s="94" t="s">
        <v>156</v>
      </c>
      <c r="J7" s="94">
        <f>'Solar DHW'!D98</f>
        <v>2500</v>
      </c>
      <c r="K7" s="94">
        <f>'Solar DHW'!K98</f>
        <v>2690.6249999999995</v>
      </c>
      <c r="L7" s="95">
        <f>'Solar DHW'!J98</f>
        <v>0.4300000071525574</v>
      </c>
      <c r="M7" s="95">
        <f>'Solar DHW'!L98</f>
        <v>0.05159142985003074</v>
      </c>
      <c r="N7" s="96">
        <f>'Solar DHW'!N98/'Solar DHW'!$K98</f>
        <v>1.4308946142698993</v>
      </c>
      <c r="O7" s="96">
        <f>'Solar DHW'!O98/'Solar DHW'!$K98</f>
        <v>0</v>
      </c>
      <c r="P7" s="96">
        <f>'Solar DHW'!P98/'Solar DHW'!$K98</f>
        <v>0.22404228821864114</v>
      </c>
      <c r="Q7" s="96">
        <f>'Solar DHW'!Q98/'Solar DHW'!$K98</f>
        <v>1.6549368466898957</v>
      </c>
      <c r="R7" s="96">
        <f>'Solar DHW'!S98/'Solar DHW'!$K98</f>
        <v>0.48551677757893863</v>
      </c>
      <c r="S7" s="96">
        <f>'Solar DHW'!T98/'Solar DHW'!$K98</f>
        <v>0.0007323132380929698</v>
      </c>
      <c r="T7" s="96">
        <f>'Solar DHW'!U98/'Solar DHW'!$K98</f>
        <v>0</v>
      </c>
      <c r="U7" s="96">
        <f>'Solar DHW'!V98/'Solar DHW'!$K98</f>
        <v>0.48621588327655807</v>
      </c>
      <c r="V7" s="96">
        <f t="shared" si="0"/>
        <v>-1.1687209634133375</v>
      </c>
      <c r="W7" s="95">
        <f>'Solar DHW'!X98</f>
        <v>0.3397985277375897</v>
      </c>
      <c r="X7" s="95">
        <f>'Solar DHW'!I98</f>
        <v>2.56</v>
      </c>
      <c r="Y7" s="95">
        <f>'Solar DHW'!M98</f>
        <v>0.11998006701469421</v>
      </c>
      <c r="Z7" s="95">
        <f>'Solar DHW'!Y98/'Solar DHW'!$K98</f>
        <v>0.011353693130262778</v>
      </c>
      <c r="AA7" s="96">
        <v>0</v>
      </c>
      <c r="AB7" s="96">
        <v>0</v>
      </c>
      <c r="AC7" s="96">
        <f>'Solar DHW'!Z98/'Solar DHW'!$K98</f>
        <v>0</v>
      </c>
      <c r="AD7" s="96">
        <f>'Solar DHW'!AA98/'Solar DHW'!$K98</f>
        <v>0</v>
      </c>
      <c r="AE7" s="96">
        <f>'Solar DHW'!AC98/'Solar DHW'!$K98</f>
        <v>1.6549368466898957</v>
      </c>
      <c r="AF7" s="96">
        <f>'Solar DHW'!AB98/'Solar DHW'!$K98</f>
        <v>0.4975695956736354</v>
      </c>
      <c r="AG7" s="96">
        <f t="shared" si="1"/>
        <v>-1.1573672510162603</v>
      </c>
      <c r="AH7" s="95">
        <f>'Solar DHW'!AD98</f>
        <v>0.3006577491760254</v>
      </c>
      <c r="AI7" s="97" t="s">
        <v>186</v>
      </c>
      <c r="AJ7" s="98"/>
      <c r="AK7" s="307">
        <f>VLOOKUP(A7,'Solar DHW'!B$95:R$134,17,0)</f>
        <v>129.99606330364142</v>
      </c>
    </row>
    <row r="8" spans="1:37" ht="51">
      <c r="A8" s="91" t="str">
        <f>'Solar DHW'!B99</f>
        <v>Solar Residential Water Heater (per. 40 sq.ft. collector area), Solar Zone 4 - Winter Peaking</v>
      </c>
      <c r="B8" s="92" t="str">
        <f>VLOOKUP($A8,'Lookup Table'!$A$3:$D$43,2,0)</f>
        <v>System must be design,installed and inspected per EWEB Solar Water Heater Program Specifications or equivalent</v>
      </c>
      <c r="C8" s="92" t="str">
        <f>VLOOKUP($A8,'Lookup Table'!$A$3:$D$43,3,0)</f>
        <v>Residential domestic water heating</v>
      </c>
      <c r="D8" s="92" t="str">
        <f>VLOOKUP($A8,'Lookup Table'!$A$3:$D$43,4,0)</f>
        <v>Solar Zone 4, winter-peaking utility distribution system or sub-system</v>
      </c>
      <c r="E8" s="93">
        <f>'Solar DHW'!E99</f>
        <v>3850</v>
      </c>
      <c r="F8" s="93">
        <f>'Solar DHW'!F99</f>
        <v>0</v>
      </c>
      <c r="G8" s="93">
        <f>'Solar DHW'!G99</f>
        <v>602.8137817382812</v>
      </c>
      <c r="H8" s="94">
        <f>'Solar DHW'!C99</f>
        <v>20</v>
      </c>
      <c r="I8" s="94" t="s">
        <v>156</v>
      </c>
      <c r="J8" s="94">
        <f>'Solar DHW'!D99</f>
        <v>2500</v>
      </c>
      <c r="K8" s="94">
        <f>'Solar DHW'!K99</f>
        <v>2690.6249999999995</v>
      </c>
      <c r="L8" s="95">
        <f>'Solar DHW'!J99</f>
        <v>0.30000001192092896</v>
      </c>
      <c r="M8" s="95">
        <f>'Solar DHW'!L99</f>
        <v>0.021182688607430573</v>
      </c>
      <c r="N8" s="96">
        <f>'Solar DHW'!N99/'Solar DHW'!$K99</f>
        <v>1.4308946142698993</v>
      </c>
      <c r="O8" s="96">
        <f>'Solar DHW'!O99/'Solar DHW'!$K99</f>
        <v>0</v>
      </c>
      <c r="P8" s="96">
        <f>'Solar DHW'!P99/'Solar DHW'!$K99</f>
        <v>0.22404228821864114</v>
      </c>
      <c r="Q8" s="96">
        <f>'Solar DHW'!Q99/'Solar DHW'!$K99</f>
        <v>1.6549368466898957</v>
      </c>
      <c r="R8" s="96">
        <f>'Solar DHW'!S99/'Solar DHW'!$K99</f>
        <v>0.4902713282884002</v>
      </c>
      <c r="S8" s="96">
        <f>'Solar DHW'!T99/'Solar DHW'!$K99</f>
        <v>0.0003006771411076102</v>
      </c>
      <c r="T8" s="96">
        <f>'Solar DHW'!U99/'Solar DHW'!$K99</f>
        <v>0</v>
      </c>
      <c r="U8" s="96">
        <f>'Solar DHW'!V99/'Solar DHW'!$K99</f>
        <v>0.49055837089100696</v>
      </c>
      <c r="V8" s="96">
        <f t="shared" si="0"/>
        <v>-1.1643784757988889</v>
      </c>
      <c r="W8" s="95">
        <f>'Solar DHW'!X99</f>
        <v>0.34283333377511505</v>
      </c>
      <c r="X8" s="95">
        <f>'Solar DHW'!I99</f>
        <v>4.35</v>
      </c>
      <c r="Y8" s="95">
        <f>'Solar DHW'!M99</f>
        <v>0.0706089586019516</v>
      </c>
      <c r="Z8" s="95">
        <f>'Solar DHW'!Y99/'Solar DHW'!$K99</f>
        <v>0.0066817134985663485</v>
      </c>
      <c r="AA8" s="96">
        <v>0</v>
      </c>
      <c r="AB8" s="96">
        <v>0</v>
      </c>
      <c r="AC8" s="96">
        <f>'Solar DHW'!Z99/'Solar DHW'!$K99</f>
        <v>0</v>
      </c>
      <c r="AD8" s="96">
        <f>'Solar DHW'!AA99/'Solar DHW'!$K99</f>
        <v>0</v>
      </c>
      <c r="AE8" s="96">
        <f>'Solar DHW'!AC99/'Solar DHW'!$K99</f>
        <v>1.6549368466898957</v>
      </c>
      <c r="AF8" s="96">
        <f>'Solar DHW'!AB99/'Solar DHW'!$K99</f>
        <v>0.4972400823896633</v>
      </c>
      <c r="AG8" s="96">
        <f t="shared" si="1"/>
        <v>-1.1576967643002325</v>
      </c>
      <c r="AH8" s="95">
        <f>'Solar DHW'!AD99</f>
        <v>0.3004586398601532</v>
      </c>
      <c r="AI8" s="97" t="s">
        <v>186</v>
      </c>
      <c r="AJ8" s="98"/>
      <c r="AK8" s="307">
        <f>VLOOKUP(A8,'Solar DHW'!B$95:R$134,17,0)</f>
        <v>129.99606330364142</v>
      </c>
    </row>
    <row r="9" spans="1:37" ht="51">
      <c r="A9" s="91" t="str">
        <f>'Solar DHW'!B100</f>
        <v>Solar Residential Water Heater (37.3 sq.ft. collector area), Solar Zone 5 - Winter Peaking</v>
      </c>
      <c r="B9" s="92" t="str">
        <f>VLOOKUP($A9,'Lookup Table'!$A$3:$D$43,2,0)</f>
        <v>System must be design,installed and inspected per EWEB Solar Water Heater Program Specifications or equivalent</v>
      </c>
      <c r="C9" s="92" t="str">
        <f>VLOOKUP($A9,'Lookup Table'!$A$3:$D$43,3,0)</f>
        <v>Residential domestic water heating</v>
      </c>
      <c r="D9" s="92" t="str">
        <f>VLOOKUP($A9,'Lookup Table'!$A$3:$D$43,4,0)</f>
        <v>Solar Zone 3, summer-peaking utility distribution system or sub-system</v>
      </c>
      <c r="E9" s="93">
        <f>'Solar DHW'!E100</f>
        <v>3850</v>
      </c>
      <c r="F9" s="93">
        <f>'Solar DHW'!F100</f>
        <v>0</v>
      </c>
      <c r="G9" s="93">
        <f>'Solar DHW'!G100</f>
        <v>602.8137817382812</v>
      </c>
      <c r="H9" s="94">
        <f>'Solar DHW'!C100</f>
        <v>20</v>
      </c>
      <c r="I9" s="94" t="s">
        <v>156</v>
      </c>
      <c r="J9" s="94">
        <f>'Solar DHW'!D100</f>
        <v>2500</v>
      </c>
      <c r="K9" s="94">
        <f>'Solar DHW'!K100</f>
        <v>2690.6249999999995</v>
      </c>
      <c r="L9" s="95">
        <f>'Solar DHW'!J100</f>
        <v>0.23999999463558197</v>
      </c>
      <c r="M9" s="95">
        <f>'Solar DHW'!L100</f>
        <v>0.02200470202297971</v>
      </c>
      <c r="N9" s="96">
        <f>'Solar DHW'!N100/'Solar DHW'!$K100</f>
        <v>1.4308946142698993</v>
      </c>
      <c r="O9" s="96">
        <f>'Solar DHW'!O100/'Solar DHW'!$K100</f>
        <v>0</v>
      </c>
      <c r="P9" s="96">
        <f>'Solar DHW'!P100/'Solar DHW'!$K100</f>
        <v>0.22404228821864114</v>
      </c>
      <c r="Q9" s="96">
        <f>'Solar DHW'!Q100/'Solar DHW'!$K100</f>
        <v>1.6549368466898957</v>
      </c>
      <c r="R9" s="96">
        <f>'Solar DHW'!S100/'Solar DHW'!$K100</f>
        <v>0.48551677757893863</v>
      </c>
      <c r="S9" s="96">
        <f>'Solar DHW'!T100/'Solar DHW'!$K100</f>
        <v>0.00031234517468531104</v>
      </c>
      <c r="T9" s="96">
        <f>'Solar DHW'!U100/'Solar DHW'!$K100</f>
        <v>0</v>
      </c>
      <c r="U9" s="96">
        <f>'Solar DHW'!V100/'Solar DHW'!$K100</f>
        <v>0.4858149591297001</v>
      </c>
      <c r="V9" s="96">
        <f t="shared" si="0"/>
        <v>-1.1691218875601956</v>
      </c>
      <c r="W9" s="95">
        <f>'Solar DHW'!X100</f>
        <v>0.33951833649019825</v>
      </c>
      <c r="X9" s="95">
        <f>'Solar DHW'!I100</f>
        <v>3.35</v>
      </c>
      <c r="Y9" s="95">
        <f>'Solar DHW'!M100</f>
        <v>0.09168626368045807</v>
      </c>
      <c r="Z9" s="95">
        <f>'Solar DHW'!Y100/'Solar DHW'!$K100</f>
        <v>0.008676255920622824</v>
      </c>
      <c r="AA9" s="96">
        <v>0</v>
      </c>
      <c r="AB9" s="96">
        <v>0</v>
      </c>
      <c r="AC9" s="96">
        <f>'Solar DHW'!Z100/'Solar DHW'!$K100</f>
        <v>0</v>
      </c>
      <c r="AD9" s="96">
        <f>'Solar DHW'!AA100/'Solar DHW'!$K100</f>
        <v>0</v>
      </c>
      <c r="AE9" s="96">
        <f>'Solar DHW'!AC100/'Solar DHW'!$K100</f>
        <v>1.6549368466898957</v>
      </c>
      <c r="AF9" s="96">
        <f>'Solar DHW'!AB100/'Solar DHW'!$K100</f>
        <v>0.49449123475609763</v>
      </c>
      <c r="AG9" s="96">
        <f t="shared" si="1"/>
        <v>-1.160445611933798</v>
      </c>
      <c r="AH9" s="95">
        <f>'Solar DHW'!AD100</f>
        <v>0.2987976372241974</v>
      </c>
      <c r="AI9" s="97" t="s">
        <v>186</v>
      </c>
      <c r="AJ9" s="98"/>
      <c r="AK9" s="307">
        <f>VLOOKUP(A9,'Solar DHW'!B$95:R$134,17,0)</f>
        <v>129.99606330364142</v>
      </c>
    </row>
    <row r="10" spans="1:37" ht="51">
      <c r="A10" s="91" t="str">
        <f>'Solar DHW'!B101</f>
        <v>Solar Residential Water Heater (37.3 sq.ft. collector area), Solar Zone 4 - Summer Peaking</v>
      </c>
      <c r="B10" s="92" t="str">
        <f>VLOOKUP($A10,'Lookup Table'!$A$3:$D$43,2,0)</f>
        <v>System must be design,installed and inspected per EWEB Solar Water Heater Program Specifications or equivalent</v>
      </c>
      <c r="C10" s="92" t="str">
        <f>VLOOKUP($A10,'Lookup Table'!$A$3:$D$43,3,0)</f>
        <v>Residential domestic water heating</v>
      </c>
      <c r="D10" s="92" t="str">
        <f>VLOOKUP($A10,'Lookup Table'!$A$3:$D$43,4,0)</f>
        <v>Solar Zone 5, summer-peaking utility distribution system or sub-system</v>
      </c>
      <c r="E10" s="93">
        <f>'Solar DHW'!E101</f>
        <v>3850</v>
      </c>
      <c r="F10" s="93">
        <f>'Solar DHW'!F101</f>
        <v>0</v>
      </c>
      <c r="G10" s="93">
        <f>'Solar DHW'!G101</f>
        <v>602.8137817382812</v>
      </c>
      <c r="H10" s="94">
        <f>'Solar DHW'!C101</f>
        <v>20</v>
      </c>
      <c r="I10" s="94" t="s">
        <v>156</v>
      </c>
      <c r="J10" s="94">
        <f>'Solar DHW'!D101</f>
        <v>2400</v>
      </c>
      <c r="K10" s="94">
        <f>'Solar DHW'!K101</f>
        <v>2583</v>
      </c>
      <c r="L10" s="95">
        <f>'Solar DHW'!J101</f>
        <v>0.4099999964237213</v>
      </c>
      <c r="M10" s="95">
        <f>'Solar DHW'!L101</f>
        <v>0.04954665350898609</v>
      </c>
      <c r="N10" s="96">
        <f>'Solar DHW'!N101/'Solar DHW'!$K101</f>
        <v>1.4905152231978116</v>
      </c>
      <c r="O10" s="96">
        <f>'Solar DHW'!O101/'Solar DHW'!$K101</f>
        <v>0</v>
      </c>
      <c r="P10" s="96">
        <f>'Solar DHW'!P101/'Solar DHW'!$K101</f>
        <v>0.2333773835610845</v>
      </c>
      <c r="Q10" s="96">
        <f>'Solar DHW'!Q101/'Solar DHW'!$K101</f>
        <v>1.7238925486353078</v>
      </c>
      <c r="R10" s="96">
        <f>'Solar DHW'!S101/'Solar DHW'!$K101</f>
        <v>0.4902713282883995</v>
      </c>
      <c r="S10" s="96">
        <f>'Solar DHW'!T101/'Solar DHW'!$K101</f>
        <v>0.0007325924047425049</v>
      </c>
      <c r="T10" s="96">
        <f>'Solar DHW'!U101/'Solar DHW'!$K101</f>
        <v>0</v>
      </c>
      <c r="U10" s="96">
        <f>'Solar DHW'!V101/'Solar DHW'!$K101</f>
        <v>0.4909707004973351</v>
      </c>
      <c r="V10" s="96">
        <f t="shared" si="0"/>
        <v>-1.2329218481379727</v>
      </c>
      <c r="W10" s="95">
        <f>'Solar DHW'!X101</f>
        <v>0.32939663604641806</v>
      </c>
      <c r="X10" s="95">
        <f>'Solar DHW'!I101</f>
        <v>2.44</v>
      </c>
      <c r="Y10" s="95">
        <f>'Solar DHW'!M101</f>
        <v>0.1208454966545105</v>
      </c>
      <c r="Z10" s="95">
        <f>'Solar DHW'!Y101/'Solar DHW'!$K101</f>
        <v>0.011912072300218677</v>
      </c>
      <c r="AA10" s="96">
        <v>0</v>
      </c>
      <c r="AB10" s="96">
        <v>0</v>
      </c>
      <c r="AC10" s="96">
        <f>'Solar DHW'!Z101/'Solar DHW'!$K101</f>
        <v>0</v>
      </c>
      <c r="AD10" s="96">
        <f>'Solar DHW'!AA101/'Solar DHW'!$K101</f>
        <v>0</v>
      </c>
      <c r="AE10" s="96">
        <f>'Solar DHW'!AC101/'Solar DHW'!$K101</f>
        <v>1.7238925486353078</v>
      </c>
      <c r="AF10" s="96">
        <f>'Solar DHW'!AB101/'Solar DHW'!$K101</f>
        <v>0.5028827591917102</v>
      </c>
      <c r="AG10" s="96">
        <f t="shared" si="1"/>
        <v>-1.2210097894435976</v>
      </c>
      <c r="AH10" s="95">
        <f>'Solar DHW'!AD101</f>
        <v>0.29171350598335266</v>
      </c>
      <c r="AI10" s="97" t="s">
        <v>186</v>
      </c>
      <c r="AJ10" s="98"/>
      <c r="AK10" s="307">
        <f>VLOOKUP(A10,'Solar DHW'!B$95:R$134,17,0)</f>
        <v>135.4125659412931</v>
      </c>
    </row>
    <row r="11" spans="1:37" ht="51">
      <c r="A11" s="91" t="str">
        <f>'Solar DHW'!B102</f>
        <v>Solar Residential Water Heater (37.3 sq.ft. collector area), Solar Zone 4 - Winter Peaking</v>
      </c>
      <c r="B11" s="92" t="str">
        <f>VLOOKUP($A11,'Lookup Table'!$A$3:$D$43,2,0)</f>
        <v>System must be design,installed and inspected per EWEB Solar Water Heater Program Specifications or equivalent</v>
      </c>
      <c r="C11" s="92" t="str">
        <f>VLOOKUP($A11,'Lookup Table'!$A$3:$D$43,3,0)</f>
        <v>Residential domestic water heating</v>
      </c>
      <c r="D11" s="92" t="str">
        <f>VLOOKUP($A11,'Lookup Table'!$A$3:$D$43,4,0)</f>
        <v>Solar Zone 2, winter-peaking utility distribution system or sub-system</v>
      </c>
      <c r="E11" s="93">
        <f>'Solar DHW'!E102</f>
        <v>3850</v>
      </c>
      <c r="F11" s="93">
        <f>'Solar DHW'!F102</f>
        <v>0</v>
      </c>
      <c r="G11" s="93">
        <f>'Solar DHW'!G102</f>
        <v>602.8137817382812</v>
      </c>
      <c r="H11" s="94">
        <f>'Solar DHW'!C102</f>
        <v>20</v>
      </c>
      <c r="I11" s="94" t="s">
        <v>156</v>
      </c>
      <c r="J11" s="94">
        <f>'Solar DHW'!D102</f>
        <v>2400</v>
      </c>
      <c r="K11" s="94">
        <f>'Solar DHW'!K102</f>
        <v>2583</v>
      </c>
      <c r="L11" s="95">
        <f>'Solar DHW'!J102</f>
        <v>0.30000001192092896</v>
      </c>
      <c r="M11" s="95">
        <f>'Solar DHW'!L102</f>
        <v>0.020335381063133352</v>
      </c>
      <c r="N11" s="96">
        <f>'Solar DHW'!N102/'Solar DHW'!$K102</f>
        <v>1.4905152231978116</v>
      </c>
      <c r="O11" s="96">
        <f>'Solar DHW'!O102/'Solar DHW'!$K102</f>
        <v>0</v>
      </c>
      <c r="P11" s="96">
        <f>'Solar DHW'!P102/'Solar DHW'!$K102</f>
        <v>0.2333773835610845</v>
      </c>
      <c r="Q11" s="96">
        <f>'Solar DHW'!Q102/'Solar DHW'!$K102</f>
        <v>1.7238925486353078</v>
      </c>
      <c r="R11" s="96">
        <f>'Solar DHW'!S102/'Solar DHW'!$K102</f>
        <v>0.4902713282883995</v>
      </c>
      <c r="S11" s="96">
        <f>'Solar DHW'!T102/'Solar DHW'!$K102</f>
        <v>0.00030067711895489667</v>
      </c>
      <c r="T11" s="96">
        <f>'Solar DHW'!U102/'Solar DHW'!$K102</f>
        <v>0</v>
      </c>
      <c r="U11" s="96">
        <f>'Solar DHW'!V102/'Solar DHW'!$K102</f>
        <v>0.4905583708910062</v>
      </c>
      <c r="V11" s="96">
        <f t="shared" si="0"/>
        <v>-1.2333341777443017</v>
      </c>
      <c r="W11" s="95">
        <f>'Solar DHW'!X102</f>
        <v>0.32912000042411005</v>
      </c>
      <c r="X11" s="95">
        <f>'Solar DHW'!I102</f>
        <v>4.35</v>
      </c>
      <c r="Y11" s="95">
        <f>'Solar DHW'!M102</f>
        <v>0.06778459995985031</v>
      </c>
      <c r="Z11" s="95">
        <f>'Solar DHW'!Y102/'Solar DHW'!$K102</f>
        <v>0.006681713262270737</v>
      </c>
      <c r="AA11" s="96">
        <v>0</v>
      </c>
      <c r="AB11" s="96">
        <v>0</v>
      </c>
      <c r="AC11" s="96">
        <f>'Solar DHW'!Z102/'Solar DHW'!$K102</f>
        <v>0</v>
      </c>
      <c r="AD11" s="96">
        <f>'Solar DHW'!AA102/'Solar DHW'!$K102</f>
        <v>0</v>
      </c>
      <c r="AE11" s="96">
        <f>'Solar DHW'!AC102/'Solar DHW'!$K102</f>
        <v>1.7238925486353078</v>
      </c>
      <c r="AF11" s="96">
        <f>'Solar DHW'!AB102/'Solar DHW'!$K102</f>
        <v>0.4972400672667441</v>
      </c>
      <c r="AG11" s="96">
        <f t="shared" si="1"/>
        <v>-1.2266524813685638</v>
      </c>
      <c r="AH11" s="95">
        <f>'Solar DHW'!AD102</f>
        <v>0.2884402871131897</v>
      </c>
      <c r="AI11" s="97" t="s">
        <v>186</v>
      </c>
      <c r="AJ11" s="98"/>
      <c r="AK11" s="307">
        <f>VLOOKUP(A11,'Solar DHW'!B$95:R$134,17,0)</f>
        <v>135.4125659412931</v>
      </c>
    </row>
    <row r="12" spans="1:37" ht="51">
      <c r="A12" s="91" t="str">
        <f>'Solar DHW'!B103</f>
        <v>Solar Residential Water Heater (60 sq.ft. collector area), Solar Zone 5 - Summer Peaking</v>
      </c>
      <c r="B12" s="92" t="str">
        <f>VLOOKUP($A12,'Lookup Table'!$A$3:$D$43,2,0)</f>
        <v>System must be design,installed and inspected per EWEB Solar Water Heater Program Specifications or equivalent</v>
      </c>
      <c r="C12" s="92" t="str">
        <f>VLOOKUP($A12,'Lookup Table'!$A$3:$D$43,3,0)</f>
        <v>Residential domestic water heating</v>
      </c>
      <c r="D12" s="92" t="str">
        <f>VLOOKUP($A12,'Lookup Table'!$A$3:$D$43,4,0)</f>
        <v>Solar Zone 5, winter-peaking utility distribution system or sub-system</v>
      </c>
      <c r="E12" s="93">
        <f>'Solar DHW'!E103</f>
        <v>5775</v>
      </c>
      <c r="F12" s="93">
        <f>'Solar DHW'!F103</f>
        <v>0</v>
      </c>
      <c r="G12" s="93">
        <f>'Solar DHW'!G103</f>
        <v>602.8137817382812</v>
      </c>
      <c r="H12" s="94">
        <f>'Solar DHW'!C103</f>
        <v>20</v>
      </c>
      <c r="I12" s="94" t="s">
        <v>156</v>
      </c>
      <c r="J12" s="94">
        <f>'Solar DHW'!D103</f>
        <v>3200</v>
      </c>
      <c r="K12" s="94">
        <f>'Solar DHW'!K103</f>
        <v>3444</v>
      </c>
      <c r="L12" s="95">
        <f>'Solar DHW'!J103</f>
        <v>0.4300000071525574</v>
      </c>
      <c r="M12" s="95">
        <f>'Solar DHW'!L103</f>
        <v>0.06603703020803935</v>
      </c>
      <c r="N12" s="96">
        <f>'Solar DHW'!N103/'Solar DHW'!$K103</f>
        <v>1.6768296260975377</v>
      </c>
      <c r="O12" s="96">
        <f>'Solar DHW'!O103/'Solar DHW'!$K103</f>
        <v>0</v>
      </c>
      <c r="P12" s="96">
        <f>'Solar DHW'!P103/'Solar DHW'!$K103</f>
        <v>0.17503303767081338</v>
      </c>
      <c r="Q12" s="96">
        <f>'Solar DHW'!Q103/'Solar DHW'!$K103</f>
        <v>1.8518626426847415</v>
      </c>
      <c r="R12" s="96">
        <f>'Solar DHW'!S103/'Solar DHW'!$K103</f>
        <v>0.4855167775789385</v>
      </c>
      <c r="S12" s="96">
        <f>'Solar DHW'!T103/'Solar DHW'!$K103</f>
        <v>0.0007323132574765939</v>
      </c>
      <c r="T12" s="96">
        <f>'Solar DHW'!U103/'Solar DHW'!$K103</f>
        <v>0</v>
      </c>
      <c r="U12" s="96">
        <f>'Solar DHW'!V103/'Solar DHW'!$K103</f>
        <v>0.48621588327655796</v>
      </c>
      <c r="V12" s="96">
        <f t="shared" si="0"/>
        <v>-1.3656467594081836</v>
      </c>
      <c r="W12" s="95">
        <f>'Solar DHW'!X103</f>
        <v>0.28996141033607653</v>
      </c>
      <c r="X12" s="95">
        <f>'Solar DHW'!I103</f>
        <v>2.56</v>
      </c>
      <c r="Y12" s="95">
        <f>'Solar DHW'!M103</f>
        <v>0.15357448160648346</v>
      </c>
      <c r="Z12" s="95">
        <f>'Solar DHW'!Y103/'Solar DHW'!$K103</f>
        <v>0.01135369543414498</v>
      </c>
      <c r="AA12" s="96">
        <v>0</v>
      </c>
      <c r="AB12" s="96">
        <v>0</v>
      </c>
      <c r="AC12" s="96">
        <f>'Solar DHW'!Z103/'Solar DHW'!$K103</f>
        <v>0</v>
      </c>
      <c r="AD12" s="96">
        <f>'Solar DHW'!AA103/'Solar DHW'!$K103</f>
        <v>0</v>
      </c>
      <c r="AE12" s="96">
        <f>'Solar DHW'!AC103/'Solar DHW'!$K103</f>
        <v>1.8518626426847415</v>
      </c>
      <c r="AF12" s="96">
        <f>'Solar DHW'!AB103/'Solar DHW'!$K103</f>
        <v>0.49756958149589864</v>
      </c>
      <c r="AG12" s="96">
        <f t="shared" si="1"/>
        <v>-1.3542930611888429</v>
      </c>
      <c r="AH12" s="95">
        <f>'Solar DHW'!AD103</f>
        <v>0.2686859965324402</v>
      </c>
      <c r="AI12" s="97" t="s">
        <v>186</v>
      </c>
      <c r="AJ12" s="98"/>
      <c r="AK12" s="307">
        <f>VLOOKUP(A12,'Solar DHW'!B$95:R$134,17,0)</f>
        <v>145.46467648419923</v>
      </c>
    </row>
    <row r="13" spans="1:37" ht="51">
      <c r="A13" s="91" t="str">
        <f>'Solar DHW'!B104</f>
        <v>Solar Residential Water Heater (per. 40 sq.ft. collector area), Solar Zone 3 - Summer Peaking</v>
      </c>
      <c r="B13" s="92" t="str">
        <f>VLOOKUP($A13,'Lookup Table'!$A$3:$D$43,2,0)</f>
        <v>System must be design,installed and inspected per EWEB Solar Water Heater Program Specifications or equivalent</v>
      </c>
      <c r="C13" s="92" t="str">
        <f>VLOOKUP($A13,'Lookup Table'!$A$3:$D$43,3,0)</f>
        <v>Residential domestic water heating</v>
      </c>
      <c r="D13" s="92" t="str">
        <f>VLOOKUP($A13,'Lookup Table'!$A$3:$D$43,4,0)</f>
        <v>Solar Zone 3, summer-peaking utility distribution system or sub-system</v>
      </c>
      <c r="E13" s="93">
        <f>'Solar DHW'!E104</f>
        <v>3850</v>
      </c>
      <c r="F13" s="93">
        <f>'Solar DHW'!F104</f>
        <v>0</v>
      </c>
      <c r="G13" s="93">
        <f>'Solar DHW'!G104</f>
        <v>602.8137817382812</v>
      </c>
      <c r="H13" s="94">
        <f>'Solar DHW'!C104</f>
        <v>20</v>
      </c>
      <c r="I13" s="94" t="s">
        <v>156</v>
      </c>
      <c r="J13" s="94">
        <f>'Solar DHW'!D104</f>
        <v>2200</v>
      </c>
      <c r="K13" s="94">
        <f>'Solar DHW'!K104</f>
        <v>2367.75</v>
      </c>
      <c r="L13" s="95">
        <f>'Solar DHW'!J104</f>
        <v>0.25999999046325684</v>
      </c>
      <c r="M13" s="95">
        <f>'Solar DHW'!L104</f>
        <v>0.039042045752116714</v>
      </c>
      <c r="N13" s="96">
        <f>'Solar DHW'!N104/'Solar DHW'!$K104</f>
        <v>1.6260166071248854</v>
      </c>
      <c r="O13" s="96">
        <f>'Solar DHW'!O104/'Solar DHW'!$K104</f>
        <v>0</v>
      </c>
      <c r="P13" s="96">
        <f>'Solar DHW'!P104/'Solar DHW'!$K104</f>
        <v>0.2545935093393649</v>
      </c>
      <c r="Q13" s="96">
        <f>'Solar DHW'!Q104/'Solar DHW'!$K104</f>
        <v>1.8806100530566994</v>
      </c>
      <c r="R13" s="96">
        <f>'Solar DHW'!S104/'Solar DHW'!$K104</f>
        <v>0.48551677757893863</v>
      </c>
      <c r="S13" s="96">
        <f>'Solar DHW'!T104/'Solar DHW'!$K104</f>
        <v>0.0006297514992698723</v>
      </c>
      <c r="T13" s="96">
        <f>'Solar DHW'!U104/'Solar DHW'!$K104</f>
        <v>0</v>
      </c>
      <c r="U13" s="96">
        <f>'Solar DHW'!V104/'Solar DHW'!$K104</f>
        <v>0.48611797231734605</v>
      </c>
      <c r="V13" s="96">
        <f t="shared" si="0"/>
        <v>-1.3944920807393533</v>
      </c>
      <c r="W13" s="95">
        <f>'Solar DHW'!X104</f>
        <v>0.2989624891820124</v>
      </c>
      <c r="X13" s="95">
        <f>'Solar DHW'!I104</f>
        <v>1.8</v>
      </c>
      <c r="Y13" s="95">
        <f>'Solar DHW'!M104</f>
        <v>0.1501617133617401</v>
      </c>
      <c r="Z13" s="95">
        <f>'Solar DHW'!Y104/'Solar DHW'!$K104</f>
        <v>0.016147475373013673</v>
      </c>
      <c r="AA13" s="96">
        <v>0</v>
      </c>
      <c r="AB13" s="96">
        <v>0</v>
      </c>
      <c r="AC13" s="96">
        <f>'Solar DHW'!Z104/'Solar DHW'!$K104</f>
        <v>0</v>
      </c>
      <c r="AD13" s="96">
        <f>'Solar DHW'!AA104/'Solar DHW'!$K104</f>
        <v>0</v>
      </c>
      <c r="AE13" s="96">
        <f>'Solar DHW'!AC104/'Solar DHW'!$K104</f>
        <v>1.8806100530566994</v>
      </c>
      <c r="AF13" s="96">
        <f>'Solar DHW'!AB104/'Solar DHW'!$K104</f>
        <v>0.5022654476494034</v>
      </c>
      <c r="AG13" s="96">
        <f t="shared" si="1"/>
        <v>-1.378344605407296</v>
      </c>
      <c r="AH13" s="95">
        <f>'Solar DHW'!AD104</f>
        <v>0.2670758068561554</v>
      </c>
      <c r="AI13" s="97" t="s">
        <v>186</v>
      </c>
      <c r="AJ13" s="98"/>
      <c r="AK13" s="307">
        <f>VLOOKUP(A13,'Solar DHW'!B$95:R$134,17,0)</f>
        <v>147.7227992086834</v>
      </c>
    </row>
    <row r="14" spans="1:38" ht="51">
      <c r="A14" s="91" t="str">
        <f>'Solar DHW'!B105</f>
        <v>Solar Residential Water Heater (60 sq.ft. collector area), Solar Zone 5 - Winter Peaking</v>
      </c>
      <c r="B14" s="92" t="str">
        <f>VLOOKUP($A14,'Lookup Table'!$A$3:$D$43,2,0)</f>
        <v>System must be design,installed and inspected per EWEB Solar Water Heater Program Specifications or equivalent</v>
      </c>
      <c r="C14" s="92" t="str">
        <f>VLOOKUP($A14,'Lookup Table'!$A$3:$D$43,3,0)</f>
        <v>Residential domestic water heating</v>
      </c>
      <c r="D14" s="92" t="str">
        <f>VLOOKUP($A14,'Lookup Table'!$A$3:$D$43,4,0)</f>
        <v>Solar Zone 3, summer-peaking utility distribution system or sub-system</v>
      </c>
      <c r="E14" s="93">
        <f>'Solar DHW'!E105</f>
        <v>5775</v>
      </c>
      <c r="F14" s="93">
        <f>'Solar DHW'!F105</f>
        <v>0</v>
      </c>
      <c r="G14" s="93">
        <f>'Solar DHW'!G105</f>
        <v>602.8137817382812</v>
      </c>
      <c r="H14" s="94">
        <f>'Solar DHW'!C105</f>
        <v>20</v>
      </c>
      <c r="I14" s="94" t="s">
        <v>156</v>
      </c>
      <c r="J14" s="94">
        <f>'Solar DHW'!D105</f>
        <v>3200</v>
      </c>
      <c r="K14" s="94">
        <f>'Solar DHW'!K105</f>
        <v>3444</v>
      </c>
      <c r="L14" s="95">
        <f>'Solar DHW'!J105</f>
        <v>0.23999999463558197</v>
      </c>
      <c r="M14" s="95">
        <f>'Solar DHW'!L105</f>
        <v>0.028166018589414032</v>
      </c>
      <c r="N14" s="96">
        <f>'Solar DHW'!N105/'Solar DHW'!$K105</f>
        <v>1.6768296260975377</v>
      </c>
      <c r="O14" s="96">
        <f>'Solar DHW'!O105/'Solar DHW'!$K105</f>
        <v>0</v>
      </c>
      <c r="P14" s="96">
        <f>'Solar DHW'!P105/'Solar DHW'!$K105</f>
        <v>0.17503303767081338</v>
      </c>
      <c r="Q14" s="96">
        <f>'Solar DHW'!Q105/'Solar DHW'!$K105</f>
        <v>1.8518626426847415</v>
      </c>
      <c r="R14" s="96">
        <f>'Solar DHW'!S105/'Solar DHW'!$K105</f>
        <v>0.4855167775789385</v>
      </c>
      <c r="S14" s="96">
        <f>'Solar DHW'!T105/'Solar DHW'!$K105</f>
        <v>0.00031234519545347985</v>
      </c>
      <c r="T14" s="96">
        <f>'Solar DHW'!U105/'Solar DHW'!$K105</f>
        <v>0</v>
      </c>
      <c r="U14" s="96">
        <f>'Solar DHW'!V105/'Solar DHW'!$K105</f>
        <v>0.48581495912969996</v>
      </c>
      <c r="V14" s="96">
        <f aca="true" t="shared" si="2" ref="V14:V43">U14-Q14</f>
        <v>-1.3660476835550415</v>
      </c>
      <c r="W14" s="95">
        <f>'Solar DHW'!X105</f>
        <v>0.28972231380496916</v>
      </c>
      <c r="X14" s="95">
        <f>'Solar DHW'!I105</f>
        <v>3.35</v>
      </c>
      <c r="Y14" s="95">
        <f>'Solar DHW'!M105</f>
        <v>0.11735841631889343</v>
      </c>
      <c r="Z14" s="95">
        <f>'Solar DHW'!Y105/'Solar DHW'!$K105</f>
        <v>0.008676254790834434</v>
      </c>
      <c r="AA14" s="96">
        <v>0</v>
      </c>
      <c r="AB14" s="96">
        <v>0</v>
      </c>
      <c r="AC14" s="96">
        <f>'Solar DHW'!Z105/'Solar DHW'!$K105</f>
        <v>0</v>
      </c>
      <c r="AD14" s="96">
        <f>'Solar DHW'!AA105/'Solar DHW'!$K105</f>
        <v>0</v>
      </c>
      <c r="AE14" s="96">
        <f>'Solar DHW'!AC105/'Solar DHW'!$K105</f>
        <v>1.8518626426847415</v>
      </c>
      <c r="AF14" s="96">
        <f>'Solar DHW'!AB105/'Solar DHW'!$K105</f>
        <v>0.4944912049828506</v>
      </c>
      <c r="AG14" s="96">
        <f aca="true" t="shared" si="3" ref="AG14:AG43">AF14-AE14</f>
        <v>-1.3573714377018908</v>
      </c>
      <c r="AH14" s="95">
        <f>'Solar DHW'!AD105</f>
        <v>0.2670236825942993</v>
      </c>
      <c r="AI14" s="97" t="s">
        <v>186</v>
      </c>
      <c r="AJ14" s="98"/>
      <c r="AK14" s="307">
        <f>VLOOKUP(A14,'Solar DHW'!B$95:R$134,17,0)</f>
        <v>145.46467648419923</v>
      </c>
      <c r="AL14" s="90"/>
    </row>
    <row r="15" spans="1:37" ht="51">
      <c r="A15" s="91" t="str">
        <f>'Solar DHW'!B106</f>
        <v>Solar Residential Water Heater (per. 40 sq.ft. collector area), Solar Zone 3 - Winter Peaking</v>
      </c>
      <c r="B15" s="92" t="str">
        <f>VLOOKUP($A15,'Lookup Table'!$A$3:$D$43,2,0)</f>
        <v>System must be design,installed and inspected per EWEB Solar Water Heater Program Specifications or equivalent</v>
      </c>
      <c r="C15" s="92" t="str">
        <f>VLOOKUP($A15,'Lookup Table'!$A$3:$D$43,3,0)</f>
        <v>Residential domestic water heating</v>
      </c>
      <c r="D15" s="92" t="str">
        <f>VLOOKUP($A15,'Lookup Table'!$A$3:$D$43,4,0)</f>
        <v>Solar Zone 3, winter-peaking utility distribution system or sub-system</v>
      </c>
      <c r="E15" s="93">
        <f>'Solar DHW'!E106</f>
        <v>3850</v>
      </c>
      <c r="F15" s="93">
        <f>'Solar DHW'!F106</f>
        <v>0</v>
      </c>
      <c r="G15" s="93">
        <f>'Solar DHW'!G106</f>
        <v>602.8137817382812</v>
      </c>
      <c r="H15" s="94">
        <f>'Solar DHW'!C106</f>
        <v>20</v>
      </c>
      <c r="I15" s="94" t="s">
        <v>156</v>
      </c>
      <c r="J15" s="94">
        <f>'Solar DHW'!D106</f>
        <v>2200</v>
      </c>
      <c r="K15" s="94">
        <f>'Solar DHW'!K106</f>
        <v>2367.75</v>
      </c>
      <c r="L15" s="95">
        <f>'Solar DHW'!J106</f>
        <v>0.44999998807907104</v>
      </c>
      <c r="M15" s="95">
        <f>'Solar DHW'!L106</f>
        <v>0.023943108253654324</v>
      </c>
      <c r="N15" s="96">
        <f>'Solar DHW'!N106/'Solar DHW'!$K106</f>
        <v>1.6260166071248854</v>
      </c>
      <c r="O15" s="96">
        <f>'Solar DHW'!O106/'Solar DHW'!$K106</f>
        <v>0</v>
      </c>
      <c r="P15" s="96">
        <f>'Solar DHW'!P106/'Solar DHW'!$K106</f>
        <v>0.2545935093393649</v>
      </c>
      <c r="Q15" s="96">
        <f>'Solar DHW'!Q106/'Solar DHW'!$K106</f>
        <v>1.8806100530566994</v>
      </c>
      <c r="R15" s="96">
        <f>'Solar DHW'!S106/'Solar DHW'!$K106</f>
        <v>0.48551677757893863</v>
      </c>
      <c r="S15" s="96">
        <f>'Solar DHW'!T106/'Solar DHW'!$K106</f>
        <v>0.00038620436560351173</v>
      </c>
      <c r="T15" s="96">
        <f>'Solar DHW'!U106/'Solar DHW'!$K106</f>
        <v>0</v>
      </c>
      <c r="U15" s="96">
        <f>'Solar DHW'!V106/'Solar DHW'!$K106</f>
        <v>0.4858854690864126</v>
      </c>
      <c r="V15" s="96">
        <f t="shared" si="2"/>
        <v>-1.3947245839702869</v>
      </c>
      <c r="W15" s="95">
        <f>'Solar DHW'!X106</f>
        <v>0.2988194997254997</v>
      </c>
      <c r="X15" s="95">
        <f>'Solar DHW'!I106</f>
        <v>5.08</v>
      </c>
      <c r="Y15" s="95">
        <f>'Solar DHW'!M106</f>
        <v>0.0532069094479084</v>
      </c>
      <c r="Z15" s="95">
        <f>'Solar DHW'!Y106/'Solar DHW'!$K106</f>
        <v>0.005721546858218715</v>
      </c>
      <c r="AA15" s="96">
        <v>0</v>
      </c>
      <c r="AB15" s="96">
        <v>0</v>
      </c>
      <c r="AC15" s="96">
        <f>'Solar DHW'!Z106/'Solar DHW'!$K106</f>
        <v>0</v>
      </c>
      <c r="AD15" s="96">
        <f>'Solar DHW'!AA106/'Solar DHW'!$K106</f>
        <v>0</v>
      </c>
      <c r="AE15" s="96">
        <f>'Solar DHW'!AC106/'Solar DHW'!$K106</f>
        <v>1.8806100530566994</v>
      </c>
      <c r="AF15" s="96">
        <f>'Solar DHW'!AB106/'Solar DHW'!$K106</f>
        <v>0.4916070376841147</v>
      </c>
      <c r="AG15" s="96">
        <f t="shared" si="3"/>
        <v>-1.3890030153725847</v>
      </c>
      <c r="AH15" s="95">
        <f>'Solar DHW'!AD106</f>
        <v>0.261408269405365</v>
      </c>
      <c r="AI15" s="97" t="s">
        <v>186</v>
      </c>
      <c r="AJ15" s="98"/>
      <c r="AK15" s="307">
        <f>VLOOKUP(A15,'Solar DHW'!B$95:R$134,17,0)</f>
        <v>147.7227992086834</v>
      </c>
    </row>
    <row r="16" spans="1:37" ht="51">
      <c r="A16" s="91" t="str">
        <f>'Solar DHW'!B107</f>
        <v>Solar Residential Water Heater (37.3 sq.ft. collector area), Solar Zone 3 - Summer Peaking</v>
      </c>
      <c r="B16" s="92" t="str">
        <f>VLOOKUP($A16,'Lookup Table'!$A$3:$D$43,2,0)</f>
        <v>System must be design,installed and inspected per EWEB Solar Water Heater Program Specifications or equivalent</v>
      </c>
      <c r="C16" s="92" t="str">
        <f>VLOOKUP($A16,'Lookup Table'!$A$3:$D$43,3,0)</f>
        <v>Residential domestic water heating</v>
      </c>
      <c r="D16" s="92" t="str">
        <f>VLOOKUP($A16,'Lookup Table'!$A$3:$D$43,4,0)</f>
        <v>Solar Zone 4, winter-peaking utility distribution system or sub-system</v>
      </c>
      <c r="E16" s="93">
        <f>'Solar DHW'!E107</f>
        <v>3850</v>
      </c>
      <c r="F16" s="93">
        <f>'Solar DHW'!F107</f>
        <v>0</v>
      </c>
      <c r="G16" s="93">
        <f>'Solar DHW'!G107</f>
        <v>602.8137817382812</v>
      </c>
      <c r="H16" s="94">
        <f>'Solar DHW'!C107</f>
        <v>20</v>
      </c>
      <c r="I16" s="94" t="s">
        <v>156</v>
      </c>
      <c r="J16" s="94">
        <f>'Solar DHW'!D107</f>
        <v>2100</v>
      </c>
      <c r="K16" s="94">
        <f>'Solar DHW'!K107</f>
        <v>2260.125</v>
      </c>
      <c r="L16" s="95">
        <f>'Solar DHW'!J107</f>
        <v>0.25999999046325684</v>
      </c>
      <c r="M16" s="95">
        <f>'Solar DHW'!L107</f>
        <v>0.03726740730883868</v>
      </c>
      <c r="N16" s="96">
        <f>'Solar DHW'!N107/'Solar DHW'!$K107</f>
        <v>1.7034459693689274</v>
      </c>
      <c r="O16" s="96">
        <f>'Solar DHW'!O107/'Solar DHW'!$K107</f>
        <v>0</v>
      </c>
      <c r="P16" s="96">
        <f>'Solar DHW'!P107/'Solar DHW'!$K107</f>
        <v>0.26671700978409657</v>
      </c>
      <c r="Q16" s="96">
        <f>'Solar DHW'!Q107/'Solar DHW'!$K107</f>
        <v>1.970162912726066</v>
      </c>
      <c r="R16" s="96">
        <f>'Solar DHW'!S107/'Solar DHW'!$K107</f>
        <v>0.4855167775789391</v>
      </c>
      <c r="S16" s="96">
        <f>'Solar DHW'!T107/'Solar DHW'!$K107</f>
        <v>0.0006297514848849935</v>
      </c>
      <c r="T16" s="96">
        <f>'Solar DHW'!U107/'Solar DHW'!$K107</f>
        <v>0</v>
      </c>
      <c r="U16" s="96">
        <f>'Solar DHW'!V107/'Solar DHW'!$K107</f>
        <v>0.4861179723173465</v>
      </c>
      <c r="V16" s="96">
        <f t="shared" si="2"/>
        <v>-1.4840449404087195</v>
      </c>
      <c r="W16" s="95">
        <f>'Solar DHW'!X107</f>
        <v>0.28537328512828486</v>
      </c>
      <c r="X16" s="95">
        <f>'Solar DHW'!I107</f>
        <v>1.8</v>
      </c>
      <c r="Y16" s="95">
        <f>'Solar DHW'!M107</f>
        <v>0.1433361917734146</v>
      </c>
      <c r="Z16" s="95">
        <f>'Solar DHW'!Y107/'Solar DHW'!$K107</f>
        <v>0.016147474912697548</v>
      </c>
      <c r="AA16" s="96">
        <v>0</v>
      </c>
      <c r="AB16" s="96">
        <v>0</v>
      </c>
      <c r="AC16" s="96">
        <f>'Solar DHW'!Z107/'Solar DHW'!$K107</f>
        <v>0</v>
      </c>
      <c r="AD16" s="96">
        <f>'Solar DHW'!AA107/'Solar DHW'!$K107</f>
        <v>0</v>
      </c>
      <c r="AE16" s="96">
        <f>'Solar DHW'!AC107/'Solar DHW'!$K107</f>
        <v>1.970162912726066</v>
      </c>
      <c r="AF16" s="96">
        <f>'Solar DHW'!AB107/'Solar DHW'!$K107</f>
        <v>0.5022654672895581</v>
      </c>
      <c r="AG16" s="96">
        <f t="shared" si="3"/>
        <v>-1.467897445436508</v>
      </c>
      <c r="AH16" s="95">
        <f>'Solar DHW'!AD107</f>
        <v>0.25493600964546204</v>
      </c>
      <c r="AI16" s="97" t="s">
        <v>186</v>
      </c>
      <c r="AJ16" s="98"/>
      <c r="AK16" s="307">
        <f>VLOOKUP(A16,'Solar DHW'!B$95:R$134,17,0)</f>
        <v>154.75721821862072</v>
      </c>
    </row>
    <row r="17" spans="1:37" ht="51">
      <c r="A17" s="91" t="str">
        <f>'Solar DHW'!B108</f>
        <v>Solar Residential Water Heater (60 sq.ft. collector area), Solar Zone 4 - Summer Peaking</v>
      </c>
      <c r="B17" s="92" t="str">
        <f>VLOOKUP($A17,'Lookup Table'!$A$3:$D$43,2,0)</f>
        <v>System must be design,installed and inspected per EWEB Solar Water Heater Program Specifications or equivalent</v>
      </c>
      <c r="C17" s="92" t="str">
        <f>VLOOKUP($A17,'Lookup Table'!$A$3:$D$43,3,0)</f>
        <v>Residential domestic water heating</v>
      </c>
      <c r="D17" s="92" t="str">
        <f>VLOOKUP($A17,'Lookup Table'!$A$3:$D$43,4,0)</f>
        <v>Solar Zone 5, summer-peaking utility distribution system or sub-system</v>
      </c>
      <c r="E17" s="93">
        <f>'Solar DHW'!E108</f>
        <v>5775</v>
      </c>
      <c r="F17" s="93">
        <f>'Solar DHW'!F108</f>
        <v>0</v>
      </c>
      <c r="G17" s="93">
        <f>'Solar DHW'!G108</f>
        <v>602.8137817382812</v>
      </c>
      <c r="H17" s="94">
        <f>'Solar DHW'!C108</f>
        <v>20</v>
      </c>
      <c r="I17" s="94" t="s">
        <v>156</v>
      </c>
      <c r="J17" s="94">
        <f>'Solar DHW'!D108</f>
        <v>3000</v>
      </c>
      <c r="K17" s="94">
        <f>'Solar DHW'!K108</f>
        <v>3228.75</v>
      </c>
      <c r="L17" s="95">
        <f>'Solar DHW'!J108</f>
        <v>0.4099999964237213</v>
      </c>
      <c r="M17" s="95">
        <f>'Solar DHW'!L108</f>
        <v>0.061933316886232596</v>
      </c>
      <c r="N17" s="96">
        <f>'Solar DHW'!N108/'Solar DHW'!$K108</f>
        <v>1.7886182678373737</v>
      </c>
      <c r="O17" s="96">
        <f>'Solar DHW'!O108/'Solar DHW'!$K108</f>
        <v>0</v>
      </c>
      <c r="P17" s="96">
        <f>'Solar DHW'!P108/'Solar DHW'!$K108</f>
        <v>0.1867019068488676</v>
      </c>
      <c r="Q17" s="96">
        <f>'Solar DHW'!Q108/'Solar DHW'!$K108</f>
        <v>1.9753201521970576</v>
      </c>
      <c r="R17" s="96">
        <f>'Solar DHW'!S108/'Solar DHW'!$K108</f>
        <v>0.49027132828840064</v>
      </c>
      <c r="S17" s="96">
        <f>'Solar DHW'!T108/'Solar DHW'!$K108</f>
        <v>0.000732592377051613</v>
      </c>
      <c r="T17" s="96">
        <f>'Solar DHW'!U108/'Solar DHW'!$K108</f>
        <v>0</v>
      </c>
      <c r="U17" s="96">
        <f>'Solar DHW'!V108/'Solar DHW'!$K108</f>
        <v>0.4909707004973363</v>
      </c>
      <c r="V17" s="96">
        <f t="shared" si="2"/>
        <v>-1.4843494516997213</v>
      </c>
      <c r="W17" s="95">
        <f>'Solar DHW'!X108</f>
        <v>0.27449719670534906</v>
      </c>
      <c r="X17" s="95">
        <f>'Solar DHW'!I108</f>
        <v>2.44</v>
      </c>
      <c r="Y17" s="95">
        <f>'Solar DHW'!M108</f>
        <v>0.15105687081813812</v>
      </c>
      <c r="Z17" s="95">
        <f>'Solar DHW'!Y108/'Solar DHW'!$K108</f>
        <v>0.01191207170947965</v>
      </c>
      <c r="AA17" s="96">
        <v>0</v>
      </c>
      <c r="AB17" s="96">
        <v>0</v>
      </c>
      <c r="AC17" s="96">
        <f>'Solar DHW'!Z108/'Solar DHW'!$K108</f>
        <v>0</v>
      </c>
      <c r="AD17" s="96">
        <f>'Solar DHW'!AA108/'Solar DHW'!$K108</f>
        <v>0</v>
      </c>
      <c r="AE17" s="96">
        <f>'Solar DHW'!AC108/'Solar DHW'!$K108</f>
        <v>1.9753201521970576</v>
      </c>
      <c r="AF17" s="96">
        <f>'Solar DHW'!AB108/'Solar DHW'!$K108</f>
        <v>0.5028827686435347</v>
      </c>
      <c r="AG17" s="96">
        <f t="shared" si="3"/>
        <v>-1.472437383553523</v>
      </c>
      <c r="AH17" s="95">
        <f>'Solar DHW'!AD108</f>
        <v>0.2545829117298126</v>
      </c>
      <c r="AI17" s="97" t="s">
        <v>186</v>
      </c>
      <c r="AJ17" s="98"/>
      <c r="AK17" s="307">
        <f>VLOOKUP(A17,'Solar DHW'!B$95:R$134,17,0)</f>
        <v>155.16232158314583</v>
      </c>
    </row>
    <row r="18" spans="1:37" ht="51">
      <c r="A18" s="91" t="str">
        <f>'Solar DHW'!B109</f>
        <v>Solar Residential Water Heater (60 sq.ft. collector area), Solar Zone 4 - Winter Peaking</v>
      </c>
      <c r="B18" s="92" t="str">
        <f>VLOOKUP($A18,'Lookup Table'!$A$3:$D$43,2,0)</f>
        <v>System must be design,installed and inspected per EWEB Solar Water Heater Program Specifications or equivalent</v>
      </c>
      <c r="C18" s="92" t="str">
        <f>VLOOKUP($A18,'Lookup Table'!$A$3:$D$43,3,0)</f>
        <v>Residential domestic water heating</v>
      </c>
      <c r="D18" s="92" t="str">
        <f>VLOOKUP($A18,'Lookup Table'!$A$3:$D$43,4,0)</f>
        <v>Solar Zone 2, winter-peaking utility distribution system or sub-system</v>
      </c>
      <c r="E18" s="93">
        <f>'Solar DHW'!E109</f>
        <v>5775</v>
      </c>
      <c r="F18" s="93">
        <f>'Solar DHW'!F109</f>
        <v>0</v>
      </c>
      <c r="G18" s="93">
        <f>'Solar DHW'!G109</f>
        <v>602.8137817382812</v>
      </c>
      <c r="H18" s="94">
        <f>'Solar DHW'!C109</f>
        <v>20</v>
      </c>
      <c r="I18" s="94" t="s">
        <v>156</v>
      </c>
      <c r="J18" s="94">
        <f>'Solar DHW'!D109</f>
        <v>3000</v>
      </c>
      <c r="K18" s="94">
        <f>'Solar DHW'!K109</f>
        <v>3228.75</v>
      </c>
      <c r="L18" s="95">
        <f>'Solar DHW'!J109</f>
        <v>0.30000001192092896</v>
      </c>
      <c r="M18" s="95">
        <f>'Solar DHW'!L109</f>
        <v>0.02541922632891669</v>
      </c>
      <c r="N18" s="96">
        <f>'Solar DHW'!N109/'Solar DHW'!$K109</f>
        <v>1.7886182678373737</v>
      </c>
      <c r="O18" s="96">
        <f>'Solar DHW'!O109/'Solar DHW'!$K109</f>
        <v>0</v>
      </c>
      <c r="P18" s="96">
        <f>'Solar DHW'!P109/'Solar DHW'!$K109</f>
        <v>0.1867019068488676</v>
      </c>
      <c r="Q18" s="96">
        <f>'Solar DHW'!Q109/'Solar DHW'!$K109</f>
        <v>1.9753201521970576</v>
      </c>
      <c r="R18" s="96">
        <f>'Solar DHW'!S109/'Solar DHW'!$K109</f>
        <v>0.49027132828840064</v>
      </c>
      <c r="S18" s="96">
        <f>'Solar DHW'!T109/'Solar DHW'!$K109</f>
        <v>0.0003006771374154912</v>
      </c>
      <c r="T18" s="96">
        <f>'Solar DHW'!U109/'Solar DHW'!$K109</f>
        <v>0</v>
      </c>
      <c r="U18" s="96">
        <f>'Solar DHW'!V109/'Solar DHW'!$K109</f>
        <v>0.49055837089100734</v>
      </c>
      <c r="V18" s="96">
        <f t="shared" si="2"/>
        <v>-1.4847617813060503</v>
      </c>
      <c r="W18" s="95">
        <f>'Solar DHW'!X109</f>
        <v>0.27426666702009234</v>
      </c>
      <c r="X18" s="95">
        <f>'Solar DHW'!I109</f>
        <v>4.35</v>
      </c>
      <c r="Y18" s="95">
        <f>'Solar DHW'!M109</f>
        <v>0.08473075181245804</v>
      </c>
      <c r="Z18" s="95">
        <f>'Solar DHW'!Y109/'Solar DHW'!$K109</f>
        <v>0.006681713853009763</v>
      </c>
      <c r="AA18" s="96">
        <v>0</v>
      </c>
      <c r="AB18" s="96">
        <v>0</v>
      </c>
      <c r="AC18" s="96">
        <f>'Solar DHW'!Z109/'Solar DHW'!$K109</f>
        <v>0</v>
      </c>
      <c r="AD18" s="96">
        <f>'Solar DHW'!AA109/'Solar DHW'!$K109</f>
        <v>0</v>
      </c>
      <c r="AE18" s="96">
        <f>'Solar DHW'!AC109/'Solar DHW'!$K109</f>
        <v>1.9753201521970576</v>
      </c>
      <c r="AF18" s="96">
        <f>'Solar DHW'!AB109/'Solar DHW'!$K109</f>
        <v>0.4972400672667441</v>
      </c>
      <c r="AG18" s="96">
        <f t="shared" si="3"/>
        <v>-1.4780800849303135</v>
      </c>
      <c r="AH18" s="95">
        <f>'Solar DHW'!AD109</f>
        <v>0.25172632932662964</v>
      </c>
      <c r="AI18" s="97" t="s">
        <v>186</v>
      </c>
      <c r="AJ18" s="98"/>
      <c r="AK18" s="307">
        <f>VLOOKUP(A18,'Solar DHW'!B$95:R$134,17,0)</f>
        <v>155.16232158314583</v>
      </c>
    </row>
    <row r="19" spans="1:37" ht="51">
      <c r="A19" s="91" t="str">
        <f>'Solar DHW'!B110</f>
        <v>Solar Residential Water Heater (37.3 sq.ft. collector area), Solar Zone 3 - Winter Peaking</v>
      </c>
      <c r="B19" s="92" t="str">
        <f>VLOOKUP($A19,'Lookup Table'!$A$3:$D$43,2,0)</f>
        <v>System must be design,installed and inspected per EWEB Solar Water Heater Program Specifications or equivalent</v>
      </c>
      <c r="C19" s="92" t="str">
        <f>VLOOKUP($A19,'Lookup Table'!$A$3:$D$43,3,0)</f>
        <v>Residential domestic water heating</v>
      </c>
      <c r="D19" s="92" t="str">
        <f>VLOOKUP($A19,'Lookup Table'!$A$3:$D$43,4,0)</f>
        <v>Solar Zone 2, summer-peaking utility distribution system or sub-system</v>
      </c>
      <c r="E19" s="93">
        <f>'Solar DHW'!E110</f>
        <v>3850</v>
      </c>
      <c r="F19" s="93">
        <f>'Solar DHW'!F110</f>
        <v>0</v>
      </c>
      <c r="G19" s="93">
        <f>'Solar DHW'!G110</f>
        <v>602.8137817382812</v>
      </c>
      <c r="H19" s="94">
        <f>'Solar DHW'!C110</f>
        <v>20</v>
      </c>
      <c r="I19" s="94" t="s">
        <v>156</v>
      </c>
      <c r="J19" s="94">
        <f>'Solar DHW'!D110</f>
        <v>2100</v>
      </c>
      <c r="K19" s="94">
        <f>'Solar DHW'!K110</f>
        <v>2260.125</v>
      </c>
      <c r="L19" s="95">
        <f>'Solar DHW'!J110</f>
        <v>0.44999998807907104</v>
      </c>
      <c r="M19" s="95">
        <f>'Solar DHW'!L110</f>
        <v>0.02285478515121549</v>
      </c>
      <c r="N19" s="96">
        <f>'Solar DHW'!N110/'Solar DHW'!$K110</f>
        <v>1.7034459693689274</v>
      </c>
      <c r="O19" s="96">
        <f>'Solar DHW'!O110/'Solar DHW'!$K110</f>
        <v>0</v>
      </c>
      <c r="P19" s="96">
        <f>'Solar DHW'!P110/'Solar DHW'!$K110</f>
        <v>0.26671700978409657</v>
      </c>
      <c r="Q19" s="96">
        <f>'Solar DHW'!Q110/'Solar DHW'!$K110</f>
        <v>1.970162912726066</v>
      </c>
      <c r="R19" s="96">
        <f>'Solar DHW'!S110/'Solar DHW'!$K110</f>
        <v>0.4855167775789391</v>
      </c>
      <c r="S19" s="96">
        <f>'Solar DHW'!T110/'Solar DHW'!$K110</f>
        <v>0.0003862043680009915</v>
      </c>
      <c r="T19" s="96">
        <f>'Solar DHW'!U110/'Solar DHW'!$K110</f>
        <v>0</v>
      </c>
      <c r="U19" s="96">
        <f>'Solar DHW'!V110/'Solar DHW'!$K110</f>
        <v>0.485885469086413</v>
      </c>
      <c r="V19" s="96">
        <f t="shared" si="2"/>
        <v>-1.484277443639653</v>
      </c>
      <c r="W19" s="95">
        <f>'Solar DHW'!X110</f>
        <v>0.28523679519252265</v>
      </c>
      <c r="X19" s="95">
        <f>'Solar DHW'!I110</f>
        <v>5.08</v>
      </c>
      <c r="Y19" s="95">
        <f>'Solar DHW'!M110</f>
        <v>0.05078841373324394</v>
      </c>
      <c r="Z19" s="95">
        <f>'Solar DHW'!Y110/'Solar DHW'!$K110</f>
        <v>0.005721546302003398</v>
      </c>
      <c r="AA19" s="96">
        <v>0</v>
      </c>
      <c r="AB19" s="96">
        <v>0</v>
      </c>
      <c r="AC19" s="96">
        <f>'Solar DHW'!Z110/'Solar DHW'!$K110</f>
        <v>0</v>
      </c>
      <c r="AD19" s="96">
        <f>'Solar DHW'!AA110/'Solar DHW'!$K110</f>
        <v>0</v>
      </c>
      <c r="AE19" s="96">
        <f>'Solar DHW'!AC110/'Solar DHW'!$K110</f>
        <v>1.970162912726066</v>
      </c>
      <c r="AF19" s="96">
        <f>'Solar DHW'!AB110/'Solar DHW'!$K110</f>
        <v>0.49160699594878604</v>
      </c>
      <c r="AG19" s="96">
        <f t="shared" si="3"/>
        <v>-1.47855591677728</v>
      </c>
      <c r="AH19" s="95">
        <f>'Solar DHW'!AD110</f>
        <v>0.24952606856822968</v>
      </c>
      <c r="AI19" s="97" t="s">
        <v>186</v>
      </c>
      <c r="AJ19" s="98"/>
      <c r="AK19" s="307">
        <f>VLOOKUP(A19,'Solar DHW'!B$95:R$134,17,0)</f>
        <v>154.75721821862072</v>
      </c>
    </row>
    <row r="20" spans="1:37" ht="51">
      <c r="A20" s="91" t="str">
        <f>'Solar DHW'!B111</f>
        <v>Solar Residential Water Heater (74.6 sq.ft. collector area), Solar Zone 5 - Summer Peaking</v>
      </c>
      <c r="B20" s="92" t="str">
        <f>VLOOKUP($A20,'Lookup Table'!$A$3:$D$43,2,0)</f>
        <v>System must be design,installed and inspected per EWEB Solar Water Heater Program Specifications or equivalent</v>
      </c>
      <c r="C20" s="92" t="str">
        <f>VLOOKUP($A20,'Lookup Table'!$A$3:$D$43,3,0)</f>
        <v>Residential domestic water heating</v>
      </c>
      <c r="D20" s="92" t="str">
        <f>VLOOKUP($A20,'Lookup Table'!$A$3:$D$43,4,0)</f>
        <v>Solar Zone 5, winter-peaking utility distribution system or sub-system</v>
      </c>
      <c r="E20" s="93">
        <f>'Solar DHW'!E111</f>
        <v>7180.25</v>
      </c>
      <c r="F20" s="93">
        <f>'Solar DHW'!F111</f>
        <v>0</v>
      </c>
      <c r="G20" s="93">
        <f>'Solar DHW'!G111</f>
        <v>602.8137817382812</v>
      </c>
      <c r="H20" s="94">
        <f>'Solar DHW'!C111</f>
        <v>20</v>
      </c>
      <c r="I20" s="94" t="s">
        <v>156</v>
      </c>
      <c r="J20" s="94">
        <f>'Solar DHW'!D111</f>
        <v>3400</v>
      </c>
      <c r="K20" s="94">
        <f>'Solar DHW'!K111</f>
        <v>3659.25</v>
      </c>
      <c r="L20" s="95">
        <f>'Solar DHW'!J111</f>
        <v>0.4300000071525574</v>
      </c>
      <c r="M20" s="95">
        <f>'Solar DHW'!L111</f>
        <v>0.07016434459604182</v>
      </c>
      <c r="N20" s="96">
        <f>'Solar DHW'!N111/'Solar DHW'!$K111</f>
        <v>1.9622194526568835</v>
      </c>
      <c r="O20" s="96">
        <f>'Solar DHW'!O111/'Solar DHW'!$K111</f>
        <v>0</v>
      </c>
      <c r="P20" s="96">
        <f>'Solar DHW'!P111/'Solar DHW'!$K111</f>
        <v>0.16473697663135375</v>
      </c>
      <c r="Q20" s="96">
        <f>'Solar DHW'!Q111/'Solar DHW'!$K111</f>
        <v>2.126956460938034</v>
      </c>
      <c r="R20" s="96">
        <f>'Solar DHW'!S111/'Solar DHW'!$K111</f>
        <v>0.4855167775789378</v>
      </c>
      <c r="S20" s="96">
        <f>'Solar DHW'!T111/'Solar DHW'!$K111</f>
        <v>0.0007323131963937442</v>
      </c>
      <c r="T20" s="96">
        <f>'Solar DHW'!U111/'Solar DHW'!$K111</f>
        <v>0</v>
      </c>
      <c r="U20" s="96">
        <f>'Solar DHW'!V111/'Solar DHW'!$K111</f>
        <v>0.48621588327655724</v>
      </c>
      <c r="V20" s="96">
        <f t="shared" si="2"/>
        <v>-1.6407405776614765</v>
      </c>
      <c r="W20" s="95">
        <f>'Solar DHW'!X111</f>
        <v>0.2477887387255342</v>
      </c>
      <c r="X20" s="95">
        <f>'Solar DHW'!I111</f>
        <v>2.56</v>
      </c>
      <c r="Y20" s="95">
        <f>'Solar DHW'!M111</f>
        <v>0.1631728857755661</v>
      </c>
      <c r="Z20" s="95">
        <f>'Solar DHW'!Y111/'Solar DHW'!$K111</f>
        <v>0.011353694131044185</v>
      </c>
      <c r="AA20" s="96">
        <v>0</v>
      </c>
      <c r="AB20" s="96">
        <v>0</v>
      </c>
      <c r="AC20" s="96">
        <f>'Solar DHW'!Z111/'Solar DHW'!$K111</f>
        <v>0</v>
      </c>
      <c r="AD20" s="96">
        <f>'Solar DHW'!AA111/'Solar DHW'!$K111</f>
        <v>0</v>
      </c>
      <c r="AE20" s="96">
        <f>'Solar DHW'!AC111/'Solar DHW'!$K111</f>
        <v>2.126956460938034</v>
      </c>
      <c r="AF20" s="96">
        <f>'Solar DHW'!AB111/'Solar DHW'!$K111</f>
        <v>0.49756956898613103</v>
      </c>
      <c r="AG20" s="96">
        <f t="shared" si="3"/>
        <v>-1.6293868919519028</v>
      </c>
      <c r="AH20" s="95">
        <f>'Solar DHW'!AD111</f>
        <v>0.23393499851226807</v>
      </c>
      <c r="AI20" s="97" t="s">
        <v>186</v>
      </c>
      <c r="AJ20" s="98"/>
      <c r="AK20" s="307">
        <f>VLOOKUP(A20,'Solar DHW'!B$95:R$134,17,0)</f>
        <v>167.07342451188282</v>
      </c>
    </row>
    <row r="21" spans="1:37" ht="51">
      <c r="A21" s="91" t="str">
        <f>'Solar DHW'!B112</f>
        <v>Solar Residential Water Heater (74.6 sq.ft. collector area), Solar Zone 5 - Winter Peaking</v>
      </c>
      <c r="B21" s="92" t="str">
        <f>VLOOKUP($A21,'Lookup Table'!$A$3:$D$43,2,0)</f>
        <v>System must be design,installed and inspected per EWEB Solar Water Heater Program Specifications or equivalent</v>
      </c>
      <c r="C21" s="92" t="str">
        <f>VLOOKUP($A21,'Lookup Table'!$A$3:$D$43,3,0)</f>
        <v>Residential domestic water heating</v>
      </c>
      <c r="D21" s="92" t="str">
        <f>VLOOKUP($A21,'Lookup Table'!$A$3:$D$43,4,0)</f>
        <v>Solar Zone 3, summer-peaking utility distribution system or sub-system</v>
      </c>
      <c r="E21" s="93">
        <f>'Solar DHW'!E112</f>
        <v>7180.25</v>
      </c>
      <c r="F21" s="93">
        <f>'Solar DHW'!F112</f>
        <v>0</v>
      </c>
      <c r="G21" s="93">
        <f>'Solar DHW'!G112</f>
        <v>602.8137817382812</v>
      </c>
      <c r="H21" s="94">
        <f>'Solar DHW'!C112</f>
        <v>20</v>
      </c>
      <c r="I21" s="94" t="s">
        <v>156</v>
      </c>
      <c r="J21" s="94">
        <f>'Solar DHW'!D112</f>
        <v>3400</v>
      </c>
      <c r="K21" s="94">
        <f>'Solar DHW'!K112</f>
        <v>3659.25</v>
      </c>
      <c r="L21" s="95">
        <f>'Solar DHW'!J112</f>
        <v>0.23999999463558197</v>
      </c>
      <c r="M21" s="95">
        <f>'Solar DHW'!L112</f>
        <v>0.02992639475125241</v>
      </c>
      <c r="N21" s="96">
        <f>'Solar DHW'!N112/'Solar DHW'!$K112</f>
        <v>1.9622194526568835</v>
      </c>
      <c r="O21" s="96">
        <f>'Solar DHW'!O112/'Solar DHW'!$K112</f>
        <v>0</v>
      </c>
      <c r="P21" s="96">
        <f>'Solar DHW'!P112/'Solar DHW'!$K112</f>
        <v>0.16473697663135375</v>
      </c>
      <c r="Q21" s="96">
        <f>'Solar DHW'!Q112/'Solar DHW'!$K112</f>
        <v>2.126956460938034</v>
      </c>
      <c r="R21" s="96">
        <f>'Solar DHW'!S112/'Solar DHW'!$K112</f>
        <v>0.4855167775789378</v>
      </c>
      <c r="S21" s="96">
        <f>'Solar DHW'!T112/'Solar DHW'!$K112</f>
        <v>0.00031234518120081494</v>
      </c>
      <c r="T21" s="96">
        <f>'Solar DHW'!U112/'Solar DHW'!$K112</f>
        <v>0</v>
      </c>
      <c r="U21" s="96">
        <f>'Solar DHW'!V112/'Solar DHW'!$K112</f>
        <v>0.4858149591296993</v>
      </c>
      <c r="V21" s="96">
        <f t="shared" si="2"/>
        <v>-1.6411415018083346</v>
      </c>
      <c r="W21" s="95">
        <f>'Solar DHW'!X112</f>
        <v>0.24758441695799943</v>
      </c>
      <c r="X21" s="95">
        <f>'Solar DHW'!I112</f>
        <v>3.35</v>
      </c>
      <c r="Y21" s="95">
        <f>'Solar DHW'!M112</f>
        <v>0.12469331175088882</v>
      </c>
      <c r="Z21" s="95">
        <f>'Solar DHW'!Y112/'Solar DHW'!$K112</f>
        <v>0.008676256191667788</v>
      </c>
      <c r="AA21" s="96">
        <v>0</v>
      </c>
      <c r="AB21" s="96">
        <v>0</v>
      </c>
      <c r="AC21" s="96">
        <f>'Solar DHW'!Z112/'Solar DHW'!$K112</f>
        <v>0</v>
      </c>
      <c r="AD21" s="96">
        <f>'Solar DHW'!AA112/'Solar DHW'!$K112</f>
        <v>0</v>
      </c>
      <c r="AE21" s="96">
        <f>'Solar DHW'!AC112/'Solar DHW'!$K112</f>
        <v>2.126956460938034</v>
      </c>
      <c r="AF21" s="96">
        <f>'Solar DHW'!AB112/'Solar DHW'!$K112</f>
        <v>0.4944911987279668</v>
      </c>
      <c r="AG21" s="96">
        <f t="shared" si="3"/>
        <v>-1.632465262210067</v>
      </c>
      <c r="AH21" s="95">
        <f>'Solar DHW'!AD112</f>
        <v>0.23248769342899323</v>
      </c>
      <c r="AI21" s="97" t="s">
        <v>186</v>
      </c>
      <c r="AJ21" s="98"/>
      <c r="AK21" s="307">
        <f>VLOOKUP(A21,'Solar DHW'!B$95:R$134,17,0)</f>
        <v>167.07342451188282</v>
      </c>
    </row>
    <row r="22" spans="1:37" ht="51">
      <c r="A22" s="91" t="str">
        <f>'Solar DHW'!B113</f>
        <v>Solar Residential Water Heater (per. 40 sq.ft. collector area), Solar Zone 2 - Summer Peaking</v>
      </c>
      <c r="B22" s="92" t="str">
        <f>VLOOKUP($A22,'Lookup Table'!$A$3:$D$43,2,0)</f>
        <v>System must be design,installed and inspected per EWEB Solar Water Heater Program Specifications or equivalent</v>
      </c>
      <c r="C22" s="92" t="str">
        <f>VLOOKUP($A22,'Lookup Table'!$A$3:$D$43,3,0)</f>
        <v>Residential domestic water heating</v>
      </c>
      <c r="D22" s="92" t="str">
        <f>VLOOKUP($A22,'Lookup Table'!$A$3:$D$43,4,0)</f>
        <v>Solar Zone 2, summer-peaking utility distribution system or sub-system</v>
      </c>
      <c r="E22" s="93">
        <f>'Solar DHW'!E113</f>
        <v>3850</v>
      </c>
      <c r="F22" s="93">
        <f>'Solar DHW'!F113</f>
        <v>0</v>
      </c>
      <c r="G22" s="93">
        <f>'Solar DHW'!G113</f>
        <v>602.8137817382812</v>
      </c>
      <c r="H22" s="94">
        <f>'Solar DHW'!C113</f>
        <v>20</v>
      </c>
      <c r="I22" s="94" t="s">
        <v>156</v>
      </c>
      <c r="J22" s="94">
        <f>'Solar DHW'!D113</f>
        <v>1900</v>
      </c>
      <c r="K22" s="94">
        <f>'Solar DHW'!K113</f>
        <v>2044.875</v>
      </c>
      <c r="L22" s="95">
        <f>'Solar DHW'!J113</f>
        <v>0.36000001430511475</v>
      </c>
      <c r="M22" s="95">
        <f>'Solar DHW'!L113</f>
        <v>0.032698817993540304</v>
      </c>
      <c r="N22" s="96">
        <f>'Solar DHW'!N113/'Solar DHW'!$K113</f>
        <v>1.882756071407762</v>
      </c>
      <c r="O22" s="96">
        <f>'Solar DHW'!O113/'Solar DHW'!$K113</f>
        <v>0</v>
      </c>
      <c r="P22" s="96">
        <f>'Solar DHW'!P113/'Solar DHW'!$K113</f>
        <v>0.294792484498212</v>
      </c>
      <c r="Q22" s="96">
        <f>'Solar DHW'!Q113/'Solar DHW'!$K113</f>
        <v>2.1775484824867046</v>
      </c>
      <c r="R22" s="96">
        <f>'Solar DHW'!S113/'Solar DHW'!$K113</f>
        <v>0.4855167775789385</v>
      </c>
      <c r="S22" s="96">
        <f>'Solar DHW'!T113/'Solar DHW'!$K113</f>
        <v>0.0006107138759590418</v>
      </c>
      <c r="T22" s="96">
        <f>'Solar DHW'!U113/'Solar DHW'!$K113</f>
        <v>0</v>
      </c>
      <c r="U22" s="96">
        <f>'Solar DHW'!V113/'Solar DHW'!$K113</f>
        <v>0.4860997979624432</v>
      </c>
      <c r="V22" s="96">
        <f t="shared" si="2"/>
        <v>-1.6914486845242616</v>
      </c>
      <c r="W22" s="95">
        <f>'Solar DHW'!X113</f>
        <v>0.25818522396211413</v>
      </c>
      <c r="X22" s="95">
        <f>'Solar DHW'!I113</f>
        <v>2.57</v>
      </c>
      <c r="Y22" s="95">
        <f>'Solar DHW'!M113</f>
        <v>0.09083004295825958</v>
      </c>
      <c r="Z22" s="95">
        <f>'Solar DHW'!Y113/'Solar DHW'!$K113</f>
        <v>0.011309515228262157</v>
      </c>
      <c r="AA22" s="96">
        <v>0</v>
      </c>
      <c r="AB22" s="96">
        <v>0</v>
      </c>
      <c r="AC22" s="96">
        <f>'Solar DHW'!Z113/'Solar DHW'!$K113</f>
        <v>0</v>
      </c>
      <c r="AD22" s="96">
        <f>'Solar DHW'!AA113/'Solar DHW'!$K113</f>
        <v>0</v>
      </c>
      <c r="AE22" s="96">
        <f>'Solar DHW'!AC113/'Solar DHW'!$K113</f>
        <v>2.1775484824867046</v>
      </c>
      <c r="AF22" s="96">
        <f>'Solar DHW'!AB113/'Solar DHW'!$K113</f>
        <v>0.4974093245690446</v>
      </c>
      <c r="AG22" s="96">
        <f t="shared" si="3"/>
        <v>-1.68013915791766</v>
      </c>
      <c r="AH22" s="95">
        <f>'Solar DHW'!AD113</f>
        <v>0.22842629253864288</v>
      </c>
      <c r="AI22" s="97" t="s">
        <v>186</v>
      </c>
      <c r="AJ22" s="98"/>
      <c r="AK22" s="307">
        <f>VLOOKUP(A22,'Solar DHW'!B$95:R$134,17,0)</f>
        <v>171.04745171531764</v>
      </c>
    </row>
    <row r="23" spans="1:37" ht="51">
      <c r="A23" s="91" t="str">
        <f>'Solar DHW'!B114</f>
        <v>Solar Residential Water Heater (37.3 sq.ft. collector area), Solar Zone 2 - Summer Peaking</v>
      </c>
      <c r="B23" s="92" t="str">
        <f>VLOOKUP($A23,'Lookup Table'!$A$3:$D$43,2,0)</f>
        <v>System must be design,installed and inspected per EWEB Solar Water Heater Program Specifications or equivalent</v>
      </c>
      <c r="C23" s="92" t="str">
        <f>VLOOKUP($A23,'Lookup Table'!$A$3:$D$43,3,0)</f>
        <v>Residential domestic water heating</v>
      </c>
      <c r="D23" s="92" t="str">
        <f>VLOOKUP($A23,'Lookup Table'!$A$3:$D$43,4,0)</f>
        <v>Solar Zone 4, summer-peaking utility distribution system or sub-system</v>
      </c>
      <c r="E23" s="93">
        <f>'Solar DHW'!E114</f>
        <v>3850</v>
      </c>
      <c r="F23" s="93">
        <f>'Solar DHW'!F114</f>
        <v>0</v>
      </c>
      <c r="G23" s="93">
        <f>'Solar DHW'!G114</f>
        <v>602.8137817382812</v>
      </c>
      <c r="H23" s="94">
        <f>'Solar DHW'!C114</f>
        <v>20</v>
      </c>
      <c r="I23" s="94" t="s">
        <v>156</v>
      </c>
      <c r="J23" s="94">
        <f>'Solar DHW'!D114</f>
        <v>1900</v>
      </c>
      <c r="K23" s="94">
        <f>'Solar DHW'!K114</f>
        <v>2044.875</v>
      </c>
      <c r="L23" s="95">
        <f>'Solar DHW'!J114</f>
        <v>0.36000001430511475</v>
      </c>
      <c r="M23" s="95">
        <f>'Solar DHW'!L114</f>
        <v>0.032698817993540304</v>
      </c>
      <c r="N23" s="96">
        <f>'Solar DHW'!N114/'Solar DHW'!$K114</f>
        <v>1.882756071407762</v>
      </c>
      <c r="O23" s="96">
        <f>'Solar DHW'!O114/'Solar DHW'!$K114</f>
        <v>0</v>
      </c>
      <c r="P23" s="96">
        <f>'Solar DHW'!P114/'Solar DHW'!$K114</f>
        <v>0.294792484498212</v>
      </c>
      <c r="Q23" s="96">
        <f>'Solar DHW'!Q114/'Solar DHW'!$K114</f>
        <v>2.1775484824867046</v>
      </c>
      <c r="R23" s="96">
        <f>'Solar DHW'!S114/'Solar DHW'!$K114</f>
        <v>0.4855167775789385</v>
      </c>
      <c r="S23" s="96">
        <f>'Solar DHW'!T114/'Solar DHW'!$K114</f>
        <v>0.0006107138759590418</v>
      </c>
      <c r="T23" s="96">
        <f>'Solar DHW'!U114/'Solar DHW'!$K114</f>
        <v>0</v>
      </c>
      <c r="U23" s="96">
        <f>'Solar DHW'!V114/'Solar DHW'!$K114</f>
        <v>0.4860997979624432</v>
      </c>
      <c r="V23" s="96">
        <f t="shared" si="2"/>
        <v>-1.6914486845242616</v>
      </c>
      <c r="W23" s="95">
        <f>'Solar DHW'!X114</f>
        <v>0.25818522396211413</v>
      </c>
      <c r="X23" s="95">
        <f>'Solar DHW'!I114</f>
        <v>2.57</v>
      </c>
      <c r="Y23" s="95">
        <f>'Solar DHW'!M114</f>
        <v>0.09083004295825958</v>
      </c>
      <c r="Z23" s="95">
        <f>'Solar DHW'!Y114/'Solar DHW'!$K114</f>
        <v>0.011309515228262157</v>
      </c>
      <c r="AA23" s="96">
        <v>0</v>
      </c>
      <c r="AB23" s="96">
        <v>0</v>
      </c>
      <c r="AC23" s="96">
        <f>'Solar DHW'!Z114/'Solar DHW'!$K114</f>
        <v>0</v>
      </c>
      <c r="AD23" s="96">
        <f>'Solar DHW'!AA114/'Solar DHW'!$K114</f>
        <v>0</v>
      </c>
      <c r="AE23" s="96">
        <f>'Solar DHW'!AC114/'Solar DHW'!$K114</f>
        <v>2.1775484824867046</v>
      </c>
      <c r="AF23" s="96">
        <f>'Solar DHW'!AB114/'Solar DHW'!$K114</f>
        <v>0.4974093245690446</v>
      </c>
      <c r="AG23" s="96">
        <f t="shared" si="3"/>
        <v>-1.68013915791766</v>
      </c>
      <c r="AH23" s="95">
        <f>'Solar DHW'!AD114</f>
        <v>0.22842629253864288</v>
      </c>
      <c r="AI23" s="97" t="s">
        <v>186</v>
      </c>
      <c r="AJ23" s="98"/>
      <c r="AK23" s="307">
        <f>VLOOKUP(A23,'Solar DHW'!B$95:R$134,17,0)</f>
        <v>171.04745171531764</v>
      </c>
    </row>
    <row r="24" spans="1:38" ht="51">
      <c r="A24" s="91" t="str">
        <f>'Solar DHW'!B115</f>
        <v>Solar Residential Water Heater (per. 40 sq.ft. collector area), Solar Zone 2 - Winter Peaking</v>
      </c>
      <c r="B24" s="92" t="str">
        <f>VLOOKUP($A24,'Lookup Table'!$A$3:$D$43,2,0)</f>
        <v>System must be design,installed and inspected per EWEB Solar Water Heater Program Specifications or equivalent</v>
      </c>
      <c r="C24" s="92" t="str">
        <f>VLOOKUP($A24,'Lookup Table'!$A$3:$D$43,3,0)</f>
        <v>Residential domestic water heating</v>
      </c>
      <c r="D24" s="92" t="str">
        <f>VLOOKUP($A24,'Lookup Table'!$A$3:$D$43,4,0)</f>
        <v>Solar Zone 2, winter-peaking utility distribution system or sub-system</v>
      </c>
      <c r="E24" s="93">
        <f>'Solar DHW'!E115</f>
        <v>3850</v>
      </c>
      <c r="F24" s="93">
        <f>'Solar DHW'!F115</f>
        <v>0</v>
      </c>
      <c r="G24" s="93">
        <f>'Solar DHW'!G115</f>
        <v>602.8137817382812</v>
      </c>
      <c r="H24" s="94">
        <f>'Solar DHW'!C115</f>
        <v>20</v>
      </c>
      <c r="I24" s="94" t="s">
        <v>156</v>
      </c>
      <c r="J24" s="94">
        <f>'Solar DHW'!D115</f>
        <v>1900</v>
      </c>
      <c r="K24" s="94">
        <f>'Solar DHW'!K115</f>
        <v>2044.875</v>
      </c>
      <c r="L24" s="95">
        <f>'Solar DHW'!J115</f>
        <v>0.5699999928474426</v>
      </c>
      <c r="M24" s="95">
        <f>'Solar DHW'!L115</f>
        <v>0.015765039486002646</v>
      </c>
      <c r="N24" s="96">
        <f>'Solar DHW'!N115/'Solar DHW'!$K115</f>
        <v>1.882756071407762</v>
      </c>
      <c r="O24" s="96">
        <f>'Solar DHW'!O115/'Solar DHW'!$K115</f>
        <v>0</v>
      </c>
      <c r="P24" s="96">
        <f>'Solar DHW'!P115/'Solar DHW'!$K115</f>
        <v>0.294792484498212</v>
      </c>
      <c r="Q24" s="96">
        <f>'Solar DHW'!Q115/'Solar DHW'!$K115</f>
        <v>2.1775484824867046</v>
      </c>
      <c r="R24" s="96">
        <f>'Solar DHW'!S115/'Solar DHW'!$K115</f>
        <v>0.4855167775789385</v>
      </c>
      <c r="S24" s="96">
        <f>'Solar DHW'!T115/'Solar DHW'!$K115</f>
        <v>0.0002944427041117257</v>
      </c>
      <c r="T24" s="96">
        <f>'Solar DHW'!U115/'Solar DHW'!$K115</f>
        <v>0</v>
      </c>
      <c r="U24" s="96">
        <f>'Solar DHW'!V115/'Solar DHW'!$K115</f>
        <v>0.48579786845411665</v>
      </c>
      <c r="V24" s="96">
        <f t="shared" si="2"/>
        <v>-1.691750614032588</v>
      </c>
      <c r="W24" s="95">
        <f>'Solar DHW'!X115</f>
        <v>0.2580248582552062</v>
      </c>
      <c r="X24" s="95">
        <f>'Solar DHW'!I115</f>
        <v>8.44</v>
      </c>
      <c r="Y24" s="95">
        <f>'Solar DHW'!M115</f>
        <v>0.027657965198159218</v>
      </c>
      <c r="Z24" s="95">
        <f>'Solar DHW'!Y115/'Solar DHW'!$K115</f>
        <v>0.0034437740961827203</v>
      </c>
      <c r="AA24" s="96">
        <v>0</v>
      </c>
      <c r="AB24" s="96">
        <v>0</v>
      </c>
      <c r="AC24" s="96">
        <f>'Solar DHW'!Z115/'Solar DHW'!$K115</f>
        <v>0</v>
      </c>
      <c r="AD24" s="96">
        <f>'Solar DHW'!AA115/'Solar DHW'!$K115</f>
        <v>0</v>
      </c>
      <c r="AE24" s="96">
        <f>'Solar DHW'!AC115/'Solar DHW'!$K115</f>
        <v>2.1775484824867046</v>
      </c>
      <c r="AF24" s="96">
        <f>'Solar DHW'!AB115/'Solar DHW'!$K115</f>
        <v>0.4892416349562932</v>
      </c>
      <c r="AG24" s="96">
        <f t="shared" si="3"/>
        <v>-1.6883068475304115</v>
      </c>
      <c r="AH24" s="95">
        <f>'Solar DHW'!AD115</f>
        <v>0.22467543184757233</v>
      </c>
      <c r="AI24" s="97" t="s">
        <v>186</v>
      </c>
      <c r="AJ24" s="98"/>
      <c r="AK24" s="307">
        <f>VLOOKUP(A24,'Solar DHW'!B$95:R$134,17,0)</f>
        <v>171.04745171531764</v>
      </c>
      <c r="AL24" s="90"/>
    </row>
    <row r="25" spans="1:37" ht="51">
      <c r="A25" s="91" t="str">
        <f>'Solar DHW'!B116</f>
        <v>Solar Residential Water Heater (37.3 sq.ft. collector area), Solar Zone 2 - Winter Peaking</v>
      </c>
      <c r="B25" s="92" t="str">
        <f>VLOOKUP($A25,'Lookup Table'!$A$3:$D$43,2,0)</f>
        <v>System must be design,installed and inspected per EWEB Solar Water Heater Program Specifications or equivalent</v>
      </c>
      <c r="C25" s="92" t="str">
        <f>VLOOKUP($A25,'Lookup Table'!$A$3:$D$43,3,0)</f>
        <v>Residential domestic water heating</v>
      </c>
      <c r="D25" s="92" t="str">
        <f>VLOOKUP($A25,'Lookup Table'!$A$3:$D$43,4,0)</f>
        <v>Solar Zone 1, winter-peaking utility distribution system or sub-system</v>
      </c>
      <c r="E25" s="93">
        <f>'Solar DHW'!E116</f>
        <v>3850</v>
      </c>
      <c r="F25" s="93">
        <f>'Solar DHW'!F116</f>
        <v>0</v>
      </c>
      <c r="G25" s="93">
        <f>'Solar DHW'!G116</f>
        <v>602.8137817382812</v>
      </c>
      <c r="H25" s="94">
        <f>'Solar DHW'!C116</f>
        <v>20</v>
      </c>
      <c r="I25" s="94" t="s">
        <v>156</v>
      </c>
      <c r="J25" s="94">
        <f>'Solar DHW'!D116</f>
        <v>1900</v>
      </c>
      <c r="K25" s="94">
        <f>'Solar DHW'!K116</f>
        <v>2044.875</v>
      </c>
      <c r="L25" s="95">
        <f>'Solar DHW'!J116</f>
        <v>0.5699999928474426</v>
      </c>
      <c r="M25" s="95">
        <f>'Solar DHW'!L116</f>
        <v>0.015765039486002646</v>
      </c>
      <c r="N25" s="96">
        <f>'Solar DHW'!N116/'Solar DHW'!$K116</f>
        <v>1.882756071407762</v>
      </c>
      <c r="O25" s="96">
        <f>'Solar DHW'!O116/'Solar DHW'!$K116</f>
        <v>0</v>
      </c>
      <c r="P25" s="96">
        <f>'Solar DHW'!P116/'Solar DHW'!$K116</f>
        <v>0.294792484498212</v>
      </c>
      <c r="Q25" s="96">
        <f>'Solar DHW'!Q116/'Solar DHW'!$K116</f>
        <v>2.1775484824867046</v>
      </c>
      <c r="R25" s="96">
        <f>'Solar DHW'!S116/'Solar DHW'!$K116</f>
        <v>0.4855167775789385</v>
      </c>
      <c r="S25" s="96">
        <f>'Solar DHW'!T116/'Solar DHW'!$K116</f>
        <v>0.0002944427041117257</v>
      </c>
      <c r="T25" s="96">
        <f>'Solar DHW'!U116/'Solar DHW'!$K116</f>
        <v>0</v>
      </c>
      <c r="U25" s="96">
        <f>'Solar DHW'!V116/'Solar DHW'!$K116</f>
        <v>0.48579786845411665</v>
      </c>
      <c r="V25" s="96">
        <f t="shared" si="2"/>
        <v>-1.691750614032588</v>
      </c>
      <c r="W25" s="95">
        <f>'Solar DHW'!X116</f>
        <v>0.2580248582552062</v>
      </c>
      <c r="X25" s="95">
        <f>'Solar DHW'!I116</f>
        <v>8.44</v>
      </c>
      <c r="Y25" s="95">
        <f>'Solar DHW'!M116</f>
        <v>0.027657965198159218</v>
      </c>
      <c r="Z25" s="95">
        <f>'Solar DHW'!Y116/'Solar DHW'!$K116</f>
        <v>0.0034437740961827203</v>
      </c>
      <c r="AA25" s="96">
        <v>0</v>
      </c>
      <c r="AB25" s="96">
        <v>0</v>
      </c>
      <c r="AC25" s="96">
        <f>'Solar DHW'!Z116/'Solar DHW'!$K116</f>
        <v>0</v>
      </c>
      <c r="AD25" s="96">
        <f>'Solar DHW'!AA116/'Solar DHW'!$K116</f>
        <v>0</v>
      </c>
      <c r="AE25" s="96">
        <f>'Solar DHW'!AC116/'Solar DHW'!$K116</f>
        <v>2.1775484824867046</v>
      </c>
      <c r="AF25" s="96">
        <f>'Solar DHW'!AB116/'Solar DHW'!$K116</f>
        <v>0.4892416349562932</v>
      </c>
      <c r="AG25" s="96">
        <f t="shared" si="3"/>
        <v>-1.6883068475304115</v>
      </c>
      <c r="AH25" s="95">
        <f>'Solar DHW'!AD116</f>
        <v>0.22467543184757233</v>
      </c>
      <c r="AI25" s="97" t="s">
        <v>186</v>
      </c>
      <c r="AJ25" s="98"/>
      <c r="AK25" s="307">
        <f>VLOOKUP(A25,'Solar DHW'!B$95:R$134,17,0)</f>
        <v>171.04745171531764</v>
      </c>
    </row>
    <row r="26" spans="1:37" ht="51">
      <c r="A26" s="91" t="str">
        <f>'Solar DHW'!B117</f>
        <v>Solar Residential Water Heater (74.6 sq.ft. collector area), Solar Zone 4 - Summer Peaking</v>
      </c>
      <c r="B26" s="92" t="str">
        <f>VLOOKUP($A26,'Lookup Table'!$A$3:$D$43,2,0)</f>
        <v>System must be design,installed and inspected per EWEB Solar Water Heater Program Specifications or equivalent</v>
      </c>
      <c r="C26" s="92" t="str">
        <f>VLOOKUP($A26,'Lookup Table'!$A$3:$D$43,3,0)</f>
        <v>Residential domestic water heating</v>
      </c>
      <c r="D26" s="92" t="str">
        <f>VLOOKUP($A26,'Lookup Table'!$A$3:$D$43,4,0)</f>
        <v>Solar Zone 5, summer-peaking utility distribution system or sub-system</v>
      </c>
      <c r="E26" s="93">
        <f>'Solar DHW'!E117</f>
        <v>7180.25</v>
      </c>
      <c r="F26" s="93">
        <f>'Solar DHW'!F117</f>
        <v>0</v>
      </c>
      <c r="G26" s="93">
        <f>'Solar DHW'!G117</f>
        <v>602.8137817382812</v>
      </c>
      <c r="H26" s="94">
        <f>'Solar DHW'!C117</f>
        <v>20</v>
      </c>
      <c r="I26" s="94" t="s">
        <v>156</v>
      </c>
      <c r="J26" s="94">
        <f>'Solar DHW'!D117</f>
        <v>3200</v>
      </c>
      <c r="K26" s="94">
        <f>'Solar DHW'!K117</f>
        <v>3444</v>
      </c>
      <c r="L26" s="95">
        <f>'Solar DHW'!J117</f>
        <v>0.4099999964237213</v>
      </c>
      <c r="M26" s="95">
        <f>'Solar DHW'!L117</f>
        <v>0.06606220467864811</v>
      </c>
      <c r="N26" s="96">
        <f>'Solar DHW'!N117/'Solar DHW'!$K117</f>
        <v>2.084858168447939</v>
      </c>
      <c r="O26" s="96">
        <f>'Solar DHW'!O117/'Solar DHW'!$K117</f>
        <v>0</v>
      </c>
      <c r="P26" s="96">
        <f>'Solar DHW'!P117/'Solar DHW'!$K117</f>
        <v>0.17503303767081338</v>
      </c>
      <c r="Q26" s="96">
        <f>'Solar DHW'!Q117/'Solar DHW'!$K117</f>
        <v>2.259891239746661</v>
      </c>
      <c r="R26" s="96">
        <f>'Solar DHW'!S117/'Solar DHW'!$K117</f>
        <v>0.4902713282883995</v>
      </c>
      <c r="S26" s="96">
        <f>'Solar DHW'!T117/'Solar DHW'!$K117</f>
        <v>0.0007325923816667617</v>
      </c>
      <c r="T26" s="96">
        <f>'Solar DHW'!U117/'Solar DHW'!$K117</f>
        <v>0</v>
      </c>
      <c r="U26" s="96">
        <f>'Solar DHW'!V117/'Solar DHW'!$K117</f>
        <v>0.4909707004973351</v>
      </c>
      <c r="V26" s="96">
        <f t="shared" si="2"/>
        <v>-1.7689205392493257</v>
      </c>
      <c r="W26" s="95">
        <f>'Solar DHW'!X117</f>
        <v>0.23549357358099593</v>
      </c>
      <c r="X26" s="95">
        <f>'Solar DHW'!I117</f>
        <v>2.44</v>
      </c>
      <c r="Y26" s="95">
        <f>'Solar DHW'!M117</f>
        <v>0.16112732887268066</v>
      </c>
      <c r="Z26" s="95">
        <f>'Solar DHW'!Y117/'Solar DHW'!$K117</f>
        <v>0.011912070084947327</v>
      </c>
      <c r="AA26" s="96">
        <v>0</v>
      </c>
      <c r="AB26" s="96">
        <v>0</v>
      </c>
      <c r="AC26" s="96">
        <f>'Solar DHW'!Z117/'Solar DHW'!$K117</f>
        <v>0</v>
      </c>
      <c r="AD26" s="96">
        <f>'Solar DHW'!AA117/'Solar DHW'!$K117</f>
        <v>0</v>
      </c>
      <c r="AE26" s="96">
        <f>'Solar DHW'!AC117/'Solar DHW'!$K117</f>
        <v>2.259891239746661</v>
      </c>
      <c r="AF26" s="96">
        <f>'Solar DHW'!AB117/'Solar DHW'!$K117</f>
        <v>0.5028827591917102</v>
      </c>
      <c r="AG26" s="96">
        <f t="shared" si="3"/>
        <v>-1.7570084805549506</v>
      </c>
      <c r="AH26" s="95">
        <f>'Solar DHW'!AD117</f>
        <v>0.2225252091884613</v>
      </c>
      <c r="AI26" s="97" t="s">
        <v>186</v>
      </c>
      <c r="AJ26" s="98"/>
      <c r="AK26" s="307">
        <f>VLOOKUP(A26,'Solar DHW'!B$95:R$134,17,0)</f>
        <v>177.5155135438755</v>
      </c>
    </row>
    <row r="27" spans="1:37" ht="51">
      <c r="A27" s="91" t="str">
        <f>'Solar DHW'!B118</f>
        <v>Solar Residential Water Heater (60 sq.ft. collector area), Solar Zone 3 - Summer Peaking</v>
      </c>
      <c r="B27" s="92" t="str">
        <f>VLOOKUP($A27,'Lookup Table'!$A$3:$D$43,2,0)</f>
        <v>System must be design,installed and inspected per EWEB Solar Water Heater Program Specifications or equivalent</v>
      </c>
      <c r="C27" s="92" t="str">
        <f>VLOOKUP($A27,'Lookup Table'!$A$3:$D$43,3,0)</f>
        <v>Residential domestic water heating</v>
      </c>
      <c r="D27" s="92" t="str">
        <f>VLOOKUP($A27,'Lookup Table'!$A$3:$D$43,4,0)</f>
        <v>Solar Zone 4, winter-peaking utility distribution system or sub-system</v>
      </c>
      <c r="E27" s="93">
        <f>'Solar DHW'!E118</f>
        <v>5775</v>
      </c>
      <c r="F27" s="93">
        <f>'Solar DHW'!F118</f>
        <v>0</v>
      </c>
      <c r="G27" s="93">
        <f>'Solar DHW'!G118</f>
        <v>602.8137817382812</v>
      </c>
      <c r="H27" s="94">
        <f>'Solar DHW'!C118</f>
        <v>20</v>
      </c>
      <c r="I27" s="94" t="s">
        <v>156</v>
      </c>
      <c r="J27" s="94">
        <f>'Solar DHW'!D118</f>
        <v>2600</v>
      </c>
      <c r="K27" s="94">
        <f>'Solar DHW'!K118</f>
        <v>2798.25</v>
      </c>
      <c r="L27" s="95">
        <f>'Solar DHW'!J118</f>
        <v>0.25999999046325684</v>
      </c>
      <c r="M27" s="95">
        <f>'Solar DHW'!L118</f>
        <v>0.04614059952522884</v>
      </c>
      <c r="N27" s="96">
        <f>'Solar DHW'!N118/'Solar DHW'!$K118</f>
        <v>2.0637903090431235</v>
      </c>
      <c r="O27" s="96">
        <f>'Solar DHW'!O118/'Solar DHW'!$K118</f>
        <v>0</v>
      </c>
      <c r="P27" s="96">
        <f>'Solar DHW'!P118/'Solar DHW'!$K118</f>
        <v>0.21542527713330875</v>
      </c>
      <c r="Q27" s="96">
        <f>'Solar DHW'!Q118/'Solar DHW'!$K118</f>
        <v>2.279215560227374</v>
      </c>
      <c r="R27" s="96">
        <f>'Solar DHW'!S118/'Solar DHW'!$K118</f>
        <v>0.4855167775789374</v>
      </c>
      <c r="S27" s="96">
        <f>'Solar DHW'!T118/'Solar DHW'!$K118</f>
        <v>0.0006297515031427243</v>
      </c>
      <c r="T27" s="96">
        <f>'Solar DHW'!U118/'Solar DHW'!$K118</f>
        <v>0</v>
      </c>
      <c r="U27" s="96">
        <f>'Solar DHW'!V118/'Solar DHW'!$K118</f>
        <v>0.4861179723173448</v>
      </c>
      <c r="V27" s="96">
        <f t="shared" si="2"/>
        <v>-1.7930975879100293</v>
      </c>
      <c r="W27" s="95">
        <f>'Solar DHW'!X118</f>
        <v>0.2355462035979486</v>
      </c>
      <c r="X27" s="95">
        <f>'Solar DHW'!I118</f>
        <v>1.8</v>
      </c>
      <c r="Y27" s="95">
        <f>'Solar DHW'!M118</f>
        <v>0.1774638444185257</v>
      </c>
      <c r="Z27" s="95">
        <f>'Solar DHW'!Y118/'Solar DHW'!$K118</f>
        <v>0.01614747277045712</v>
      </c>
      <c r="AA27" s="96">
        <v>0</v>
      </c>
      <c r="AB27" s="96">
        <v>0</v>
      </c>
      <c r="AC27" s="96">
        <f>'Solar DHW'!Z118/'Solar DHW'!$K118</f>
        <v>0</v>
      </c>
      <c r="AD27" s="96">
        <f>'Solar DHW'!AA118/'Solar DHW'!$K118</f>
        <v>0</v>
      </c>
      <c r="AE27" s="96">
        <f>'Solar DHW'!AC118/'Solar DHW'!$K118</f>
        <v>2.279215560227374</v>
      </c>
      <c r="AF27" s="96">
        <f>'Solar DHW'!AB118/'Solar DHW'!$K118</f>
        <v>0.5022654278204012</v>
      </c>
      <c r="AG27" s="96">
        <f t="shared" si="3"/>
        <v>-1.7769501324069727</v>
      </c>
      <c r="AH27" s="95">
        <f>'Solar DHW'!AD118</f>
        <v>0.2203676700592041</v>
      </c>
      <c r="AI27" s="97" t="s">
        <v>186</v>
      </c>
      <c r="AJ27" s="98"/>
      <c r="AK27" s="307">
        <f>VLOOKUP(A27,'Solar DHW'!B$95:R$134,17,0)</f>
        <v>179.0334479805529</v>
      </c>
    </row>
    <row r="28" spans="1:37" ht="51">
      <c r="A28" s="91" t="str">
        <f>'Solar DHW'!B119</f>
        <v>Solar Residential Water Heater (74.6 sq.ft. collector area), Solar Zone 4 - Winter Peaking</v>
      </c>
      <c r="B28" s="92" t="str">
        <f>VLOOKUP($A28,'Lookup Table'!$A$3:$D$43,2,0)</f>
        <v>System must be design,installed and inspected per EWEB Solar Water Heater Program Specifications or equivalent</v>
      </c>
      <c r="C28" s="92" t="str">
        <f>VLOOKUP($A28,'Lookup Table'!$A$3:$D$43,3,0)</f>
        <v>Residential domestic water heating</v>
      </c>
      <c r="D28" s="92" t="str">
        <f>VLOOKUP($A28,'Lookup Table'!$A$3:$D$43,4,0)</f>
        <v>Solar Zone 2, winter-peaking utility distribution system or sub-system</v>
      </c>
      <c r="E28" s="93">
        <f>'Solar DHW'!E119</f>
        <v>7180.25</v>
      </c>
      <c r="F28" s="93">
        <f>'Solar DHW'!F119</f>
        <v>0</v>
      </c>
      <c r="G28" s="93">
        <f>'Solar DHW'!G119</f>
        <v>602.8137817382812</v>
      </c>
      <c r="H28" s="94">
        <f>'Solar DHW'!C119</f>
        <v>20</v>
      </c>
      <c r="I28" s="94" t="s">
        <v>156</v>
      </c>
      <c r="J28" s="94">
        <f>'Solar DHW'!D119</f>
        <v>3200</v>
      </c>
      <c r="K28" s="94">
        <f>'Solar DHW'!K119</f>
        <v>3444</v>
      </c>
      <c r="L28" s="95">
        <f>'Solar DHW'!J119</f>
        <v>0.30000001192092896</v>
      </c>
      <c r="M28" s="95">
        <f>'Solar DHW'!L119</f>
        <v>0.027113841417511133</v>
      </c>
      <c r="N28" s="96">
        <f>'Solar DHW'!N119/'Solar DHW'!$K119</f>
        <v>2.084858168447939</v>
      </c>
      <c r="O28" s="96">
        <f>'Solar DHW'!O119/'Solar DHW'!$K119</f>
        <v>0</v>
      </c>
      <c r="P28" s="96">
        <f>'Solar DHW'!P119/'Solar DHW'!$K119</f>
        <v>0.17503303767081338</v>
      </c>
      <c r="Q28" s="96">
        <f>'Solar DHW'!Q119/'Solar DHW'!$K119</f>
        <v>2.259891239746661</v>
      </c>
      <c r="R28" s="96">
        <f>'Solar DHW'!S119/'Solar DHW'!$K119</f>
        <v>0.4902713282883995</v>
      </c>
      <c r="S28" s="96">
        <f>'Solar DHW'!T119/'Solar DHW'!$K119</f>
        <v>0.00030067711895489667</v>
      </c>
      <c r="T28" s="96">
        <f>'Solar DHW'!U119/'Solar DHW'!$K119</f>
        <v>0</v>
      </c>
      <c r="U28" s="96">
        <f>'Solar DHW'!V119/'Solar DHW'!$K119</f>
        <v>0.4905583708910062</v>
      </c>
      <c r="V28" s="96">
        <f t="shared" si="2"/>
        <v>-1.7693328688556547</v>
      </c>
      <c r="W28" s="95">
        <f>'Solar DHW'!X119</f>
        <v>0.23529580012447546</v>
      </c>
      <c r="X28" s="95">
        <f>'Solar DHW'!I119</f>
        <v>4.35</v>
      </c>
      <c r="Y28" s="95">
        <f>'Solar DHW'!M119</f>
        <v>0.09037946909666061</v>
      </c>
      <c r="Z28" s="95">
        <f>'Solar DHW'!Y119/'Solar DHW'!$K119</f>
        <v>0.006681713077664791</v>
      </c>
      <c r="AA28" s="96">
        <v>0</v>
      </c>
      <c r="AB28" s="96">
        <v>0</v>
      </c>
      <c r="AC28" s="96">
        <f>'Solar DHW'!Z119/'Solar DHW'!$K119</f>
        <v>0</v>
      </c>
      <c r="AD28" s="96">
        <f>'Solar DHW'!AA119/'Solar DHW'!$K119</f>
        <v>0</v>
      </c>
      <c r="AE28" s="96">
        <f>'Solar DHW'!AC119/'Solar DHW'!$K119</f>
        <v>2.259891239746661</v>
      </c>
      <c r="AF28" s="96">
        <f>'Solar DHW'!AB119/'Solar DHW'!$K119</f>
        <v>0.49724009089630516</v>
      </c>
      <c r="AG28" s="96">
        <f t="shared" si="3"/>
        <v>-1.7626511488503556</v>
      </c>
      <c r="AH28" s="95">
        <f>'Solar DHW'!AD119</f>
        <v>0.2200283259153366</v>
      </c>
      <c r="AI28" s="97" t="s">
        <v>186</v>
      </c>
      <c r="AJ28" s="98"/>
      <c r="AK28" s="307">
        <f>VLOOKUP(A28,'Solar DHW'!B$95:R$134,17,0)</f>
        <v>177.5155135438755</v>
      </c>
    </row>
    <row r="29" spans="1:37" ht="51">
      <c r="A29" s="91" t="str">
        <f>'Solar DHW'!B120</f>
        <v>Solar Residential Water Heater (per. 40 sq.ft. collector area), Solar Zone 1 - Summer Peaking</v>
      </c>
      <c r="B29" s="92" t="str">
        <f>VLOOKUP($A29,'Lookup Table'!$A$3:$D$43,2,0)</f>
        <v>System must be design,installed and inspected per EWEB Solar Water Heater Program Specifications or equivalent</v>
      </c>
      <c r="C29" s="92" t="str">
        <f>VLOOKUP($A29,'Lookup Table'!$A$3:$D$43,3,0)</f>
        <v>Residential domestic water heating</v>
      </c>
      <c r="D29" s="92" t="str">
        <f>VLOOKUP($A29,'Lookup Table'!$A$3:$D$43,4,0)</f>
        <v>Solar Zone 1, summer-peaking utility distribution system or sub-system</v>
      </c>
      <c r="E29" s="93">
        <f>'Solar DHW'!E120</f>
        <v>3850</v>
      </c>
      <c r="F29" s="93">
        <f>'Solar DHW'!F120</f>
        <v>0</v>
      </c>
      <c r="G29" s="93">
        <f>'Solar DHW'!G120</f>
        <v>602.8137817382812</v>
      </c>
      <c r="H29" s="94">
        <f>'Solar DHW'!C120</f>
        <v>20</v>
      </c>
      <c r="I29" s="94" t="s">
        <v>156</v>
      </c>
      <c r="J29" s="94">
        <f>'Solar DHW'!D120</f>
        <v>1800</v>
      </c>
      <c r="K29" s="94">
        <f>'Solar DHW'!K120</f>
        <v>1937.25</v>
      </c>
      <c r="L29" s="95">
        <f>'Solar DHW'!J120</f>
        <v>0.33000001311302185</v>
      </c>
      <c r="M29" s="95">
        <f>'Solar DHW'!L120</f>
        <v>0.02954599141308494</v>
      </c>
      <c r="N29" s="96">
        <f>'Solar DHW'!N120/'Solar DHW'!$K120</f>
        <v>1.9873536309304154</v>
      </c>
      <c r="O29" s="96">
        <f>'Solar DHW'!O120/'Solar DHW'!$K120</f>
        <v>0</v>
      </c>
      <c r="P29" s="96">
        <f>'Solar DHW'!P120/'Solar DHW'!$K120</f>
        <v>0.31116984474811266</v>
      </c>
      <c r="Q29" s="96">
        <f>'Solar DHW'!Q120/'Solar DHW'!$K120</f>
        <v>2.2985233981804103</v>
      </c>
      <c r="R29" s="96">
        <f>'Solar DHW'!S120/'Solar DHW'!$K120</f>
        <v>0.48577196983121074</v>
      </c>
      <c r="S29" s="96">
        <f>'Solar DHW'!T120/'Solar DHW'!$K120</f>
        <v>0.0005824858487875388</v>
      </c>
      <c r="T29" s="96">
        <f>'Solar DHW'!U120/'Solar DHW'!$K120</f>
        <v>0</v>
      </c>
      <c r="U29" s="96">
        <f>'Solar DHW'!V120/'Solar DHW'!$K120</f>
        <v>0.48632804224152365</v>
      </c>
      <c r="V29" s="96">
        <f t="shared" si="2"/>
        <v>-1.8121953559388866</v>
      </c>
      <c r="W29" s="95">
        <f>'Solar DHW'!X120</f>
        <v>0.2447113763109389</v>
      </c>
      <c r="X29" s="95">
        <f>'Solar DHW'!I120</f>
        <v>2.47</v>
      </c>
      <c r="Y29" s="95">
        <f>'Solar DHW'!M120</f>
        <v>0.08953330665826797</v>
      </c>
      <c r="Z29" s="95">
        <f>'Solar DHW'!Y120/'Solar DHW'!$K120</f>
        <v>0.011767389482337439</v>
      </c>
      <c r="AA29" s="96">
        <v>0</v>
      </c>
      <c r="AB29" s="96">
        <v>0</v>
      </c>
      <c r="AC29" s="96">
        <f>'Solar DHW'!Z120/'Solar DHW'!$K120</f>
        <v>0</v>
      </c>
      <c r="AD29" s="96">
        <f>'Solar DHW'!AA120/'Solar DHW'!$K120</f>
        <v>0</v>
      </c>
      <c r="AE29" s="96">
        <f>'Solar DHW'!AC120/'Solar DHW'!$K120</f>
        <v>2.2985233981804103</v>
      </c>
      <c r="AF29" s="96">
        <f>'Solar DHW'!AB120/'Solar DHW'!$K120</f>
        <v>0.4980954258714834</v>
      </c>
      <c r="AG29" s="96">
        <f t="shared" si="3"/>
        <v>-1.800427972308927</v>
      </c>
      <c r="AH29" s="95">
        <f>'Solar DHW'!AD120</f>
        <v>0.21670235693454742</v>
      </c>
      <c r="AI29" s="97" t="s">
        <v>186</v>
      </c>
      <c r="AJ29" s="98"/>
      <c r="AK29" s="307">
        <f>VLOOKUP(A29,'Solar DHW'!B$95:R$134,17,0)</f>
        <v>180.55008792172416</v>
      </c>
    </row>
    <row r="30" spans="1:37" ht="51">
      <c r="A30" s="91" t="str">
        <f>'Solar DHW'!B121</f>
        <v>Solar Residential Water Heater (37.3 sq.ft. collector area), Solar Zone 1 - Summer Peaking</v>
      </c>
      <c r="B30" s="92" t="str">
        <f>VLOOKUP($A30,'Lookup Table'!$A$3:$D$43,2,0)</f>
        <v>System must be design,installed and inspected per EWEB Solar Water Heater Program Specifications or equivalent</v>
      </c>
      <c r="C30" s="92" t="str">
        <f>VLOOKUP($A30,'Lookup Table'!$A$3:$D$43,3,0)</f>
        <v>Residential domestic water heating</v>
      </c>
      <c r="D30" s="92" t="str">
        <f>VLOOKUP($A30,'Lookup Table'!$A$3:$D$43,4,0)</f>
        <v>Solar Zone 3, winter-peaking utility distribution system or sub-system</v>
      </c>
      <c r="E30" s="93">
        <f>'Solar DHW'!E121</f>
        <v>3850</v>
      </c>
      <c r="F30" s="93">
        <f>'Solar DHW'!F121</f>
        <v>0</v>
      </c>
      <c r="G30" s="93">
        <f>'Solar DHW'!G121</f>
        <v>602.8137817382812</v>
      </c>
      <c r="H30" s="94">
        <f>'Solar DHW'!C121</f>
        <v>20</v>
      </c>
      <c r="I30" s="94" t="s">
        <v>156</v>
      </c>
      <c r="J30" s="94">
        <f>'Solar DHW'!D121</f>
        <v>1800</v>
      </c>
      <c r="K30" s="94">
        <f>'Solar DHW'!K121</f>
        <v>1937.25</v>
      </c>
      <c r="L30" s="95">
        <f>'Solar DHW'!J121</f>
        <v>0.33000001311302185</v>
      </c>
      <c r="M30" s="95">
        <f>'Solar DHW'!L121</f>
        <v>0.02954599141308494</v>
      </c>
      <c r="N30" s="96">
        <f>'Solar DHW'!N121/'Solar DHW'!$K121</f>
        <v>1.9873536309304154</v>
      </c>
      <c r="O30" s="96">
        <f>'Solar DHW'!O121/'Solar DHW'!$K121</f>
        <v>0</v>
      </c>
      <c r="P30" s="96">
        <f>'Solar DHW'!P121/'Solar DHW'!$K121</f>
        <v>0.31116984474811266</v>
      </c>
      <c r="Q30" s="96">
        <f>'Solar DHW'!Q121/'Solar DHW'!$K121</f>
        <v>2.2985233981804103</v>
      </c>
      <c r="R30" s="96">
        <f>'Solar DHW'!S121/'Solar DHW'!$K121</f>
        <v>0.48577196983121074</v>
      </c>
      <c r="S30" s="96">
        <f>'Solar DHW'!T121/'Solar DHW'!$K121</f>
        <v>0.0005824858487875388</v>
      </c>
      <c r="T30" s="96">
        <f>'Solar DHW'!U121/'Solar DHW'!$K121</f>
        <v>0</v>
      </c>
      <c r="U30" s="96">
        <f>'Solar DHW'!V121/'Solar DHW'!$K121</f>
        <v>0.48632804224152365</v>
      </c>
      <c r="V30" s="96">
        <f t="shared" si="2"/>
        <v>-1.8121953559388866</v>
      </c>
      <c r="W30" s="95">
        <f>'Solar DHW'!X121</f>
        <v>0.2447113763109389</v>
      </c>
      <c r="X30" s="95">
        <f>'Solar DHW'!I121</f>
        <v>2.47</v>
      </c>
      <c r="Y30" s="95">
        <f>'Solar DHW'!M121</f>
        <v>0.08953330665826797</v>
      </c>
      <c r="Z30" s="95">
        <f>'Solar DHW'!Y121/'Solar DHW'!$K121</f>
        <v>0.011767389482337439</v>
      </c>
      <c r="AA30" s="96">
        <v>0</v>
      </c>
      <c r="AB30" s="96">
        <v>0</v>
      </c>
      <c r="AC30" s="96">
        <f>'Solar DHW'!Z121/'Solar DHW'!$K121</f>
        <v>0</v>
      </c>
      <c r="AD30" s="96">
        <f>'Solar DHW'!AA121/'Solar DHW'!$K121</f>
        <v>0</v>
      </c>
      <c r="AE30" s="96">
        <f>'Solar DHW'!AC121/'Solar DHW'!$K121</f>
        <v>2.2985233981804103</v>
      </c>
      <c r="AF30" s="96">
        <f>'Solar DHW'!AB121/'Solar DHW'!$K121</f>
        <v>0.4980954258714834</v>
      </c>
      <c r="AG30" s="96">
        <f t="shared" si="3"/>
        <v>-1.800427972308927</v>
      </c>
      <c r="AH30" s="95">
        <f>'Solar DHW'!AD121</f>
        <v>0.21670235693454742</v>
      </c>
      <c r="AI30" s="97" t="s">
        <v>186</v>
      </c>
      <c r="AJ30" s="98"/>
      <c r="AK30" s="307">
        <f>VLOOKUP(A30,'Solar DHW'!B$95:R$134,17,0)</f>
        <v>180.55008792172416</v>
      </c>
    </row>
    <row r="31" spans="1:37" ht="51">
      <c r="A31" s="91" t="str">
        <f>'Solar DHW'!B122</f>
        <v>Solar Residential Water Heater (60 sq.ft. collector area), Solar Zone 3 - Winter Peaking</v>
      </c>
      <c r="B31" s="92" t="str">
        <f>VLOOKUP($A31,'Lookup Table'!$A$3:$D$43,2,0)</f>
        <v>System must be design,installed and inspected per EWEB Solar Water Heater Program Specifications or equivalent</v>
      </c>
      <c r="C31" s="92" t="str">
        <f>VLOOKUP($A31,'Lookup Table'!$A$3:$D$43,3,0)</f>
        <v>Residential domestic water heating</v>
      </c>
      <c r="D31" s="92" t="str">
        <f>VLOOKUP($A31,'Lookup Table'!$A$3:$D$43,4,0)</f>
        <v>Solar Zone 2, summer-peaking utility distribution system or sub-system</v>
      </c>
      <c r="E31" s="93">
        <f>'Solar DHW'!E122</f>
        <v>5775</v>
      </c>
      <c r="F31" s="93">
        <f>'Solar DHW'!F122</f>
        <v>0</v>
      </c>
      <c r="G31" s="93">
        <f>'Solar DHW'!G122</f>
        <v>602.8137817382812</v>
      </c>
      <c r="H31" s="94">
        <f>'Solar DHW'!C122</f>
        <v>20</v>
      </c>
      <c r="I31" s="94" t="s">
        <v>156</v>
      </c>
      <c r="J31" s="94">
        <f>'Solar DHW'!D122</f>
        <v>2600</v>
      </c>
      <c r="K31" s="94">
        <f>'Solar DHW'!K122</f>
        <v>2798.25</v>
      </c>
      <c r="L31" s="95">
        <f>'Solar DHW'!J122</f>
        <v>0.44999998807907104</v>
      </c>
      <c r="M31" s="95">
        <f>'Solar DHW'!L122</f>
        <v>0.028296400663409653</v>
      </c>
      <c r="N31" s="96">
        <f>'Solar DHW'!N122/'Solar DHW'!$K122</f>
        <v>2.0637903090431235</v>
      </c>
      <c r="O31" s="96">
        <f>'Solar DHW'!O122/'Solar DHW'!$K122</f>
        <v>0</v>
      </c>
      <c r="P31" s="96">
        <f>'Solar DHW'!P122/'Solar DHW'!$K122</f>
        <v>0.21542527713330875</v>
      </c>
      <c r="Q31" s="96">
        <f>'Solar DHW'!Q122/'Solar DHW'!$K122</f>
        <v>2.279215560227374</v>
      </c>
      <c r="R31" s="96">
        <f>'Solar DHW'!S122/'Solar DHW'!$K122</f>
        <v>0.4855167775789374</v>
      </c>
      <c r="S31" s="96">
        <f>'Solar DHW'!T122/'Solar DHW'!$K122</f>
        <v>0.0003862043578578077</v>
      </c>
      <c r="T31" s="96">
        <f>'Solar DHW'!U122/'Solar DHW'!$K122</f>
        <v>0</v>
      </c>
      <c r="U31" s="96">
        <f>'Solar DHW'!V122/'Solar DHW'!$K122</f>
        <v>0.48588546908641134</v>
      </c>
      <c r="V31" s="96">
        <f t="shared" si="2"/>
        <v>-1.7933300911409626</v>
      </c>
      <c r="W31" s="95">
        <f>'Solar DHW'!X122</f>
        <v>0.2354335452382719</v>
      </c>
      <c r="X31" s="95">
        <f>'Solar DHW'!I122</f>
        <v>5.08</v>
      </c>
      <c r="Y31" s="95">
        <f>'Solar DHW'!M122</f>
        <v>0.06288088858127594</v>
      </c>
      <c r="Z31" s="95">
        <f>'Solar DHW'!Y122/'Solar DHW'!$K122</f>
        <v>0.005721545587923256</v>
      </c>
      <c r="AA31" s="96">
        <v>0</v>
      </c>
      <c r="AB31" s="96">
        <v>0</v>
      </c>
      <c r="AC31" s="96">
        <f>'Solar DHW'!Z122/'Solar DHW'!$K122</f>
        <v>0</v>
      </c>
      <c r="AD31" s="96">
        <f>'Solar DHW'!AA122/'Solar DHW'!$K122</f>
        <v>0</v>
      </c>
      <c r="AE31" s="96">
        <f>'Solar DHW'!AC122/'Solar DHW'!$K122</f>
        <v>2.279215560227374</v>
      </c>
      <c r="AF31" s="96">
        <f>'Solar DHW'!AB122/'Solar DHW'!$K122</f>
        <v>0.4916069980261101</v>
      </c>
      <c r="AG31" s="96">
        <f t="shared" si="3"/>
        <v>-1.7876085622012639</v>
      </c>
      <c r="AH31" s="95">
        <f>'Solar DHW'!AD122</f>
        <v>0.21569131314754486</v>
      </c>
      <c r="AI31" s="97" t="s">
        <v>186</v>
      </c>
      <c r="AJ31" s="98"/>
      <c r="AK31" s="307">
        <f>VLOOKUP(A31,'Solar DHW'!B$95:R$134,17,0)</f>
        <v>179.0334479805529</v>
      </c>
    </row>
    <row r="32" spans="1:37" ht="51">
      <c r="A32" s="91" t="str">
        <f>'Solar DHW'!B123</f>
        <v>Solar Residential Water Heater (per. 40 sq.ft. collector area), Solar Zone 1 - Winter Peaking</v>
      </c>
      <c r="B32" s="92" t="str">
        <f>VLOOKUP($A32,'Lookup Table'!$A$3:$D$43,2,0)</f>
        <v>System must be design,installed and inspected per EWEB Solar Water Heater Program Specifications or equivalent</v>
      </c>
      <c r="C32" s="92" t="str">
        <f>VLOOKUP($A32,'Lookup Table'!$A$3:$D$43,3,0)</f>
        <v>Residential domestic water heating</v>
      </c>
      <c r="D32" s="92" t="str">
        <f>VLOOKUP($A32,'Lookup Table'!$A$3:$D$43,4,0)</f>
        <v>Solar Zone 1, winter-peaking utility distribution system or sub-system</v>
      </c>
      <c r="E32" s="93">
        <f>'Solar DHW'!E123</f>
        <v>3850</v>
      </c>
      <c r="F32" s="93">
        <f>'Solar DHW'!F123</f>
        <v>0</v>
      </c>
      <c r="G32" s="93">
        <f>'Solar DHW'!G123</f>
        <v>602.8137817382812</v>
      </c>
      <c r="H32" s="94">
        <f>'Solar DHW'!C123</f>
        <v>20</v>
      </c>
      <c r="I32" s="94" t="s">
        <v>156</v>
      </c>
      <c r="J32" s="94">
        <f>'Solar DHW'!D123</f>
        <v>1800</v>
      </c>
      <c r="K32" s="94">
        <f>'Solar DHW'!K123</f>
        <v>1937.25</v>
      </c>
      <c r="L32" s="95">
        <f>'Solar DHW'!J123</f>
        <v>0.5099999904632568</v>
      </c>
      <c r="M32" s="95">
        <f>'Solar DHW'!L123</f>
        <v>0.010813528344266672</v>
      </c>
      <c r="N32" s="96">
        <f>'Solar DHW'!N123/'Solar DHW'!$K123</f>
        <v>1.9873536309304154</v>
      </c>
      <c r="O32" s="96">
        <f>'Solar DHW'!O123/'Solar DHW'!$K123</f>
        <v>0</v>
      </c>
      <c r="P32" s="96">
        <f>'Solar DHW'!P123/'Solar DHW'!$K123</f>
        <v>0.31116984474811266</v>
      </c>
      <c r="Q32" s="96">
        <f>'Solar DHW'!Q123/'Solar DHW'!$K123</f>
        <v>2.2985233981804103</v>
      </c>
      <c r="R32" s="96">
        <f>'Solar DHW'!S123/'Solar DHW'!$K123</f>
        <v>0.48577196983121074</v>
      </c>
      <c r="S32" s="96">
        <f>'Solar DHW'!T123/'Solar DHW'!$K123</f>
        <v>0.00021318382317826954</v>
      </c>
      <c r="T32" s="96">
        <f>'Solar DHW'!U123/'Solar DHW'!$K123</f>
        <v>0</v>
      </c>
      <c r="U32" s="96">
        <f>'Solar DHW'!V123/'Solar DHW'!$K123</f>
        <v>0.48597548660227835</v>
      </c>
      <c r="V32" s="96">
        <f t="shared" si="2"/>
        <v>-1.812547911578132</v>
      </c>
      <c r="W32" s="95">
        <f>'Solar DHW'!X123</f>
        <v>0.244533976761227</v>
      </c>
      <c r="X32" s="95">
        <f>'Solar DHW'!I123</f>
        <v>10.43</v>
      </c>
      <c r="Y32" s="95">
        <f>'Solar DHW'!M123</f>
        <v>0.021202996373176575</v>
      </c>
      <c r="Z32" s="95">
        <f>'Solar DHW'!Y123/'Solar DHW'!$K123</f>
        <v>0.002786716348448943</v>
      </c>
      <c r="AA32" s="96">
        <v>0</v>
      </c>
      <c r="AB32" s="96">
        <v>0</v>
      </c>
      <c r="AC32" s="96">
        <f>'Solar DHW'!Z123/'Solar DHW'!$K123</f>
        <v>0</v>
      </c>
      <c r="AD32" s="96">
        <f>'Solar DHW'!AA123/'Solar DHW'!$K123</f>
        <v>0</v>
      </c>
      <c r="AE32" s="96">
        <f>'Solar DHW'!AC123/'Solar DHW'!$K123</f>
        <v>2.2985233981804103</v>
      </c>
      <c r="AF32" s="96">
        <f>'Solar DHW'!AB123/'Solar DHW'!$K123</f>
        <v>0.48876219033302687</v>
      </c>
      <c r="AG32" s="96">
        <f t="shared" si="3"/>
        <v>-1.8097612078473835</v>
      </c>
      <c r="AH32" s="95">
        <f>'Solar DHW'!AD123</f>
        <v>0.21264182031154633</v>
      </c>
      <c r="AI32" s="97" t="s">
        <v>186</v>
      </c>
      <c r="AJ32" s="98"/>
      <c r="AK32" s="307">
        <f>VLOOKUP(A32,'Solar DHW'!B$95:R$134,17,0)</f>
        <v>180.55008792172416</v>
      </c>
    </row>
    <row r="33" spans="1:37" ht="51">
      <c r="A33" s="91" t="str">
        <f>'Solar DHW'!B124</f>
        <v>Solar Residential Water Heater (37.3 sq.ft. collector area), Solar Zone 1 - Winter Peaking</v>
      </c>
      <c r="B33" s="92" t="str">
        <f>VLOOKUP($A33,'Lookup Table'!$A$3:$D$43,2,0)</f>
        <v>System must be design,installed and inspected per EWEB Solar Water Heater Program Specifications or equivalent</v>
      </c>
      <c r="C33" s="92" t="str">
        <f>VLOOKUP($A33,'Lookup Table'!$A$3:$D$43,3,0)</f>
        <v>Residential domestic water heating</v>
      </c>
      <c r="D33" s="92" t="str">
        <f>VLOOKUP($A33,'Lookup Table'!$A$3:$D$43,4,0)</f>
        <v>Solar Zone 1, summer-peaking utility distribution system or sub-system</v>
      </c>
      <c r="E33" s="93">
        <f>'Solar DHW'!E124</f>
        <v>3850</v>
      </c>
      <c r="F33" s="93">
        <f>'Solar DHW'!F124</f>
        <v>0</v>
      </c>
      <c r="G33" s="93">
        <f>'Solar DHW'!G124</f>
        <v>602.8137817382812</v>
      </c>
      <c r="H33" s="94">
        <f>'Solar DHW'!C124</f>
        <v>20</v>
      </c>
      <c r="I33" s="94" t="s">
        <v>156</v>
      </c>
      <c r="J33" s="94">
        <f>'Solar DHW'!D124</f>
        <v>1800</v>
      </c>
      <c r="K33" s="94">
        <f>'Solar DHW'!K124</f>
        <v>1937.25</v>
      </c>
      <c r="L33" s="95">
        <f>'Solar DHW'!J124</f>
        <v>0.5099999904632568</v>
      </c>
      <c r="M33" s="95">
        <f>'Solar DHW'!L124</f>
        <v>0.010813528344266672</v>
      </c>
      <c r="N33" s="96">
        <f>'Solar DHW'!N124/'Solar DHW'!$K124</f>
        <v>1.9873536309304154</v>
      </c>
      <c r="O33" s="96">
        <f>'Solar DHW'!O124/'Solar DHW'!$K124</f>
        <v>0</v>
      </c>
      <c r="P33" s="96">
        <f>'Solar DHW'!P124/'Solar DHW'!$K124</f>
        <v>0.31116984474811266</v>
      </c>
      <c r="Q33" s="96">
        <f>'Solar DHW'!Q124/'Solar DHW'!$K124</f>
        <v>2.2985233981804103</v>
      </c>
      <c r="R33" s="96">
        <f>'Solar DHW'!S124/'Solar DHW'!$K124</f>
        <v>0.48577196983121074</v>
      </c>
      <c r="S33" s="96">
        <f>'Solar DHW'!T124/'Solar DHW'!$K124</f>
        <v>0.00021318382317826954</v>
      </c>
      <c r="T33" s="96">
        <f>'Solar DHW'!U124/'Solar DHW'!$K124</f>
        <v>0</v>
      </c>
      <c r="U33" s="96">
        <f>'Solar DHW'!V124/'Solar DHW'!$K124</f>
        <v>0.48597548660227835</v>
      </c>
      <c r="V33" s="96">
        <f t="shared" si="2"/>
        <v>-1.812547911578132</v>
      </c>
      <c r="W33" s="95">
        <f>'Solar DHW'!X124</f>
        <v>0.244533976761227</v>
      </c>
      <c r="X33" s="95">
        <f>'Solar DHW'!I124</f>
        <v>10.43</v>
      </c>
      <c r="Y33" s="95">
        <f>'Solar DHW'!M124</f>
        <v>0.021202996373176575</v>
      </c>
      <c r="Z33" s="95">
        <f>'Solar DHW'!Y124/'Solar DHW'!$K124</f>
        <v>0.002786716348448943</v>
      </c>
      <c r="AA33" s="96">
        <v>0</v>
      </c>
      <c r="AB33" s="96">
        <v>0</v>
      </c>
      <c r="AC33" s="96">
        <f>'Solar DHW'!Z124/'Solar DHW'!$K124</f>
        <v>0</v>
      </c>
      <c r="AD33" s="96">
        <f>'Solar DHW'!AA124/'Solar DHW'!$K124</f>
        <v>0</v>
      </c>
      <c r="AE33" s="96">
        <f>'Solar DHW'!AC124/'Solar DHW'!$K124</f>
        <v>2.2985233981804103</v>
      </c>
      <c r="AF33" s="96">
        <f>'Solar DHW'!AB124/'Solar DHW'!$K124</f>
        <v>0.48876219033302687</v>
      </c>
      <c r="AG33" s="96">
        <f t="shared" si="3"/>
        <v>-1.8097612078473835</v>
      </c>
      <c r="AH33" s="95">
        <f>'Solar DHW'!AD124</f>
        <v>0.21264182031154633</v>
      </c>
      <c r="AI33" s="97" t="s">
        <v>186</v>
      </c>
      <c r="AJ33" s="98"/>
      <c r="AK33" s="307">
        <f>VLOOKUP(A33,'Solar DHW'!B$95:R$134,17,0)</f>
        <v>180.55008792172416</v>
      </c>
    </row>
    <row r="34" spans="1:38" ht="51">
      <c r="A34" s="91" t="str">
        <f>'Solar DHW'!B125</f>
        <v>Solar Residential Water Heater (60 sq.ft. collector area), Solar Zone 2 - Summer Peaking</v>
      </c>
      <c r="B34" s="92" t="str">
        <f>VLOOKUP($A34,'Lookup Table'!$A$3:$D$43,2,0)</f>
        <v>System must be design,installed and inspected per EWEB Solar Water Heater Program Specifications or equivalent</v>
      </c>
      <c r="C34" s="92" t="str">
        <f>VLOOKUP($A34,'Lookup Table'!$A$3:$D$43,3,0)</f>
        <v>Residential domestic water heating</v>
      </c>
      <c r="D34" s="92" t="str">
        <f>VLOOKUP($A34,'Lookup Table'!$A$3:$D$43,4,0)</f>
        <v>Solar Zone 4, summer-peaking utility distribution system or sub-system</v>
      </c>
      <c r="E34" s="93">
        <f>'Solar DHW'!E125</f>
        <v>5775</v>
      </c>
      <c r="F34" s="93">
        <f>'Solar DHW'!F125</f>
        <v>0</v>
      </c>
      <c r="G34" s="93">
        <f>'Solar DHW'!G125</f>
        <v>602.8137817382812</v>
      </c>
      <c r="H34" s="94">
        <f>'Solar DHW'!C125</f>
        <v>20</v>
      </c>
      <c r="I34" s="94" t="s">
        <v>156</v>
      </c>
      <c r="J34" s="94">
        <f>'Solar DHW'!D125</f>
        <v>2300</v>
      </c>
      <c r="K34" s="94">
        <f>'Solar DHW'!K125</f>
        <v>2475.375</v>
      </c>
      <c r="L34" s="95">
        <f>'Solar DHW'!J125</f>
        <v>0.36000001430511475</v>
      </c>
      <c r="M34" s="95">
        <f>'Solar DHW'!L125</f>
        <v>0.03958277967639089</v>
      </c>
      <c r="N34" s="96">
        <f>'Solar DHW'!N125/'Solar DHW'!$K125</f>
        <v>2.3329803493530963</v>
      </c>
      <c r="O34" s="96">
        <f>'Solar DHW'!O125/'Solar DHW'!$K125</f>
        <v>0</v>
      </c>
      <c r="P34" s="96">
        <f>'Solar DHW'!P125/'Solar DHW'!$K125</f>
        <v>0.2435242263246099</v>
      </c>
      <c r="Q34" s="96">
        <f>'Solar DHW'!Q125/'Solar DHW'!$K125</f>
        <v>2.576504546343988</v>
      </c>
      <c r="R34" s="96">
        <f>'Solar DHW'!S125/'Solar DHW'!$K125</f>
        <v>0.4855167775789394</v>
      </c>
      <c r="S34" s="96">
        <f>'Solar DHW'!T125/'Solar DHW'!$K125</f>
        <v>0.0006107138556819585</v>
      </c>
      <c r="T34" s="96">
        <f>'Solar DHW'!U125/'Solar DHW'!$K125</f>
        <v>0</v>
      </c>
      <c r="U34" s="96">
        <f>'Solar DHW'!V125/'Solar DHW'!$K125</f>
        <v>0.48609979796244407</v>
      </c>
      <c r="V34" s="96">
        <f t="shared" si="2"/>
        <v>-2.090404748381544</v>
      </c>
      <c r="W34" s="95">
        <f>'Solar DHW'!X125</f>
        <v>0.2083600053027592</v>
      </c>
      <c r="X34" s="95">
        <f>'Solar DHW'!I125</f>
        <v>2.57</v>
      </c>
      <c r="Y34" s="95">
        <f>'Solar DHW'!M125</f>
        <v>0.1099521592259407</v>
      </c>
      <c r="Z34" s="95">
        <f>'Solar DHW'!Y125/'Solar DHW'!$K125</f>
        <v>0.011309514254962159</v>
      </c>
      <c r="AA34" s="96">
        <v>0</v>
      </c>
      <c r="AB34" s="96">
        <v>0</v>
      </c>
      <c r="AC34" s="96">
        <f>'Solar DHW'!Z125/'Solar DHW'!$K125</f>
        <v>0</v>
      </c>
      <c r="AD34" s="96">
        <f>'Solar DHW'!AA125/'Solar DHW'!$K125</f>
        <v>0</v>
      </c>
      <c r="AE34" s="96">
        <f>'Solar DHW'!AC125/'Solar DHW'!$K125</f>
        <v>2.576504546343988</v>
      </c>
      <c r="AF34" s="96">
        <f>'Solar DHW'!AB125/'Solar DHW'!$K125</f>
        <v>0.49740929601891126</v>
      </c>
      <c r="AG34" s="96">
        <f t="shared" si="3"/>
        <v>-2.079095250325077</v>
      </c>
      <c r="AH34" s="95">
        <f>'Solar DHW'!AD125</f>
        <v>0.19305585324764252</v>
      </c>
      <c r="AI34" s="97" t="s">
        <v>186</v>
      </c>
      <c r="AJ34" s="98"/>
      <c r="AK34" s="307">
        <f>VLOOKUP(A34,'Solar DHW'!B$95:R$134,17,0)</f>
        <v>202.3856368475815</v>
      </c>
      <c r="AL34" s="90"/>
    </row>
    <row r="35" spans="1:37" ht="51">
      <c r="A35" s="91" t="str">
        <f>'Solar DHW'!B126</f>
        <v>Solar Residential Water Heater (60 sq.ft. collector area), Solar Zone 2 - Winter Peaking</v>
      </c>
      <c r="B35" s="92" t="str">
        <f>VLOOKUP($A35,'Lookup Table'!$A$3:$D$43,2,0)</f>
        <v>System must be design,installed and inspected per EWEB Solar Water Heater Program Specifications or equivalent</v>
      </c>
      <c r="C35" s="92" t="str">
        <f>VLOOKUP($A35,'Lookup Table'!$A$3:$D$43,3,0)</f>
        <v>Residential domestic water heating</v>
      </c>
      <c r="D35" s="92" t="str">
        <f>VLOOKUP($A35,'Lookup Table'!$A$3:$D$43,4,0)</f>
        <v>Solar Zone 1, winter-peaking utility distribution system or sub-system</v>
      </c>
      <c r="E35" s="93">
        <f>'Solar DHW'!E126</f>
        <v>5775</v>
      </c>
      <c r="F35" s="93">
        <f>'Solar DHW'!F126</f>
        <v>0</v>
      </c>
      <c r="G35" s="93">
        <f>'Solar DHW'!G126</f>
        <v>602.8137817382812</v>
      </c>
      <c r="H35" s="94">
        <f>'Solar DHW'!C126</f>
        <v>20</v>
      </c>
      <c r="I35" s="94" t="s">
        <v>156</v>
      </c>
      <c r="J35" s="94">
        <f>'Solar DHW'!D126</f>
        <v>2300</v>
      </c>
      <c r="K35" s="94">
        <f>'Solar DHW'!K126</f>
        <v>2475.375</v>
      </c>
      <c r="L35" s="95">
        <f>'Solar DHW'!J126</f>
        <v>0.5699999928474426</v>
      </c>
      <c r="M35" s="95">
        <f>'Solar DHW'!L126</f>
        <v>0.019083995167266367</v>
      </c>
      <c r="N35" s="96">
        <f>'Solar DHW'!N126/'Solar DHW'!$K126</f>
        <v>2.3329803493530963</v>
      </c>
      <c r="O35" s="96">
        <f>'Solar DHW'!O126/'Solar DHW'!$K126</f>
        <v>0</v>
      </c>
      <c r="P35" s="96">
        <f>'Solar DHW'!P126/'Solar DHW'!$K126</f>
        <v>0.2435242263246099</v>
      </c>
      <c r="Q35" s="96">
        <f>'Solar DHW'!Q126/'Solar DHW'!$K126</f>
        <v>2.576504546343988</v>
      </c>
      <c r="R35" s="96">
        <f>'Solar DHW'!S126/'Solar DHW'!$K126</f>
        <v>0.4855167775789394</v>
      </c>
      <c r="S35" s="96">
        <f>'Solar DHW'!T126/'Solar DHW'!$K126</f>
        <v>0.00029444269524050174</v>
      </c>
      <c r="T35" s="96">
        <f>'Solar DHW'!U126/'Solar DHW'!$K126</f>
        <v>0</v>
      </c>
      <c r="U35" s="96">
        <f>'Solar DHW'!V126/'Solar DHW'!$K126</f>
        <v>0.4857978684541176</v>
      </c>
      <c r="V35" s="96">
        <f t="shared" si="2"/>
        <v>-2.0907066778898704</v>
      </c>
      <c r="W35" s="95">
        <f>'Solar DHW'!X126</f>
        <v>0.20823058736385106</v>
      </c>
      <c r="X35" s="95">
        <f>'Solar DHW'!I126</f>
        <v>8.44</v>
      </c>
      <c r="Y35" s="95">
        <f>'Solar DHW'!M126</f>
        <v>0.0334806926548481</v>
      </c>
      <c r="Z35" s="95">
        <f>'Solar DHW'!Y126/'Solar DHW'!$K126</f>
        <v>0.0034437741570139705</v>
      </c>
      <c r="AA35" s="96">
        <v>0</v>
      </c>
      <c r="AB35" s="96">
        <v>0</v>
      </c>
      <c r="AC35" s="96">
        <f>'Solar DHW'!Z126/'Solar DHW'!$K126</f>
        <v>0</v>
      </c>
      <c r="AD35" s="96">
        <f>'Solar DHW'!AA126/'Solar DHW'!$K126</f>
        <v>0</v>
      </c>
      <c r="AE35" s="96">
        <f>'Solar DHW'!AC126/'Solar DHW'!$K126</f>
        <v>2.576504546343988</v>
      </c>
      <c r="AF35" s="96">
        <f>'Solar DHW'!AB126/'Solar DHW'!$K126</f>
        <v>0.4892416375517598</v>
      </c>
      <c r="AG35" s="96">
        <f t="shared" si="3"/>
        <v>-2.0872629087922285</v>
      </c>
      <c r="AH35" s="95">
        <f>'Solar DHW'!AD126</f>
        <v>0.18988581001758575</v>
      </c>
      <c r="AI35" s="97" t="s">
        <v>186</v>
      </c>
      <c r="AJ35" s="98"/>
      <c r="AK35" s="307">
        <f>VLOOKUP(A35,'Solar DHW'!B$95:R$134,17,0)</f>
        <v>202.3856368475815</v>
      </c>
    </row>
    <row r="36" spans="1:37" ht="51">
      <c r="A36" s="91" t="str">
        <f>'Solar DHW'!B127</f>
        <v>Solar Residential Water Heater (74.6 sq.ft. collector area), Solar Zone 3 - Summer Peaking</v>
      </c>
      <c r="B36" s="92" t="str">
        <f>VLOOKUP($A36,'Lookup Table'!$A$3:$D$43,2,0)</f>
        <v>System must be design,installed and inspected per EWEB Solar Water Heater Program Specifications or equivalent</v>
      </c>
      <c r="C36" s="92" t="str">
        <f>VLOOKUP($A36,'Lookup Table'!$A$3:$D$43,3,0)</f>
        <v>Residential domestic water heating</v>
      </c>
      <c r="D36" s="92" t="str">
        <f>VLOOKUP($A36,'Lookup Table'!$A$3:$D$43,4,0)</f>
        <v>Solar Zone 4, winter-peaking utility distribution system or sub-system</v>
      </c>
      <c r="E36" s="93">
        <f>'Solar DHW'!E127</f>
        <v>7180.25</v>
      </c>
      <c r="F36" s="93">
        <f>'Solar DHW'!F127</f>
        <v>0</v>
      </c>
      <c r="G36" s="93">
        <f>'Solar DHW'!G127</f>
        <v>602.8137817382812</v>
      </c>
      <c r="H36" s="94">
        <f>'Solar DHW'!C127</f>
        <v>20</v>
      </c>
      <c r="I36" s="94" t="s">
        <v>156</v>
      </c>
      <c r="J36" s="94">
        <f>'Solar DHW'!D127</f>
        <v>2700</v>
      </c>
      <c r="K36" s="94">
        <f>'Solar DHW'!K127</f>
        <v>2905.8749999999995</v>
      </c>
      <c r="L36" s="95">
        <f>'Solar DHW'!J127</f>
        <v>0.25999999046325684</v>
      </c>
      <c r="M36" s="95">
        <f>'Solar DHW'!L127</f>
        <v>0.04791523796850687</v>
      </c>
      <c r="N36" s="96">
        <f>'Solar DHW'!N127/'Solar DHW'!$K127</f>
        <v>2.4709430144568167</v>
      </c>
      <c r="O36" s="96">
        <f>'Solar DHW'!O127/'Solar DHW'!$K127</f>
        <v>0</v>
      </c>
      <c r="P36" s="96">
        <f>'Solar DHW'!P127/'Solar DHW'!$K127</f>
        <v>0.20744656316540847</v>
      </c>
      <c r="Q36" s="96">
        <f>'Solar DHW'!Q127/'Solar DHW'!$K127</f>
        <v>2.6783896174775244</v>
      </c>
      <c r="R36" s="96">
        <f>'Solar DHW'!S127/'Solar DHW'!$K127</f>
        <v>0.48551677757893796</v>
      </c>
      <c r="S36" s="96">
        <f>'Solar DHW'!T127/'Solar DHW'!$K127</f>
        <v>0.0006297515141875246</v>
      </c>
      <c r="T36" s="96">
        <f>'Solar DHW'!U127/'Solar DHW'!$K127</f>
        <v>0</v>
      </c>
      <c r="U36" s="96">
        <f>'Solar DHW'!V127/'Solar DHW'!$K127</f>
        <v>0.48611797231734544</v>
      </c>
      <c r="V36" s="96">
        <f t="shared" si="2"/>
        <v>-2.192271645160179</v>
      </c>
      <c r="W36" s="95">
        <f>'Solar DHW'!X127</f>
        <v>0.19673378522823115</v>
      </c>
      <c r="X36" s="95">
        <f>'Solar DHW'!I127</f>
        <v>1.8</v>
      </c>
      <c r="Y36" s="95">
        <f>'Solar DHW'!M127</f>
        <v>0.1842893809080124</v>
      </c>
      <c r="Z36" s="95">
        <f>'Solar DHW'!Y127/'Solar DHW'!$K127</f>
        <v>0.016147475850378547</v>
      </c>
      <c r="AA36" s="96">
        <v>0</v>
      </c>
      <c r="AB36" s="96">
        <v>0</v>
      </c>
      <c r="AC36" s="96">
        <f>'Solar DHW'!Z127/'Solar DHW'!$K127</f>
        <v>0</v>
      </c>
      <c r="AD36" s="96">
        <f>'Solar DHW'!AA127/'Solar DHW'!$K127</f>
        <v>0</v>
      </c>
      <c r="AE36" s="96">
        <f>'Solar DHW'!AC127/'Solar DHW'!$K127</f>
        <v>2.6783896174775244</v>
      </c>
      <c r="AF36" s="96">
        <f>'Solar DHW'!AB127/'Solar DHW'!$K127</f>
        <v>0.5022654552872414</v>
      </c>
      <c r="AG36" s="96">
        <f t="shared" si="3"/>
        <v>-2.176124162190283</v>
      </c>
      <c r="AH36" s="95">
        <f>'Solar DHW'!AD127</f>
        <v>0.1875251680612564</v>
      </c>
      <c r="AI36" s="97" t="s">
        <v>186</v>
      </c>
      <c r="AJ36" s="98"/>
      <c r="AK36" s="307">
        <f>VLOOKUP(A36,'Solar DHW'!B$95:R$134,17,0)</f>
        <v>210.3887567927413</v>
      </c>
    </row>
    <row r="37" spans="1:37" ht="51">
      <c r="A37" s="91" t="str">
        <f>'Solar DHW'!B128</f>
        <v>Solar Residential Water Heater (60 sq.ft. collector area), Solar Zone 1 - Summer Peaking</v>
      </c>
      <c r="B37" s="92" t="str">
        <f>VLOOKUP($A37,'Lookup Table'!$A$3:$D$43,2,0)</f>
        <v>System must be design,installed and inspected per EWEB Solar Water Heater Program Specifications or equivalent</v>
      </c>
      <c r="C37" s="92" t="str">
        <f>VLOOKUP($A37,'Lookup Table'!$A$3:$D$43,3,0)</f>
        <v>Residential domestic water heating</v>
      </c>
      <c r="D37" s="92" t="str">
        <f>VLOOKUP($A37,'Lookup Table'!$A$3:$D$43,4,0)</f>
        <v>Solar Zone 3, winter-peaking utility distribution system or sub-system</v>
      </c>
      <c r="E37" s="93">
        <f>'Solar DHW'!E128</f>
        <v>5775</v>
      </c>
      <c r="F37" s="93">
        <f>'Solar DHW'!F128</f>
        <v>0</v>
      </c>
      <c r="G37" s="93">
        <f>'Solar DHW'!G128</f>
        <v>602.8137817382812</v>
      </c>
      <c r="H37" s="94">
        <f>'Solar DHW'!C128</f>
        <v>20</v>
      </c>
      <c r="I37" s="94" t="s">
        <v>156</v>
      </c>
      <c r="J37" s="94">
        <f>'Solar DHW'!D128</f>
        <v>2200</v>
      </c>
      <c r="K37" s="94">
        <f>'Solar DHW'!K128</f>
        <v>2367.75</v>
      </c>
      <c r="L37" s="95">
        <f>'Solar DHW'!J128</f>
        <v>0.33000001311302185</v>
      </c>
      <c r="M37" s="95">
        <f>'Solar DHW'!L128</f>
        <v>0.03611176728265937</v>
      </c>
      <c r="N37" s="96">
        <f>'Solar DHW'!N128/'Solar DHW'!$K128</f>
        <v>2.4390249106873276</v>
      </c>
      <c r="O37" s="96">
        <f>'Solar DHW'!O128/'Solar DHW'!$K128</f>
        <v>0</v>
      </c>
      <c r="P37" s="96">
        <f>'Solar DHW'!P128/'Solar DHW'!$K128</f>
        <v>0.2545935093393649</v>
      </c>
      <c r="Q37" s="96">
        <f>'Solar DHW'!Q128/'Solar DHW'!$K128</f>
        <v>2.693618389359624</v>
      </c>
      <c r="R37" s="96">
        <f>'Solar DHW'!S128/'Solar DHW'!$K128</f>
        <v>0.48577196983121096</v>
      </c>
      <c r="S37" s="96">
        <f>'Solar DHW'!T128/'Solar DHW'!$K128</f>
        <v>0.0005824858655698975</v>
      </c>
      <c r="T37" s="96">
        <f>'Solar DHW'!U128/'Solar DHW'!$K128</f>
        <v>0</v>
      </c>
      <c r="U37" s="96">
        <f>'Solar DHW'!V128/'Solar DHW'!$K128</f>
        <v>0.48632804224152393</v>
      </c>
      <c r="V37" s="96">
        <f t="shared" si="2"/>
        <v>-2.2072903471181</v>
      </c>
      <c r="W37" s="95">
        <f>'Solar DHW'!X128</f>
        <v>0.19939445477187626</v>
      </c>
      <c r="X37" s="95">
        <f>'Solar DHW'!I128</f>
        <v>2.47</v>
      </c>
      <c r="Y37" s="95">
        <f>'Solar DHW'!M128</f>
        <v>0.10942959040403366</v>
      </c>
      <c r="Z37" s="95">
        <f>'Solar DHW'!Y128/'Solar DHW'!$K128</f>
        <v>0.01176739010887883</v>
      </c>
      <c r="AA37" s="96">
        <v>0</v>
      </c>
      <c r="AB37" s="96">
        <v>0</v>
      </c>
      <c r="AC37" s="96">
        <f>'Solar DHW'!Z128/'Solar DHW'!$K128</f>
        <v>0</v>
      </c>
      <c r="AD37" s="96">
        <f>'Solar DHW'!AA128/'Solar DHW'!$K128</f>
        <v>0</v>
      </c>
      <c r="AE37" s="96">
        <f>'Solar DHW'!AC128/'Solar DHW'!$K128</f>
        <v>2.693618389359624</v>
      </c>
      <c r="AF37" s="96">
        <f>'Solar DHW'!AB128/'Solar DHW'!$K128</f>
        <v>0.4980954401924295</v>
      </c>
      <c r="AG37" s="96">
        <f t="shared" si="3"/>
        <v>-2.1955229491671946</v>
      </c>
      <c r="AH37" s="95">
        <f>'Solar DHW'!AD128</f>
        <v>0.18491685390472412</v>
      </c>
      <c r="AI37" s="97" t="s">
        <v>186</v>
      </c>
      <c r="AJ37" s="98"/>
      <c r="AK37" s="307">
        <f>VLOOKUP(A37,'Solar DHW'!B$95:R$134,17,0)</f>
        <v>211.58498397701703</v>
      </c>
    </row>
    <row r="38" spans="1:37" ht="51">
      <c r="A38" s="91" t="str">
        <f>'Solar DHW'!B129</f>
        <v>Solar Residential Water Heater (74.6 sq.ft. collector area), Solar Zone 3 - Winter Peaking</v>
      </c>
      <c r="B38" s="92" t="str">
        <f>VLOOKUP($A38,'Lookup Table'!$A$3:$D$43,2,0)</f>
        <v>System must be design,installed and inspected per EWEB Solar Water Heater Program Specifications or equivalent</v>
      </c>
      <c r="C38" s="92" t="str">
        <f>VLOOKUP($A38,'Lookup Table'!$A$3:$D$43,3,0)</f>
        <v>Residential domestic water heating</v>
      </c>
      <c r="D38" s="92" t="str">
        <f>VLOOKUP($A38,'Lookup Table'!$A$3:$D$43,4,0)</f>
        <v>Solar Zone 2, summer-peaking utility distribution system or sub-system</v>
      </c>
      <c r="E38" s="93">
        <f>'Solar DHW'!E129</f>
        <v>7180.25</v>
      </c>
      <c r="F38" s="93">
        <f>'Solar DHW'!F129</f>
        <v>0</v>
      </c>
      <c r="G38" s="93">
        <f>'Solar DHW'!G129</f>
        <v>602.8137817382812</v>
      </c>
      <c r="H38" s="94">
        <f>'Solar DHW'!C129</f>
        <v>20</v>
      </c>
      <c r="I38" s="94" t="s">
        <v>156</v>
      </c>
      <c r="J38" s="94">
        <f>'Solar DHW'!D129</f>
        <v>2700</v>
      </c>
      <c r="K38" s="94">
        <f>'Solar DHW'!K129</f>
        <v>2905.8749999999995</v>
      </c>
      <c r="L38" s="95">
        <f>'Solar DHW'!J129</f>
        <v>0.44999998807907104</v>
      </c>
      <c r="M38" s="95">
        <f>'Solar DHW'!L129</f>
        <v>0.02938472376584849</v>
      </c>
      <c r="N38" s="96">
        <f>'Solar DHW'!N129/'Solar DHW'!$K129</f>
        <v>2.4709430144568167</v>
      </c>
      <c r="O38" s="96">
        <f>'Solar DHW'!O129/'Solar DHW'!$K129</f>
        <v>0</v>
      </c>
      <c r="P38" s="96">
        <f>'Solar DHW'!P129/'Solar DHW'!$K129</f>
        <v>0.20744656316540847</v>
      </c>
      <c r="Q38" s="96">
        <f>'Solar DHW'!Q129/'Solar DHW'!$K129</f>
        <v>2.6783896174775244</v>
      </c>
      <c r="R38" s="96">
        <f>'Solar DHW'!S129/'Solar DHW'!$K129</f>
        <v>0.48551677757893796</v>
      </c>
      <c r="S38" s="96">
        <f>'Solar DHW'!T129/'Solar DHW'!$K129</f>
        <v>0.0003862043767917509</v>
      </c>
      <c r="T38" s="96">
        <f>'Solar DHW'!U129/'Solar DHW'!$K129</f>
        <v>0</v>
      </c>
      <c r="U38" s="96">
        <f>'Solar DHW'!V129/'Solar DHW'!$K129</f>
        <v>0.48588546908641195</v>
      </c>
      <c r="V38" s="96">
        <f t="shared" si="2"/>
        <v>-2.1925041483911123</v>
      </c>
      <c r="W38" s="95">
        <f>'Solar DHW'!X129</f>
        <v>0.19663969028975092</v>
      </c>
      <c r="X38" s="95">
        <f>'Solar DHW'!I129</f>
        <v>5.08</v>
      </c>
      <c r="Y38" s="95">
        <f>'Solar DHW'!M129</f>
        <v>0.0652993842959404</v>
      </c>
      <c r="Z38" s="95">
        <f>'Solar DHW'!Y129/'Solar DHW'!$K129</f>
        <v>0.005721545739394802</v>
      </c>
      <c r="AA38" s="96">
        <v>0</v>
      </c>
      <c r="AB38" s="96">
        <v>0</v>
      </c>
      <c r="AC38" s="96">
        <f>'Solar DHW'!Z129/'Solar DHW'!$K129</f>
        <v>0</v>
      </c>
      <c r="AD38" s="96">
        <f>'Solar DHW'!AA129/'Solar DHW'!$K129</f>
        <v>0</v>
      </c>
      <c r="AE38" s="96">
        <f>'Solar DHW'!AC129/'Solar DHW'!$K129</f>
        <v>2.6783896174775244</v>
      </c>
      <c r="AF38" s="96">
        <f>'Solar DHW'!AB129/'Solar DHW'!$K129</f>
        <v>0.4916070319557363</v>
      </c>
      <c r="AG38" s="96">
        <f t="shared" si="3"/>
        <v>-2.186782585521788</v>
      </c>
      <c r="AH38" s="95">
        <f>'Solar DHW'!AD129</f>
        <v>0.18354575335979462</v>
      </c>
      <c r="AI38" s="97" t="s">
        <v>186</v>
      </c>
      <c r="AJ38" s="98"/>
      <c r="AK38" s="307">
        <f>VLOOKUP(A38,'Solar DHW'!B$95:R$134,17,0)</f>
        <v>210.3887567927413</v>
      </c>
    </row>
    <row r="39" spans="1:37" ht="51">
      <c r="A39" s="91" t="str">
        <f>'Solar DHW'!B130</f>
        <v>Solar Residential Water Heater (60 sq.ft. collector area), Solar Zone 1 - Winter Peaking</v>
      </c>
      <c r="B39" s="92" t="str">
        <f>VLOOKUP($A39,'Lookup Table'!$A$3:$D$43,2,0)</f>
        <v>System must be design,installed and inspected per EWEB Solar Water Heater Program Specifications or equivalent</v>
      </c>
      <c r="C39" s="92" t="str">
        <f>VLOOKUP($A39,'Lookup Table'!$A$3:$D$43,3,0)</f>
        <v>Residential domestic water heating</v>
      </c>
      <c r="D39" s="92" t="str">
        <f>VLOOKUP($A39,'Lookup Table'!$A$3:$D$43,4,0)</f>
        <v>Solar Zone 1, summer-peaking utility distribution system or sub-system</v>
      </c>
      <c r="E39" s="93">
        <f>'Solar DHW'!E130</f>
        <v>5775</v>
      </c>
      <c r="F39" s="93">
        <f>'Solar DHW'!F130</f>
        <v>0</v>
      </c>
      <c r="G39" s="93">
        <f>'Solar DHW'!G130</f>
        <v>602.8137817382812</v>
      </c>
      <c r="H39" s="94">
        <f>'Solar DHW'!C130</f>
        <v>20</v>
      </c>
      <c r="I39" s="94" t="s">
        <v>156</v>
      </c>
      <c r="J39" s="94">
        <f>'Solar DHW'!D130</f>
        <v>2200</v>
      </c>
      <c r="K39" s="94">
        <f>'Solar DHW'!K130</f>
        <v>2367.75</v>
      </c>
      <c r="L39" s="95">
        <f>'Solar DHW'!J130</f>
        <v>0.5099999904632568</v>
      </c>
      <c r="M39" s="95">
        <f>'Solar DHW'!L130</f>
        <v>0.0132165346429926</v>
      </c>
      <c r="N39" s="96">
        <f>'Solar DHW'!N130/'Solar DHW'!$K130</f>
        <v>2.4390249106873276</v>
      </c>
      <c r="O39" s="96">
        <f>'Solar DHW'!O130/'Solar DHW'!$K130</f>
        <v>0</v>
      </c>
      <c r="P39" s="96">
        <f>'Solar DHW'!P130/'Solar DHW'!$K130</f>
        <v>0.2545935093393649</v>
      </c>
      <c r="Q39" s="96">
        <f>'Solar DHW'!Q130/'Solar DHW'!$K130</f>
        <v>2.693618389359624</v>
      </c>
      <c r="R39" s="96">
        <f>'Solar DHW'!S130/'Solar DHW'!$K130</f>
        <v>0.48577196983121096</v>
      </c>
      <c r="S39" s="96">
        <f>'Solar DHW'!T130/'Solar DHW'!$K130</f>
        <v>0.00021318381898267986</v>
      </c>
      <c r="T39" s="96">
        <f>'Solar DHW'!U130/'Solar DHW'!$K130</f>
        <v>0</v>
      </c>
      <c r="U39" s="96">
        <f>'Solar DHW'!V130/'Solar DHW'!$K130</f>
        <v>0.48597548660227863</v>
      </c>
      <c r="V39" s="96">
        <f t="shared" si="2"/>
        <v>-2.207642902757345</v>
      </c>
      <c r="W39" s="95">
        <f>'Solar DHW'!X130</f>
        <v>0.19924990699062956</v>
      </c>
      <c r="X39" s="95">
        <f>'Solar DHW'!I130</f>
        <v>10.43</v>
      </c>
      <c r="Y39" s="95">
        <f>'Solar DHW'!M130</f>
        <v>0.02591477520763874</v>
      </c>
      <c r="Z39" s="95">
        <f>'Solar DHW'!Y130/'Solar DHW'!$K130</f>
        <v>0.0027867167064725955</v>
      </c>
      <c r="AA39" s="96">
        <v>0</v>
      </c>
      <c r="AB39" s="96">
        <v>0</v>
      </c>
      <c r="AC39" s="96">
        <f>'Solar DHW'!Z130/'Solar DHW'!$K130</f>
        <v>0</v>
      </c>
      <c r="AD39" s="96">
        <f>'Solar DHW'!AA130/'Solar DHW'!$K130</f>
        <v>0</v>
      </c>
      <c r="AE39" s="96">
        <f>'Solar DHW'!AC130/'Solar DHW'!$K130</f>
        <v>2.693618389359624</v>
      </c>
      <c r="AF39" s="96">
        <f>'Solar DHW'!AB130/'Solar DHW'!$K130</f>
        <v>0.4887622103823514</v>
      </c>
      <c r="AG39" s="96">
        <f t="shared" si="3"/>
        <v>-2.2048561789772725</v>
      </c>
      <c r="AH39" s="95">
        <f>'Solar DHW'!AD130</f>
        <v>0.1814519166946411</v>
      </c>
      <c r="AI39" s="97" t="s">
        <v>186</v>
      </c>
      <c r="AJ39" s="98"/>
      <c r="AK39" s="307">
        <f>VLOOKUP(A39,'Solar DHW'!B$95:R$134,17,0)</f>
        <v>211.58498397701703</v>
      </c>
    </row>
    <row r="40" spans="1:37" ht="51">
      <c r="A40" s="91" t="str">
        <f>'Solar DHW'!B131</f>
        <v>Solar Residential Water Heater (74.6 sq.ft. collector area), Solar Zone 2 - Summer Peaking</v>
      </c>
      <c r="B40" s="92" t="str">
        <f>VLOOKUP($A40,'Lookup Table'!$A$3:$D$43,2,0)</f>
        <v>System must be design,installed and inspected per EWEB Solar Water Heater Program Specifications or equivalent</v>
      </c>
      <c r="C40" s="92" t="str">
        <f>VLOOKUP($A40,'Lookup Table'!$A$3:$D$43,3,0)</f>
        <v>Residential domestic water heating</v>
      </c>
      <c r="D40" s="92" t="str">
        <f>VLOOKUP($A40,'Lookup Table'!$A$3:$D$43,4,0)</f>
        <v>Solar Zone 4, summer-peaking utility distribution system or sub-system</v>
      </c>
      <c r="E40" s="93">
        <f>'Solar DHW'!E131</f>
        <v>7180.25</v>
      </c>
      <c r="F40" s="93">
        <f>'Solar DHW'!F131</f>
        <v>0</v>
      </c>
      <c r="G40" s="93">
        <f>'Solar DHW'!G131</f>
        <v>602.8137817382812</v>
      </c>
      <c r="H40" s="94">
        <f>'Solar DHW'!C131</f>
        <v>20</v>
      </c>
      <c r="I40" s="94" t="s">
        <v>156</v>
      </c>
      <c r="J40" s="94">
        <f>'Solar DHW'!D131</f>
        <v>2500</v>
      </c>
      <c r="K40" s="94">
        <f>'Solar DHW'!K131</f>
        <v>2690.6249999999995</v>
      </c>
      <c r="L40" s="95">
        <f>'Solar DHW'!J131</f>
        <v>0.36000001430511475</v>
      </c>
      <c r="M40" s="95">
        <f>'Solar DHW'!L131</f>
        <v>0.04302476051781618</v>
      </c>
      <c r="N40" s="96">
        <f>'Solar DHW'!N131/'Solar DHW'!$K131</f>
        <v>2.668618455613362</v>
      </c>
      <c r="O40" s="96">
        <f>'Solar DHW'!O131/'Solar DHW'!$K131</f>
        <v>0</v>
      </c>
      <c r="P40" s="96">
        <f>'Solar DHW'!P131/'Solar DHW'!$K131</f>
        <v>0.22404228821864114</v>
      </c>
      <c r="Q40" s="96">
        <f>'Solar DHW'!Q131/'Solar DHW'!$K131</f>
        <v>2.8926607868757266</v>
      </c>
      <c r="R40" s="96">
        <f>'Solar DHW'!S131/'Solar DHW'!$K131</f>
        <v>0.48551677757893863</v>
      </c>
      <c r="S40" s="96">
        <f>'Solar DHW'!T131/'Solar DHW'!$K131</f>
        <v>0.000610713847976667</v>
      </c>
      <c r="T40" s="96">
        <f>'Solar DHW'!U131/'Solar DHW'!$K131</f>
        <v>0</v>
      </c>
      <c r="U40" s="96">
        <f>'Solar DHW'!V131/'Solar DHW'!$K131</f>
        <v>0.48609979796244324</v>
      </c>
      <c r="V40" s="96">
        <f t="shared" si="2"/>
        <v>-2.4065609889132835</v>
      </c>
      <c r="W40" s="95">
        <f>'Solar DHW'!X131</f>
        <v>0.1821541018499465</v>
      </c>
      <c r="X40" s="95">
        <f>'Solar DHW'!I131</f>
        <v>2.57</v>
      </c>
      <c r="Y40" s="95">
        <f>'Solar DHW'!M131</f>
        <v>0.11951322108507156</v>
      </c>
      <c r="Z40" s="95">
        <f>'Solar DHW'!Y131/'Solar DHW'!$K131</f>
        <v>0.011309516011768658</v>
      </c>
      <c r="AA40" s="96">
        <v>0</v>
      </c>
      <c r="AB40" s="96">
        <v>0</v>
      </c>
      <c r="AC40" s="96">
        <f>'Solar DHW'!Z131/'Solar DHW'!$K131</f>
        <v>0</v>
      </c>
      <c r="AD40" s="96">
        <f>'Solar DHW'!AA131/'Solar DHW'!$K131</f>
        <v>0</v>
      </c>
      <c r="AE40" s="96">
        <f>'Solar DHW'!AC131/'Solar DHW'!$K131</f>
        <v>2.8926607868757266</v>
      </c>
      <c r="AF40" s="96">
        <f>'Solar DHW'!AB131/'Solar DHW'!$K131</f>
        <v>0.4974093078542393</v>
      </c>
      <c r="AG40" s="96">
        <f t="shared" si="3"/>
        <v>-2.3952514790214874</v>
      </c>
      <c r="AH40" s="95">
        <f>'Solar DHW'!AD131</f>
        <v>0.1719556301832199</v>
      </c>
      <c r="AI40" s="97" t="s">
        <v>186</v>
      </c>
      <c r="AJ40" s="98"/>
      <c r="AK40" s="307">
        <f>VLOOKUP(A40,'Solar DHW'!B$95:R$134,17,0)</f>
        <v>227.21985733616066</v>
      </c>
    </row>
    <row r="41" spans="1:37" ht="51">
      <c r="A41" s="91" t="str">
        <f>'Solar DHW'!B132</f>
        <v>Solar Residential Water Heater (74.6 sq.ft. collector area), Solar Zone 2 - Winter Peaking</v>
      </c>
      <c r="B41" s="92" t="str">
        <f>VLOOKUP($A41,'Lookup Table'!$A$3:$D$43,2,0)</f>
        <v>System must be design,installed and inspected per EWEB Solar Water Heater Program Specifications or equivalent</v>
      </c>
      <c r="C41" s="92" t="str">
        <f>VLOOKUP($A41,'Lookup Table'!$A$3:$D$43,3,0)</f>
        <v>Residential domestic water heating</v>
      </c>
      <c r="D41" s="92" t="str">
        <f>VLOOKUP($A41,'Lookup Table'!$A$3:$D$43,4,0)</f>
        <v>Solar Zone 1, winter-peaking utility distribution system or sub-system</v>
      </c>
      <c r="E41" s="93">
        <f>'Solar DHW'!E132</f>
        <v>7180.25</v>
      </c>
      <c r="F41" s="93">
        <f>'Solar DHW'!F132</f>
        <v>0</v>
      </c>
      <c r="G41" s="93">
        <f>'Solar DHW'!G132</f>
        <v>602.8137817382812</v>
      </c>
      <c r="H41" s="94">
        <f>'Solar DHW'!C132</f>
        <v>20</v>
      </c>
      <c r="I41" s="94" t="s">
        <v>156</v>
      </c>
      <c r="J41" s="94">
        <f>'Solar DHW'!D132</f>
        <v>2500</v>
      </c>
      <c r="K41" s="94">
        <f>'Solar DHW'!K132</f>
        <v>2690.6249999999995</v>
      </c>
      <c r="L41" s="95">
        <f>'Solar DHW'!J132</f>
        <v>0.5699999928474426</v>
      </c>
      <c r="M41" s="95">
        <f>'Solar DHW'!L132</f>
        <v>0.02074347300789822</v>
      </c>
      <c r="N41" s="96">
        <f>'Solar DHW'!N132/'Solar DHW'!$K132</f>
        <v>2.668618455613362</v>
      </c>
      <c r="O41" s="96">
        <f>'Solar DHW'!O132/'Solar DHW'!$K132</f>
        <v>0</v>
      </c>
      <c r="P41" s="96">
        <f>'Solar DHW'!P132/'Solar DHW'!$K132</f>
        <v>0.22404228821864114</v>
      </c>
      <c r="Q41" s="96">
        <f>'Solar DHW'!Q132/'Solar DHW'!$K132</f>
        <v>2.8926607868757266</v>
      </c>
      <c r="R41" s="96">
        <f>'Solar DHW'!S132/'Solar DHW'!$K132</f>
        <v>0.48551677757893863</v>
      </c>
      <c r="S41" s="96">
        <f>'Solar DHW'!T132/'Solar DHW'!$K132</f>
        <v>0.00029444270294579344</v>
      </c>
      <c r="T41" s="96">
        <f>'Solar DHW'!U132/'Solar DHW'!$K132</f>
        <v>0</v>
      </c>
      <c r="U41" s="96">
        <f>'Solar DHW'!V132/'Solar DHW'!$K132</f>
        <v>0.4857978684541168</v>
      </c>
      <c r="V41" s="96">
        <f t="shared" si="2"/>
        <v>-2.4068629184216097</v>
      </c>
      <c r="W41" s="95">
        <f>'Solar DHW'!X132</f>
        <v>0.1820409610944026</v>
      </c>
      <c r="X41" s="95">
        <f>'Solar DHW'!I132</f>
        <v>8.44</v>
      </c>
      <c r="Y41" s="95">
        <f>'Solar DHW'!M132</f>
        <v>0.03639205917716026</v>
      </c>
      <c r="Z41" s="95">
        <f>'Solar DHW'!Y132/'Solar DHW'!$K132</f>
        <v>0.003443774357351554</v>
      </c>
      <c r="AA41" s="96">
        <v>0</v>
      </c>
      <c r="AB41" s="96">
        <v>0</v>
      </c>
      <c r="AC41" s="96">
        <f>'Solar DHW'!Z132/'Solar DHW'!$K132</f>
        <v>0</v>
      </c>
      <c r="AD41" s="96">
        <f>'Solar DHW'!AA132/'Solar DHW'!$K132</f>
        <v>0</v>
      </c>
      <c r="AE41" s="96">
        <f>'Solar DHW'!AC132/'Solar DHW'!$K132</f>
        <v>2.8926607868757266</v>
      </c>
      <c r="AF41" s="96">
        <f>'Solar DHW'!AB132/'Solar DHW'!$K132</f>
        <v>0.48924166122241586</v>
      </c>
      <c r="AG41" s="96">
        <f t="shared" si="3"/>
        <v>-2.403419125653311</v>
      </c>
      <c r="AH41" s="95">
        <f>'Solar DHW'!AD132</f>
        <v>0.1691320538520813</v>
      </c>
      <c r="AI41" s="97" t="s">
        <v>186</v>
      </c>
      <c r="AJ41" s="98"/>
      <c r="AK41" s="307">
        <f>VLOOKUP(A41,'Solar DHW'!B$95:R$134,17,0)</f>
        <v>227.21985733616066</v>
      </c>
    </row>
    <row r="42" spans="1:37" ht="51">
      <c r="A42" s="91" t="str">
        <f>'Solar DHW'!B133</f>
        <v>Solar Residential Water Heater (74.6 sq.ft. collector area), Solar Zone 1 - Summer Peaking</v>
      </c>
      <c r="B42" s="92" t="str">
        <f>VLOOKUP($A42,'Lookup Table'!$A$3:$D$43,2,0)</f>
        <v>System must be design,installed and inspected per EWEB Solar Water Heater Program Specifications or equivalent</v>
      </c>
      <c r="C42" s="92" t="str">
        <f>VLOOKUP($A42,'Lookup Table'!$A$3:$D$43,3,0)</f>
        <v>Residential domestic water heating</v>
      </c>
      <c r="D42" s="92" t="str">
        <f>VLOOKUP($A42,'Lookup Table'!$A$3:$D$43,4,0)</f>
        <v>Solar Zone 3, winter-peaking utility distribution system or sub-system</v>
      </c>
      <c r="E42" s="93">
        <f>'Solar DHW'!E133</f>
        <v>7180.25</v>
      </c>
      <c r="F42" s="93">
        <f>'Solar DHW'!F133</f>
        <v>0</v>
      </c>
      <c r="G42" s="93">
        <f>'Solar DHW'!G133</f>
        <v>602.8137817382812</v>
      </c>
      <c r="H42" s="94">
        <f>'Solar DHW'!C133</f>
        <v>20</v>
      </c>
      <c r="I42" s="94" t="s">
        <v>156</v>
      </c>
      <c r="J42" s="94">
        <f>'Solar DHW'!D133</f>
        <v>2400</v>
      </c>
      <c r="K42" s="94">
        <f>'Solar DHW'!K133</f>
        <v>2583</v>
      </c>
      <c r="L42" s="95">
        <f>'Solar DHW'!J133</f>
        <v>0.33000001311302185</v>
      </c>
      <c r="M42" s="95">
        <f>'Solar DHW'!L133</f>
        <v>0.039394655217446596</v>
      </c>
      <c r="N42" s="96">
        <f>'Solar DHW'!N133/'Solar DHW'!$K133</f>
        <v>2.779810891263918</v>
      </c>
      <c r="O42" s="96">
        <f>'Solar DHW'!O133/'Solar DHW'!$K133</f>
        <v>0</v>
      </c>
      <c r="P42" s="96">
        <f>'Solar DHW'!P133/'Solar DHW'!$K133</f>
        <v>0.2333773835610845</v>
      </c>
      <c r="Q42" s="96">
        <f>'Solar DHW'!Q133/'Solar DHW'!$K133</f>
        <v>3.0131883196622145</v>
      </c>
      <c r="R42" s="96">
        <f>'Solar DHW'!S133/'Solar DHW'!$K133</f>
        <v>0.4857719698312106</v>
      </c>
      <c r="S42" s="96">
        <f>'Solar DHW'!T133/'Solar DHW'!$K133</f>
        <v>0.0005824858487875388</v>
      </c>
      <c r="T42" s="96">
        <f>'Solar DHW'!U133/'Solar DHW'!$K133</f>
        <v>0</v>
      </c>
      <c r="U42" s="96">
        <f>'Solar DHW'!V133/'Solar DHW'!$K133</f>
        <v>0.48632804224152354</v>
      </c>
      <c r="V42" s="96">
        <f t="shared" si="2"/>
        <v>-2.526860277420691</v>
      </c>
      <c r="W42" s="95">
        <f>'Solar DHW'!X133</f>
        <v>0.17495004561997415</v>
      </c>
      <c r="X42" s="95">
        <f>'Solar DHW'!I133</f>
        <v>2.47</v>
      </c>
      <c r="Y42" s="95">
        <f>'Solar DHW'!M133</f>
        <v>0.1193777397274971</v>
      </c>
      <c r="Z42" s="95">
        <f>'Solar DHW'!Y133/'Solar DHW'!$K133</f>
        <v>0.011767390713043745</v>
      </c>
      <c r="AA42" s="96">
        <v>0</v>
      </c>
      <c r="AB42" s="96">
        <v>0</v>
      </c>
      <c r="AC42" s="96">
        <f>'Solar DHW'!Z133/'Solar DHW'!$K133</f>
        <v>0</v>
      </c>
      <c r="AD42" s="96">
        <f>'Solar DHW'!AA133/'Solar DHW'!$K133</f>
        <v>0</v>
      </c>
      <c r="AE42" s="96">
        <f>'Solar DHW'!AC133/'Solar DHW'!$K133</f>
        <v>3.0131883196622145</v>
      </c>
      <c r="AF42" s="96">
        <f>'Solar DHW'!AB133/'Solar DHW'!$K133</f>
        <v>0.4980954101184427</v>
      </c>
      <c r="AG42" s="96">
        <f t="shared" si="3"/>
        <v>-2.515092909543772</v>
      </c>
      <c r="AH42" s="95">
        <f>'Solar DHW'!AD133</f>
        <v>0.16530510783195496</v>
      </c>
      <c r="AI42" s="97" t="s">
        <v>186</v>
      </c>
      <c r="AJ42" s="98"/>
      <c r="AK42" s="307">
        <f>VLOOKUP(A42,'Solar DHW'!B$95:R$134,17,0)</f>
        <v>236.68735139183397</v>
      </c>
    </row>
    <row r="43" spans="1:37" ht="51">
      <c r="A43" s="91" t="str">
        <f>'Solar DHW'!B134</f>
        <v>Solar Residential Water Heater (74.6 sq.ft. collector area), Solar Zone 1 - Winter Peaking</v>
      </c>
      <c r="B43" s="92" t="str">
        <f>VLOOKUP($A43,'Lookup Table'!$A$3:$D$43,2,0)</f>
        <v>System must be design,installed and inspected per EWEB Solar Water Heater Program Specifications or equivalent</v>
      </c>
      <c r="C43" s="92" t="str">
        <f>VLOOKUP($A43,'Lookup Table'!$A$3:$D$43,3,0)</f>
        <v>Residential domestic water heating</v>
      </c>
      <c r="D43" s="92" t="str">
        <f>VLOOKUP($A43,'Lookup Table'!$A$3:$D$43,4,0)</f>
        <v>Solar Zone 1, summer-peaking utility distribution system or sub-system</v>
      </c>
      <c r="E43" s="93">
        <f>'Solar DHW'!E134</f>
        <v>7180.25</v>
      </c>
      <c r="F43" s="93">
        <f>'Solar DHW'!F134</f>
        <v>0</v>
      </c>
      <c r="G43" s="93">
        <f>'Solar DHW'!G134</f>
        <v>602.8137817382812</v>
      </c>
      <c r="H43" s="94">
        <f>'Solar DHW'!C134</f>
        <v>20</v>
      </c>
      <c r="I43" s="94" t="s">
        <v>156</v>
      </c>
      <c r="J43" s="94">
        <f>'Solar DHW'!D134</f>
        <v>2400</v>
      </c>
      <c r="K43" s="94">
        <f>'Solar DHW'!K134</f>
        <v>2583</v>
      </c>
      <c r="L43" s="95">
        <f>'Solar DHW'!J134</f>
        <v>0.5099999904632568</v>
      </c>
      <c r="M43" s="95">
        <f>'Solar DHW'!L134</f>
        <v>0.014418037792355566</v>
      </c>
      <c r="N43" s="96">
        <f>'Solar DHW'!N134/'Solar DHW'!$K134</f>
        <v>2.779810891263918</v>
      </c>
      <c r="O43" s="96">
        <f>'Solar DHW'!O134/'Solar DHW'!$K134</f>
        <v>0</v>
      </c>
      <c r="P43" s="96">
        <f>'Solar DHW'!P134/'Solar DHW'!$K134</f>
        <v>0.2333773835610845</v>
      </c>
      <c r="Q43" s="96">
        <f>'Solar DHW'!Q134/'Solar DHW'!$K134</f>
        <v>3.0131883196622145</v>
      </c>
      <c r="R43" s="96">
        <f>'Solar DHW'!S134/'Solar DHW'!$K134</f>
        <v>0.4857719698312106</v>
      </c>
      <c r="S43" s="96">
        <f>'Solar DHW'!T134/'Solar DHW'!$K134</f>
        <v>0.00021318382317826954</v>
      </c>
      <c r="T43" s="96">
        <f>'Solar DHW'!U134/'Solar DHW'!$K134</f>
        <v>0</v>
      </c>
      <c r="U43" s="96">
        <f>'Solar DHW'!V134/'Solar DHW'!$K134</f>
        <v>0.4859754866022783</v>
      </c>
      <c r="V43" s="96">
        <f t="shared" si="2"/>
        <v>-2.527212833059936</v>
      </c>
      <c r="W43" s="95">
        <f>'Solar DHW'!X134</f>
        <v>0.1748232184173205</v>
      </c>
      <c r="X43" s="95">
        <f>'Solar DHW'!I134</f>
        <v>10.43</v>
      </c>
      <c r="Y43" s="95">
        <f>'Solar DHW'!M134</f>
        <v>0.02827066369354725</v>
      </c>
      <c r="Z43" s="95">
        <f>'Solar DHW'!Y134/'Solar DHW'!$K134</f>
        <v>0.0027867166561255196</v>
      </c>
      <c r="AA43" s="96">
        <v>0</v>
      </c>
      <c r="AB43" s="96">
        <v>0</v>
      </c>
      <c r="AC43" s="96">
        <f>'Solar DHW'!Z134/'Solar DHW'!$K134</f>
        <v>0</v>
      </c>
      <c r="AD43" s="96">
        <f>'Solar DHW'!AA134/'Solar DHW'!$K134</f>
        <v>0</v>
      </c>
      <c r="AE43" s="96">
        <f>'Solar DHW'!AC134/'Solar DHW'!$K134</f>
        <v>3.0131883196622145</v>
      </c>
      <c r="AF43" s="96">
        <f>'Solar DHW'!AB134/'Solar DHW'!$K134</f>
        <v>0.4887622060860676</v>
      </c>
      <c r="AG43" s="96">
        <f t="shared" si="3"/>
        <v>-2.5244261135761468</v>
      </c>
      <c r="AH43" s="95">
        <f>'Solar DHW'!AD134</f>
        <v>0.16220764815807343</v>
      </c>
      <c r="AI43" s="97" t="s">
        <v>186</v>
      </c>
      <c r="AJ43" s="98"/>
      <c r="AK43" s="307">
        <f>VLOOKUP(A43,'Solar DHW'!B$95:R$134,17,0)</f>
        <v>236.68735139183397</v>
      </c>
    </row>
  </sheetData>
  <mergeCells count="1">
    <mergeCell ref="A2:W2"/>
  </mergeCells>
  <printOptions/>
  <pageMargins left="0.75" right="0.75" top="1" bottom="1" header="0.5" footer="0.5"/>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20</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398</v>
      </c>
      <c r="E8" s="31" t="b">
        <v>0</v>
      </c>
      <c r="F8" s="16"/>
      <c r="G8" s="5"/>
      <c r="H8" s="5"/>
      <c r="I8"/>
      <c r="J8"/>
      <c r="K8"/>
    </row>
    <row r="9" spans="1:11" ht="15" customHeight="1">
      <c r="A9" s="17" t="s">
        <v>24</v>
      </c>
      <c r="B9" s="21">
        <v>1</v>
      </c>
      <c r="C9" s="4"/>
      <c r="D9" s="66" t="s">
        <v>154</v>
      </c>
      <c r="E9" s="31" t="b">
        <v>0</v>
      </c>
      <c r="F9"/>
      <c r="G9" s="5"/>
      <c r="H9" s="5"/>
      <c r="I9"/>
      <c r="J9"/>
      <c r="K9"/>
    </row>
    <row r="10" spans="1:10" ht="15" customHeight="1">
      <c r="A10" s="17" t="s">
        <v>25</v>
      </c>
      <c r="B10" s="21">
        <v>0</v>
      </c>
      <c r="C10" s="4"/>
      <c r="D10" s="30" t="s">
        <v>399</v>
      </c>
      <c r="E10" s="32" t="b">
        <v>1</v>
      </c>
      <c r="F10" s="8"/>
      <c r="G10" s="9"/>
      <c r="H10" s="5"/>
      <c r="I10"/>
      <c r="J10"/>
    </row>
    <row r="11" spans="1:11" s="10" customFormat="1" ht="15" customHeight="1">
      <c r="A11" s="65" t="s">
        <v>26</v>
      </c>
      <c r="B11" s="21">
        <v>0</v>
      </c>
      <c r="C11" s="4"/>
      <c r="D11" s="30" t="s">
        <v>400</v>
      </c>
      <c r="E11" s="32" t="b">
        <v>0</v>
      </c>
      <c r="F11" s="5"/>
      <c r="G11" s="5"/>
      <c r="H11" s="5"/>
      <c r="I11"/>
      <c r="J11"/>
      <c r="K11" s="3"/>
    </row>
    <row r="12" spans="1:10" ht="15" customHeight="1">
      <c r="A12" s="17" t="s">
        <v>27</v>
      </c>
      <c r="B12" s="18">
        <v>20</v>
      </c>
      <c r="C12" s="4"/>
      <c r="D12" s="30" t="s">
        <v>401</v>
      </c>
      <c r="E12" s="32" t="b">
        <v>0</v>
      </c>
      <c r="F12" s="4"/>
      <c r="G12" s="5"/>
      <c r="H12" s="5"/>
      <c r="I12"/>
      <c r="J12" s="11"/>
    </row>
    <row r="13" spans="1:9" ht="15" customHeight="1">
      <c r="A13" s="34" t="s">
        <v>29</v>
      </c>
      <c r="B13" s="20">
        <v>0.025</v>
      </c>
      <c r="C13" s="4"/>
      <c r="D13" s="17" t="s">
        <v>402</v>
      </c>
      <c r="E13" s="33" t="b">
        <v>0</v>
      </c>
      <c r="F13" s="4"/>
      <c r="G13" s="5"/>
      <c r="H13" s="5"/>
      <c r="I13"/>
    </row>
    <row r="14" spans="1:9" ht="15" customHeight="1">
      <c r="A14" s="34" t="s">
        <v>28</v>
      </c>
      <c r="B14" s="22">
        <v>3</v>
      </c>
      <c r="C14" s="4"/>
      <c r="D14" s="17" t="s">
        <v>403</v>
      </c>
      <c r="E14" s="33" t="b">
        <v>0</v>
      </c>
      <c r="F14" s="5"/>
      <c r="G14" s="5"/>
      <c r="H14" s="5"/>
      <c r="I14"/>
    </row>
    <row r="15" spans="1:9" ht="14.25">
      <c r="A15" s="34" t="s">
        <v>30</v>
      </c>
      <c r="B15" s="20">
        <v>0.05</v>
      </c>
      <c r="C15" s="4"/>
      <c r="D15" s="17" t="s">
        <v>414</v>
      </c>
      <c r="E15" s="33" t="b">
        <v>0</v>
      </c>
      <c r="F15" s="5"/>
      <c r="G15" s="13"/>
      <c r="H15" s="5"/>
      <c r="I15"/>
    </row>
    <row r="16" spans="1:9" ht="14.25">
      <c r="A16" s="34" t="s">
        <v>31</v>
      </c>
      <c r="B16" s="22">
        <v>20</v>
      </c>
      <c r="C16" s="4"/>
      <c r="D16" s="17"/>
      <c r="E16" s="33" t="b">
        <v>0</v>
      </c>
      <c r="F16" s="4"/>
      <c r="G16" s="5"/>
      <c r="H16" s="5"/>
      <c r="I16" s="5"/>
    </row>
    <row r="17" spans="1:9" ht="14.25">
      <c r="A17" s="17" t="s">
        <v>14</v>
      </c>
      <c r="B17" s="23">
        <v>0</v>
      </c>
      <c r="C17" s="4"/>
      <c r="D17" s="17"/>
      <c r="E17" s="33" t="b">
        <v>0</v>
      </c>
      <c r="F17" s="4"/>
      <c r="G17" s="5"/>
      <c r="H17"/>
      <c r="I17" s="5"/>
    </row>
    <row r="18" spans="1:9" ht="14.25">
      <c r="A18" s="17" t="s">
        <v>15</v>
      </c>
      <c r="B18" s="24">
        <v>0</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301" t="s">
        <v>869</v>
      </c>
      <c r="C21" s="302"/>
      <c r="D21" s="303"/>
      <c r="E21" s="12"/>
      <c r="F21" s="5"/>
      <c r="G21" s="5"/>
      <c r="H21" s="14"/>
      <c r="I21" s="5"/>
    </row>
    <row r="22" spans="1:9" ht="14.25">
      <c r="A22" s="34" t="s">
        <v>0</v>
      </c>
      <c r="B22" s="7" t="s">
        <v>865</v>
      </c>
      <c r="C22" s="4"/>
      <c r="D22" s="4"/>
      <c r="E22" s="4"/>
      <c r="F22" s="5"/>
      <c r="G22" s="5"/>
      <c r="H22" s="5"/>
      <c r="I22" s="5"/>
    </row>
    <row r="23" spans="1:9" ht="14.25">
      <c r="A23" s="17" t="s">
        <v>19</v>
      </c>
      <c r="B23" s="7" t="s">
        <v>155</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AO599"/>
  <sheetViews>
    <sheetView zoomScale="80" zoomScaleNormal="80" workbookViewId="0" topLeftCell="L102">
      <selection activeCell="K149" sqref="K149"/>
    </sheetView>
  </sheetViews>
  <sheetFormatPr defaultColWidth="9.140625" defaultRowHeight="12.75"/>
  <cols>
    <col min="1" max="1" width="82.28125" style="100" customWidth="1"/>
    <col min="2" max="2" width="85.57421875" style="100" customWidth="1"/>
    <col min="3" max="4" width="8.8515625" style="100" customWidth="1"/>
    <col min="5" max="5" width="12.00390625" style="100" customWidth="1"/>
    <col min="6" max="6" width="8.8515625" style="100" customWidth="1"/>
    <col min="7" max="7" width="15.00390625" style="100" customWidth="1"/>
    <col min="8" max="8" width="10.57421875" style="100" customWidth="1"/>
    <col min="9" max="11" width="8.8515625" style="100" customWidth="1"/>
    <col min="12" max="12" width="7.8515625" style="100" bestFit="1" customWidth="1"/>
    <col min="13" max="22" width="8.8515625" style="100" customWidth="1"/>
    <col min="23" max="23" width="10.00390625" style="100" bestFit="1" customWidth="1"/>
    <col min="24" max="16384" width="8.8515625" style="100" customWidth="1"/>
  </cols>
  <sheetData>
    <row r="1" spans="1:15" ht="12.75">
      <c r="A1" s="99" t="s">
        <v>127</v>
      </c>
      <c r="I1" s="101"/>
      <c r="J1" s="101"/>
      <c r="K1" s="101"/>
      <c r="L1" s="101"/>
      <c r="M1" s="101"/>
      <c r="N1" s="102"/>
      <c r="O1" s="102"/>
    </row>
    <row r="2" spans="1:15" ht="12.75">
      <c r="A2" s="103" t="s">
        <v>187</v>
      </c>
      <c r="B2"/>
      <c r="I2" s="101"/>
      <c r="J2" s="101"/>
      <c r="K2" s="101"/>
      <c r="L2" s="101"/>
      <c r="M2" s="101"/>
      <c r="N2" s="102"/>
      <c r="O2" s="102"/>
    </row>
    <row r="3" spans="9:15" ht="12.75">
      <c r="I3" s="101"/>
      <c r="J3" s="101"/>
      <c r="K3" s="101"/>
      <c r="L3" s="101"/>
      <c r="M3" s="101"/>
      <c r="N3" s="102"/>
      <c r="O3" s="102"/>
    </row>
    <row r="4" spans="1:14" ht="12.75">
      <c r="A4" s="104" t="s">
        <v>32</v>
      </c>
      <c r="B4" s="105"/>
      <c r="C4" s="106"/>
      <c r="D4" s="106"/>
      <c r="E4" s="106"/>
      <c r="F4" s="106"/>
      <c r="G4" s="106"/>
      <c r="H4" s="107"/>
      <c r="I4" s="108" t="s">
        <v>33</v>
      </c>
      <c r="J4" s="109"/>
      <c r="K4" s="109"/>
      <c r="L4" s="109"/>
      <c r="M4" s="109"/>
      <c r="N4" s="109"/>
    </row>
    <row r="5" spans="1:14" ht="26.25" thickBot="1">
      <c r="A5" s="222" t="s">
        <v>34</v>
      </c>
      <c r="B5" s="222" t="s">
        <v>35</v>
      </c>
      <c r="C5" s="222" t="s">
        <v>157</v>
      </c>
      <c r="D5" s="222" t="s">
        <v>158</v>
      </c>
      <c r="E5" s="222" t="s">
        <v>36</v>
      </c>
      <c r="F5" s="222" t="s">
        <v>37</v>
      </c>
      <c r="G5" s="223" t="s">
        <v>38</v>
      </c>
      <c r="H5" s="223" t="s">
        <v>159</v>
      </c>
      <c r="I5" s="223" t="s">
        <v>39</v>
      </c>
      <c r="J5" s="223" t="s">
        <v>40</v>
      </c>
      <c r="K5" s="223" t="s">
        <v>41</v>
      </c>
      <c r="L5" s="223" t="s">
        <v>42</v>
      </c>
      <c r="M5" s="223" t="s">
        <v>43</v>
      </c>
      <c r="N5" s="223" t="s">
        <v>44</v>
      </c>
    </row>
    <row r="6" spans="1:30" ht="12" customHeight="1">
      <c r="A6" s="224" t="str">
        <f aca="true" t="shared" si="0" ref="A6:A15">B6</f>
        <v>Solar Residential Water Heater (per. 40 sq.ft. collector area), Solar Zone 1 - Winter Peaking</v>
      </c>
      <c r="B6" s="225" t="s">
        <v>445</v>
      </c>
      <c r="C6" s="226">
        <f>'Input Assumptions'!B27</f>
        <v>1800</v>
      </c>
      <c r="D6" s="225">
        <v>20</v>
      </c>
      <c r="E6" s="227">
        <v>3850</v>
      </c>
      <c r="F6" s="227">
        <v>0</v>
      </c>
      <c r="G6" s="228" t="s">
        <v>188</v>
      </c>
      <c r="H6" s="229">
        <v>0</v>
      </c>
      <c r="I6" s="229">
        <v>50</v>
      </c>
      <c r="J6" s="229">
        <v>4.1</v>
      </c>
      <c r="K6" s="229">
        <v>800</v>
      </c>
      <c r="L6" s="229">
        <v>10.1</v>
      </c>
      <c r="M6" s="230"/>
      <c r="N6" s="231"/>
      <c r="O6" s="36"/>
      <c r="P6" s="36"/>
      <c r="Q6" s="36"/>
      <c r="R6" s="36"/>
      <c r="S6" s="36"/>
      <c r="T6" s="36"/>
      <c r="U6" s="36"/>
      <c r="V6" s="36"/>
      <c r="W6" s="36"/>
      <c r="X6" s="36"/>
      <c r="Y6" s="36"/>
      <c r="Z6" s="36"/>
      <c r="AA6" s="36"/>
      <c r="AB6" s="36"/>
      <c r="AC6" s="36"/>
      <c r="AD6" s="36"/>
    </row>
    <row r="7" spans="1:30" ht="12" customHeight="1">
      <c r="A7" s="232" t="str">
        <f t="shared" si="0"/>
        <v>Solar Residential Water Heater (per. 40 sq.ft. collector area), Solar Zone 2 - Winter Peaking</v>
      </c>
      <c r="B7" s="4" t="s">
        <v>446</v>
      </c>
      <c r="C7" s="233">
        <f>'Input Assumptions'!B28</f>
        <v>1900</v>
      </c>
      <c r="D7" s="4">
        <v>20</v>
      </c>
      <c r="E7" s="234">
        <v>3850</v>
      </c>
      <c r="F7" s="234">
        <v>0</v>
      </c>
      <c r="G7" s="235" t="s">
        <v>189</v>
      </c>
      <c r="H7" s="236">
        <v>0</v>
      </c>
      <c r="I7" s="236">
        <v>50</v>
      </c>
      <c r="J7" s="236">
        <v>4.1</v>
      </c>
      <c r="K7" s="236">
        <v>800</v>
      </c>
      <c r="L7" s="236">
        <v>10.1</v>
      </c>
      <c r="M7" s="237"/>
      <c r="N7" s="238"/>
      <c r="O7" s="36"/>
      <c r="P7" s="36"/>
      <c r="Q7" s="36"/>
      <c r="R7" s="36"/>
      <c r="S7" s="36"/>
      <c r="T7" s="36"/>
      <c r="U7" s="36"/>
      <c r="V7" s="36"/>
      <c r="W7" s="36"/>
      <c r="X7" s="36"/>
      <c r="Y7" s="36"/>
      <c r="Z7" s="36"/>
      <c r="AA7" s="36"/>
      <c r="AB7" s="36"/>
      <c r="AC7" s="36"/>
      <c r="AD7" s="36"/>
    </row>
    <row r="8" spans="1:30" ht="12" customHeight="1">
      <c r="A8" s="232" t="str">
        <f t="shared" si="0"/>
        <v>Solar Residential Water Heater (per. 40 sq.ft. collector area), Solar Zone 3 - Winter Peaking</v>
      </c>
      <c r="B8" s="4" t="s">
        <v>447</v>
      </c>
      <c r="C8" s="233">
        <f>'Input Assumptions'!B29</f>
        <v>2200</v>
      </c>
      <c r="D8" s="4">
        <v>20</v>
      </c>
      <c r="E8" s="234">
        <v>3850</v>
      </c>
      <c r="F8" s="234">
        <v>0</v>
      </c>
      <c r="G8" s="235" t="s">
        <v>190</v>
      </c>
      <c r="H8" s="236">
        <v>0</v>
      </c>
      <c r="I8" s="236">
        <v>50</v>
      </c>
      <c r="J8" s="236">
        <v>4.1</v>
      </c>
      <c r="K8" s="236">
        <v>800</v>
      </c>
      <c r="L8" s="236">
        <v>10.1</v>
      </c>
      <c r="M8" s="237"/>
      <c r="N8" s="238"/>
      <c r="O8" s="36"/>
      <c r="P8" s="36"/>
      <c r="Q8" s="36"/>
      <c r="R8" s="36"/>
      <c r="S8" s="36"/>
      <c r="T8" s="36"/>
      <c r="U8" s="36"/>
      <c r="V8" s="36"/>
      <c r="W8" s="36"/>
      <c r="X8" s="36"/>
      <c r="Y8" s="36"/>
      <c r="Z8" s="36"/>
      <c r="AA8" s="36"/>
      <c r="AB8" s="36"/>
      <c r="AC8" s="36"/>
      <c r="AD8" s="36"/>
    </row>
    <row r="9" spans="1:30" ht="12" customHeight="1">
      <c r="A9" s="232" t="str">
        <f t="shared" si="0"/>
        <v>Solar Residential Water Heater (per. 40 sq.ft. collector area), Solar Zone 4 - Winter Peaking</v>
      </c>
      <c r="B9" s="4" t="s">
        <v>448</v>
      </c>
      <c r="C9" s="233">
        <f>'Input Assumptions'!B30</f>
        <v>2500</v>
      </c>
      <c r="D9" s="4">
        <v>20</v>
      </c>
      <c r="E9" s="234">
        <v>3850</v>
      </c>
      <c r="F9" s="234">
        <v>0</v>
      </c>
      <c r="G9" s="235" t="s">
        <v>191</v>
      </c>
      <c r="H9" s="236">
        <v>0</v>
      </c>
      <c r="I9" s="236">
        <v>50</v>
      </c>
      <c r="J9" s="236">
        <v>4.1</v>
      </c>
      <c r="K9" s="236">
        <v>800</v>
      </c>
      <c r="L9" s="236">
        <v>10.1</v>
      </c>
      <c r="M9" s="237"/>
      <c r="N9" s="238"/>
      <c r="O9" s="36"/>
      <c r="P9" s="36"/>
      <c r="Q9" s="36"/>
      <c r="R9" s="36"/>
      <c r="S9" s="36"/>
      <c r="T9" s="36"/>
      <c r="U9" s="36"/>
      <c r="V9" s="36"/>
      <c r="W9" s="36"/>
      <c r="X9" s="36"/>
      <c r="Y9" s="36"/>
      <c r="Z9" s="36"/>
      <c r="AA9" s="36"/>
      <c r="AB9" s="36"/>
      <c r="AC9" s="36"/>
      <c r="AD9" s="36"/>
    </row>
    <row r="10" spans="1:30" ht="12" customHeight="1">
      <c r="A10" s="232" t="str">
        <f t="shared" si="0"/>
        <v>Solar Residential Water Heater (per. 40 sq.ft. collector area), Solar Zone 5 - Winter Peaking</v>
      </c>
      <c r="B10" s="4" t="s">
        <v>449</v>
      </c>
      <c r="C10" s="233">
        <f>'Input Assumptions'!B31</f>
        <v>2600</v>
      </c>
      <c r="D10" s="4">
        <v>20</v>
      </c>
      <c r="E10" s="234">
        <v>3850</v>
      </c>
      <c r="F10" s="234">
        <v>0</v>
      </c>
      <c r="G10" s="235" t="s">
        <v>192</v>
      </c>
      <c r="H10" s="236">
        <v>0</v>
      </c>
      <c r="I10" s="236">
        <v>50</v>
      </c>
      <c r="J10" s="236">
        <v>4.1</v>
      </c>
      <c r="K10" s="236">
        <v>800</v>
      </c>
      <c r="L10" s="236">
        <v>10.1</v>
      </c>
      <c r="M10" s="237"/>
      <c r="N10" s="238"/>
      <c r="O10" s="36"/>
      <c r="P10" s="36"/>
      <c r="Q10" s="36"/>
      <c r="R10" s="36"/>
      <c r="S10" s="36"/>
      <c r="T10" s="36"/>
      <c r="U10" s="36"/>
      <c r="V10" s="36"/>
      <c r="W10" s="36"/>
      <c r="X10" s="36"/>
      <c r="Y10" s="36"/>
      <c r="Z10" s="36"/>
      <c r="AA10" s="36"/>
      <c r="AB10" s="36"/>
      <c r="AC10" s="36"/>
      <c r="AD10" s="36"/>
    </row>
    <row r="11" spans="1:30" ht="12" customHeight="1">
      <c r="A11" s="232" t="str">
        <f t="shared" si="0"/>
        <v>Solar Residential Water Heater (per. 40 sq.ft. collector area), Solar Zone 1 - Summer Peaking</v>
      </c>
      <c r="B11" s="4" t="s">
        <v>450</v>
      </c>
      <c r="C11" s="233">
        <f>'Input Assumptions'!B32</f>
        <v>1800</v>
      </c>
      <c r="D11" s="4">
        <v>20</v>
      </c>
      <c r="E11" s="234">
        <v>3850</v>
      </c>
      <c r="F11" s="234">
        <v>0</v>
      </c>
      <c r="G11" s="235" t="s">
        <v>193</v>
      </c>
      <c r="H11" s="236">
        <v>0</v>
      </c>
      <c r="I11" s="236">
        <v>50</v>
      </c>
      <c r="J11" s="236">
        <v>4.1</v>
      </c>
      <c r="K11" s="236">
        <v>800</v>
      </c>
      <c r="L11" s="236">
        <v>10.1</v>
      </c>
      <c r="M11" s="237"/>
      <c r="N11" s="238"/>
      <c r="O11" s="36"/>
      <c r="P11" s="36"/>
      <c r="Q11" s="36"/>
      <c r="R11" s="36"/>
      <c r="S11" s="36"/>
      <c r="T11" s="36"/>
      <c r="U11" s="36"/>
      <c r="V11" s="36"/>
      <c r="W11" s="36"/>
      <c r="X11" s="36"/>
      <c r="Y11" s="36"/>
      <c r="Z11" s="36"/>
      <c r="AA11" s="36"/>
      <c r="AB11" s="36"/>
      <c r="AC11" s="36"/>
      <c r="AD11" s="36"/>
    </row>
    <row r="12" spans="1:30" ht="12" customHeight="1">
      <c r="A12" s="232" t="str">
        <f t="shared" si="0"/>
        <v>Solar Residential Water Heater (per. 40 sq.ft. collector area), Solar Zone 2 - Summer Peaking</v>
      </c>
      <c r="B12" s="4" t="s">
        <v>451</v>
      </c>
      <c r="C12" s="233">
        <f>'Input Assumptions'!B33</f>
        <v>1900</v>
      </c>
      <c r="D12" s="4">
        <v>20</v>
      </c>
      <c r="E12" s="234">
        <v>3850</v>
      </c>
      <c r="F12" s="234">
        <v>0</v>
      </c>
      <c r="G12" s="235" t="s">
        <v>194</v>
      </c>
      <c r="H12" s="236">
        <v>0</v>
      </c>
      <c r="I12" s="236">
        <v>50</v>
      </c>
      <c r="J12" s="236">
        <v>4.1</v>
      </c>
      <c r="K12" s="236">
        <v>800</v>
      </c>
      <c r="L12" s="236">
        <v>10.1</v>
      </c>
      <c r="M12" s="237"/>
      <c r="N12" s="238"/>
      <c r="O12" s="36"/>
      <c r="P12" s="36"/>
      <c r="Q12" s="36"/>
      <c r="R12" s="36"/>
      <c r="S12" s="36"/>
      <c r="T12" s="36"/>
      <c r="U12" s="36"/>
      <c r="V12" s="36"/>
      <c r="W12" s="36"/>
      <c r="X12" s="36"/>
      <c r="Y12" s="36"/>
      <c r="Z12" s="36"/>
      <c r="AA12" s="36"/>
      <c r="AB12" s="36"/>
      <c r="AC12" s="36"/>
      <c r="AD12" s="36"/>
    </row>
    <row r="13" spans="1:30" ht="12" customHeight="1">
      <c r="A13" s="232" t="str">
        <f t="shared" si="0"/>
        <v>Solar Residential Water Heater (per. 40 sq.ft. collector area), Solar Zone 3 - Summer Peaking</v>
      </c>
      <c r="B13" s="4" t="s">
        <v>452</v>
      </c>
      <c r="C13" s="233">
        <f>'Input Assumptions'!B34</f>
        <v>2200</v>
      </c>
      <c r="D13" s="4">
        <v>20</v>
      </c>
      <c r="E13" s="234">
        <v>3850</v>
      </c>
      <c r="F13" s="234">
        <v>0</v>
      </c>
      <c r="G13" s="235" t="s">
        <v>195</v>
      </c>
      <c r="H13" s="236">
        <v>0</v>
      </c>
      <c r="I13" s="236">
        <v>50</v>
      </c>
      <c r="J13" s="236">
        <v>4.1</v>
      </c>
      <c r="K13" s="236">
        <v>800</v>
      </c>
      <c r="L13" s="236">
        <v>10.1</v>
      </c>
      <c r="M13" s="237"/>
      <c r="N13" s="238"/>
      <c r="O13" s="36"/>
      <c r="P13" s="36"/>
      <c r="Q13" s="36"/>
      <c r="R13" s="36"/>
      <c r="S13" s="36"/>
      <c r="T13" s="36"/>
      <c r="U13" s="36"/>
      <c r="V13" s="36"/>
      <c r="W13" s="36"/>
      <c r="X13" s="36"/>
      <c r="Y13" s="36"/>
      <c r="Z13" s="36"/>
      <c r="AA13" s="36"/>
      <c r="AB13" s="36"/>
      <c r="AC13" s="36"/>
      <c r="AD13" s="36"/>
    </row>
    <row r="14" spans="1:30" ht="12" customHeight="1">
      <c r="A14" s="232" t="str">
        <f t="shared" si="0"/>
        <v>Solar Residential Water Heater (per. 40 sq.ft. collector area), Solar Zone 4 - Summer Peaking</v>
      </c>
      <c r="B14" s="4" t="s">
        <v>453</v>
      </c>
      <c r="C14" s="233">
        <f>'Input Assumptions'!B35</f>
        <v>2500</v>
      </c>
      <c r="D14" s="4">
        <v>20</v>
      </c>
      <c r="E14" s="234">
        <v>3850</v>
      </c>
      <c r="F14" s="234">
        <v>0</v>
      </c>
      <c r="G14" s="235" t="s">
        <v>196</v>
      </c>
      <c r="H14" s="236">
        <v>0</v>
      </c>
      <c r="I14" s="236">
        <v>50</v>
      </c>
      <c r="J14" s="236">
        <v>4.1</v>
      </c>
      <c r="K14" s="236">
        <v>800</v>
      </c>
      <c r="L14" s="236">
        <v>10.1</v>
      </c>
      <c r="M14" s="237"/>
      <c r="N14" s="238"/>
      <c r="O14" s="36"/>
      <c r="P14" s="36"/>
      <c r="Q14" s="36"/>
      <c r="R14" s="36"/>
      <c r="S14" s="36"/>
      <c r="T14" s="36"/>
      <c r="U14" s="36"/>
      <c r="V14" s="36"/>
      <c r="W14" s="36"/>
      <c r="X14" s="36"/>
      <c r="Y14" s="36"/>
      <c r="Z14" s="36"/>
      <c r="AA14" s="36"/>
      <c r="AB14" s="36"/>
      <c r="AC14" s="36"/>
      <c r="AD14" s="36"/>
    </row>
    <row r="15" spans="1:30" ht="12" customHeight="1" thickBot="1">
      <c r="A15" s="239" t="str">
        <f t="shared" si="0"/>
        <v>Solar Residential Water Heater (per. 40 sq.ft. collector area), Solar Zone 5 - Summer Peaking</v>
      </c>
      <c r="B15" s="240" t="s">
        <v>454</v>
      </c>
      <c r="C15" s="241">
        <f>'Input Assumptions'!B36</f>
        <v>2600</v>
      </c>
      <c r="D15" s="240">
        <v>20</v>
      </c>
      <c r="E15" s="242">
        <v>3850</v>
      </c>
      <c r="F15" s="242">
        <v>0</v>
      </c>
      <c r="G15" s="243" t="s">
        <v>197</v>
      </c>
      <c r="H15" s="244">
        <v>0</v>
      </c>
      <c r="I15" s="244">
        <v>50</v>
      </c>
      <c r="J15" s="244">
        <v>4.1</v>
      </c>
      <c r="K15" s="244">
        <v>800</v>
      </c>
      <c r="L15" s="244">
        <v>10.1</v>
      </c>
      <c r="M15" s="245"/>
      <c r="N15" s="246"/>
      <c r="O15" s="36"/>
      <c r="P15" s="36"/>
      <c r="Q15" s="36"/>
      <c r="R15" s="36"/>
      <c r="S15" s="36"/>
      <c r="T15" s="36"/>
      <c r="U15" s="36"/>
      <c r="V15" s="36"/>
      <c r="W15" s="36"/>
      <c r="X15" s="36"/>
      <c r="Y15" s="36"/>
      <c r="Z15" s="36"/>
      <c r="AA15" s="36"/>
      <c r="AB15" s="36"/>
      <c r="AC15" s="36"/>
      <c r="AD15" s="36"/>
    </row>
    <row r="16" spans="1:30" ht="12" customHeight="1">
      <c r="A16" s="224" t="str">
        <f aca="true" t="shared" si="1" ref="A16:A35">B16</f>
        <v>Solar Residential Water Heater (37.3 sq.ft. collector area), Solar Zone 1 - Winter Peaking</v>
      </c>
      <c r="B16" s="225" t="s">
        <v>415</v>
      </c>
      <c r="C16" s="226">
        <f>'Input Assumptions'!B37</f>
        <v>1800</v>
      </c>
      <c r="D16" s="225">
        <v>20</v>
      </c>
      <c r="E16" s="227">
        <v>3850</v>
      </c>
      <c r="F16" s="227">
        <v>0</v>
      </c>
      <c r="G16" s="228" t="s">
        <v>188</v>
      </c>
      <c r="H16" s="229">
        <v>0</v>
      </c>
      <c r="I16" s="229">
        <v>50</v>
      </c>
      <c r="J16" s="229">
        <v>4.1</v>
      </c>
      <c r="K16" s="229">
        <v>800</v>
      </c>
      <c r="L16" s="229">
        <v>10.1</v>
      </c>
      <c r="M16" s="230"/>
      <c r="N16" s="231"/>
      <c r="O16" s="36"/>
      <c r="P16" s="36"/>
      <c r="Q16" s="36"/>
      <c r="R16" s="36"/>
      <c r="S16" s="36"/>
      <c r="T16" s="36"/>
      <c r="U16" s="36"/>
      <c r="V16" s="36"/>
      <c r="W16" s="36"/>
      <c r="X16" s="36"/>
      <c r="Y16" s="36"/>
      <c r="Z16" s="36"/>
      <c r="AA16" s="36"/>
      <c r="AB16" s="36"/>
      <c r="AC16" s="36"/>
      <c r="AD16" s="36"/>
    </row>
    <row r="17" spans="1:30" ht="12" customHeight="1">
      <c r="A17" s="232" t="str">
        <f t="shared" si="1"/>
        <v>Solar Residential Water Heater (37.3 sq.ft. collector area), Solar Zone 2 - Winter Peaking</v>
      </c>
      <c r="B17" s="4" t="s">
        <v>416</v>
      </c>
      <c r="C17" s="233">
        <f>'Input Assumptions'!B38</f>
        <v>1900</v>
      </c>
      <c r="D17" s="4">
        <v>20</v>
      </c>
      <c r="E17" s="234">
        <v>3850</v>
      </c>
      <c r="F17" s="234">
        <v>0</v>
      </c>
      <c r="G17" s="235" t="s">
        <v>189</v>
      </c>
      <c r="H17" s="236">
        <v>0</v>
      </c>
      <c r="I17" s="236">
        <v>50</v>
      </c>
      <c r="J17" s="236">
        <v>4.1</v>
      </c>
      <c r="K17" s="236">
        <v>800</v>
      </c>
      <c r="L17" s="236">
        <v>10.1</v>
      </c>
      <c r="M17" s="237"/>
      <c r="N17" s="238"/>
      <c r="O17" s="36"/>
      <c r="P17" s="36"/>
      <c r="Q17" s="36"/>
      <c r="R17" s="36"/>
      <c r="S17" s="36"/>
      <c r="T17" s="36"/>
      <c r="U17" s="36"/>
      <c r="V17" s="36"/>
      <c r="W17" s="36"/>
      <c r="X17" s="36"/>
      <c r="Y17" s="36"/>
      <c r="Z17" s="36"/>
      <c r="AA17" s="36"/>
      <c r="AB17" s="36"/>
      <c r="AC17" s="36"/>
      <c r="AD17" s="36"/>
    </row>
    <row r="18" spans="1:30" ht="12" customHeight="1">
      <c r="A18" s="232" t="str">
        <f t="shared" si="1"/>
        <v>Solar Residential Water Heater (37.3 sq.ft. collector area), Solar Zone 3 - Winter Peaking</v>
      </c>
      <c r="B18" s="4" t="s">
        <v>417</v>
      </c>
      <c r="C18" s="233">
        <f>'Input Assumptions'!B39</f>
        <v>2100</v>
      </c>
      <c r="D18" s="4">
        <v>20</v>
      </c>
      <c r="E18" s="234">
        <v>3850</v>
      </c>
      <c r="F18" s="234">
        <v>0</v>
      </c>
      <c r="G18" s="235" t="s">
        <v>190</v>
      </c>
      <c r="H18" s="236">
        <v>0</v>
      </c>
      <c r="I18" s="236">
        <v>50</v>
      </c>
      <c r="J18" s="236">
        <v>4.1</v>
      </c>
      <c r="K18" s="236">
        <v>800</v>
      </c>
      <c r="L18" s="236">
        <v>10.1</v>
      </c>
      <c r="M18" s="237"/>
      <c r="N18" s="238"/>
      <c r="O18" s="36"/>
      <c r="P18" s="36"/>
      <c r="Q18" s="36"/>
      <c r="R18" s="36"/>
      <c r="S18" s="36"/>
      <c r="T18" s="36"/>
      <c r="U18" s="36"/>
      <c r="V18" s="36"/>
      <c r="W18" s="36"/>
      <c r="X18" s="36"/>
      <c r="Y18" s="36"/>
      <c r="Z18" s="36"/>
      <c r="AA18" s="36"/>
      <c r="AB18" s="36"/>
      <c r="AC18" s="36"/>
      <c r="AD18" s="36"/>
    </row>
    <row r="19" spans="1:30" ht="12" customHeight="1">
      <c r="A19" s="232" t="str">
        <f t="shared" si="1"/>
        <v>Solar Residential Water Heater (37.3 sq.ft. collector area), Solar Zone 4 - Winter Peaking</v>
      </c>
      <c r="B19" s="4" t="s">
        <v>418</v>
      </c>
      <c r="C19" s="233">
        <f>'Input Assumptions'!B40</f>
        <v>2400</v>
      </c>
      <c r="D19" s="4">
        <v>20</v>
      </c>
      <c r="E19" s="234">
        <v>3850</v>
      </c>
      <c r="F19" s="234">
        <v>0</v>
      </c>
      <c r="G19" s="235" t="s">
        <v>191</v>
      </c>
      <c r="H19" s="236">
        <v>0</v>
      </c>
      <c r="I19" s="236">
        <v>50</v>
      </c>
      <c r="J19" s="236">
        <v>4.1</v>
      </c>
      <c r="K19" s="236">
        <v>800</v>
      </c>
      <c r="L19" s="236">
        <v>10.1</v>
      </c>
      <c r="M19" s="237"/>
      <c r="N19" s="238"/>
      <c r="O19" s="36"/>
      <c r="P19" s="36"/>
      <c r="Q19" s="36"/>
      <c r="R19" s="36"/>
      <c r="S19" s="36"/>
      <c r="T19" s="36"/>
      <c r="U19" s="36"/>
      <c r="V19" s="36"/>
      <c r="W19" s="36"/>
      <c r="X19" s="36"/>
      <c r="Y19" s="36"/>
      <c r="Z19" s="36"/>
      <c r="AA19" s="36"/>
      <c r="AB19" s="36"/>
      <c r="AC19" s="36"/>
      <c r="AD19" s="36"/>
    </row>
    <row r="20" spans="1:30" ht="12" customHeight="1">
      <c r="A20" s="232" t="str">
        <f t="shared" si="1"/>
        <v>Solar Residential Water Heater (37.3 sq.ft. collector area), Solar Zone 5 - Winter Peaking</v>
      </c>
      <c r="B20" s="4" t="s">
        <v>419</v>
      </c>
      <c r="C20" s="233">
        <f>'Input Assumptions'!B41</f>
        <v>2500</v>
      </c>
      <c r="D20" s="4">
        <v>20</v>
      </c>
      <c r="E20" s="234">
        <v>3850</v>
      </c>
      <c r="F20" s="234">
        <v>0</v>
      </c>
      <c r="G20" s="235" t="s">
        <v>192</v>
      </c>
      <c r="H20" s="236">
        <v>0</v>
      </c>
      <c r="I20" s="236">
        <v>50</v>
      </c>
      <c r="J20" s="236">
        <v>4.1</v>
      </c>
      <c r="K20" s="236">
        <v>800</v>
      </c>
      <c r="L20" s="236">
        <v>10.1</v>
      </c>
      <c r="M20" s="237"/>
      <c r="N20" s="238"/>
      <c r="O20" s="36"/>
      <c r="P20" s="36"/>
      <c r="Q20" s="36"/>
      <c r="R20" s="36"/>
      <c r="S20" s="36"/>
      <c r="T20" s="36"/>
      <c r="U20" s="36"/>
      <c r="V20" s="36"/>
      <c r="W20" s="36"/>
      <c r="X20" s="36"/>
      <c r="Y20" s="36"/>
      <c r="Z20" s="36"/>
      <c r="AA20" s="36"/>
      <c r="AB20" s="36"/>
      <c r="AC20" s="36"/>
      <c r="AD20" s="36"/>
    </row>
    <row r="21" spans="1:30" ht="12" customHeight="1">
      <c r="A21" s="232" t="str">
        <f t="shared" si="1"/>
        <v>Solar Residential Water Heater (37.3 sq.ft. collector area), Solar Zone 1 - Summer Peaking</v>
      </c>
      <c r="B21" s="4" t="s">
        <v>420</v>
      </c>
      <c r="C21" s="233">
        <f>'Input Assumptions'!B42</f>
        <v>1800</v>
      </c>
      <c r="D21" s="4">
        <v>20</v>
      </c>
      <c r="E21" s="234">
        <v>3850</v>
      </c>
      <c r="F21" s="234">
        <v>0</v>
      </c>
      <c r="G21" s="235" t="s">
        <v>193</v>
      </c>
      <c r="H21" s="236">
        <v>0</v>
      </c>
      <c r="I21" s="236">
        <v>50</v>
      </c>
      <c r="J21" s="236">
        <v>4.1</v>
      </c>
      <c r="K21" s="236">
        <v>800</v>
      </c>
      <c r="L21" s="236">
        <v>10.1</v>
      </c>
      <c r="M21" s="237"/>
      <c r="N21" s="238"/>
      <c r="O21" s="36"/>
      <c r="P21" s="36"/>
      <c r="Q21" s="36"/>
      <c r="R21" s="36"/>
      <c r="S21" s="36"/>
      <c r="T21" s="36"/>
      <c r="U21" s="36"/>
      <c r="V21" s="36"/>
      <c r="W21" s="36"/>
      <c r="X21" s="36"/>
      <c r="Y21" s="36"/>
      <c r="Z21" s="36"/>
      <c r="AA21" s="36"/>
      <c r="AB21" s="36"/>
      <c r="AC21" s="36"/>
      <c r="AD21" s="36"/>
    </row>
    <row r="22" spans="1:30" ht="12" customHeight="1">
      <c r="A22" s="232" t="str">
        <f t="shared" si="1"/>
        <v>Solar Residential Water Heater (37.3 sq.ft. collector area), Solar Zone 2 - Summer Peaking</v>
      </c>
      <c r="B22" s="4" t="s">
        <v>421</v>
      </c>
      <c r="C22" s="233">
        <f>'Input Assumptions'!B43</f>
        <v>1900</v>
      </c>
      <c r="D22" s="4">
        <v>20</v>
      </c>
      <c r="E22" s="234">
        <v>3850</v>
      </c>
      <c r="F22" s="234">
        <v>0</v>
      </c>
      <c r="G22" s="235" t="s">
        <v>194</v>
      </c>
      <c r="H22" s="236">
        <v>0</v>
      </c>
      <c r="I22" s="236">
        <v>50</v>
      </c>
      <c r="J22" s="236">
        <v>4.1</v>
      </c>
      <c r="K22" s="236">
        <v>800</v>
      </c>
      <c r="L22" s="236">
        <v>10.1</v>
      </c>
      <c r="M22" s="237"/>
      <c r="N22" s="238"/>
      <c r="O22" s="36"/>
      <c r="P22" s="36"/>
      <c r="Q22" s="36"/>
      <c r="R22" s="36"/>
      <c r="S22" s="36"/>
      <c r="T22" s="36"/>
      <c r="U22" s="36"/>
      <c r="V22" s="36"/>
      <c r="W22" s="36"/>
      <c r="X22" s="36"/>
      <c r="Y22" s="36"/>
      <c r="Z22" s="36"/>
      <c r="AA22" s="36"/>
      <c r="AB22" s="36"/>
      <c r="AC22" s="36"/>
      <c r="AD22" s="36"/>
    </row>
    <row r="23" spans="1:30" ht="12" customHeight="1">
      <c r="A23" s="232" t="str">
        <f t="shared" si="1"/>
        <v>Solar Residential Water Heater (37.3 sq.ft. collector area), Solar Zone 3 - Summer Peaking</v>
      </c>
      <c r="B23" s="4" t="s">
        <v>422</v>
      </c>
      <c r="C23" s="233">
        <f>'Input Assumptions'!B44</f>
        <v>2100</v>
      </c>
      <c r="D23" s="4">
        <v>20</v>
      </c>
      <c r="E23" s="234">
        <v>3850</v>
      </c>
      <c r="F23" s="234">
        <v>0</v>
      </c>
      <c r="G23" s="235" t="s">
        <v>195</v>
      </c>
      <c r="H23" s="236">
        <v>0</v>
      </c>
      <c r="I23" s="236">
        <v>50</v>
      </c>
      <c r="J23" s="236">
        <v>4.1</v>
      </c>
      <c r="K23" s="236">
        <v>800</v>
      </c>
      <c r="L23" s="236">
        <v>10.1</v>
      </c>
      <c r="M23" s="237"/>
      <c r="N23" s="238"/>
      <c r="O23" s="36"/>
      <c r="P23" s="36"/>
      <c r="Q23" s="36"/>
      <c r="R23" s="36"/>
      <c r="S23" s="36"/>
      <c r="T23" s="36"/>
      <c r="U23" s="36"/>
      <c r="V23" s="36"/>
      <c r="W23" s="36"/>
      <c r="X23" s="36"/>
      <c r="Y23" s="36"/>
      <c r="Z23" s="36"/>
      <c r="AA23" s="36"/>
      <c r="AB23" s="36"/>
      <c r="AC23" s="36"/>
      <c r="AD23" s="36"/>
    </row>
    <row r="24" spans="1:30" ht="12" customHeight="1">
      <c r="A24" s="232" t="str">
        <f t="shared" si="1"/>
        <v>Solar Residential Water Heater (37.3 sq.ft. collector area), Solar Zone 4 - Summer Peaking</v>
      </c>
      <c r="B24" s="4" t="s">
        <v>423</v>
      </c>
      <c r="C24" s="233">
        <f>'Input Assumptions'!B45</f>
        <v>2400</v>
      </c>
      <c r="D24" s="4">
        <v>20</v>
      </c>
      <c r="E24" s="234">
        <v>3850</v>
      </c>
      <c r="F24" s="234">
        <v>0</v>
      </c>
      <c r="G24" s="235" t="s">
        <v>196</v>
      </c>
      <c r="H24" s="236">
        <v>0</v>
      </c>
      <c r="I24" s="236">
        <v>50</v>
      </c>
      <c r="J24" s="236">
        <v>4.1</v>
      </c>
      <c r="K24" s="236">
        <v>800</v>
      </c>
      <c r="L24" s="236">
        <v>10.1</v>
      </c>
      <c r="M24" s="237"/>
      <c r="N24" s="238"/>
      <c r="O24" s="36"/>
      <c r="P24" s="36"/>
      <c r="Q24" s="36"/>
      <c r="R24" s="36"/>
      <c r="S24" s="36"/>
      <c r="T24" s="36"/>
      <c r="U24" s="36"/>
      <c r="V24" s="36"/>
      <c r="W24" s="36"/>
      <c r="X24" s="36"/>
      <c r="Y24" s="36"/>
      <c r="Z24" s="36"/>
      <c r="AA24" s="36"/>
      <c r="AB24" s="36"/>
      <c r="AC24" s="36"/>
      <c r="AD24" s="36"/>
    </row>
    <row r="25" spans="1:30" ht="12" customHeight="1" thickBot="1">
      <c r="A25" s="239" t="str">
        <f t="shared" si="1"/>
        <v>Solar Residential Water Heater (37.3 sq.ft. collector area), Solar Zone 5 - Summer Peaking</v>
      </c>
      <c r="B25" s="240" t="s">
        <v>424</v>
      </c>
      <c r="C25" s="241">
        <f>'Input Assumptions'!B46</f>
        <v>2500</v>
      </c>
      <c r="D25" s="240">
        <v>20</v>
      </c>
      <c r="E25" s="242">
        <v>3850</v>
      </c>
      <c r="F25" s="242">
        <v>0</v>
      </c>
      <c r="G25" s="243" t="s">
        <v>197</v>
      </c>
      <c r="H25" s="244">
        <v>0</v>
      </c>
      <c r="I25" s="244">
        <v>50</v>
      </c>
      <c r="J25" s="244">
        <v>4.1</v>
      </c>
      <c r="K25" s="244">
        <v>800</v>
      </c>
      <c r="L25" s="244">
        <v>10.1</v>
      </c>
      <c r="M25" s="245"/>
      <c r="N25" s="246"/>
      <c r="O25" s="36"/>
      <c r="P25" s="36"/>
      <c r="Q25" s="36"/>
      <c r="R25" s="36"/>
      <c r="S25" s="36"/>
      <c r="T25" s="36"/>
      <c r="U25" s="36"/>
      <c r="V25" s="36"/>
      <c r="W25" s="36"/>
      <c r="X25" s="36"/>
      <c r="Y25" s="36"/>
      <c r="Z25" s="36"/>
      <c r="AA25" s="36"/>
      <c r="AB25" s="36"/>
      <c r="AC25" s="36"/>
      <c r="AD25" s="36"/>
    </row>
    <row r="26" spans="1:30" ht="12" customHeight="1">
      <c r="A26" s="224" t="str">
        <f t="shared" si="1"/>
        <v>Solar Residential Water Heater (60 sq.ft. collector area), Solar Zone 1 - Winter Peaking</v>
      </c>
      <c r="B26" s="225" t="s">
        <v>425</v>
      </c>
      <c r="C26" s="226">
        <f>'Input Assumptions'!B47</f>
        <v>2200</v>
      </c>
      <c r="D26" s="225">
        <v>20</v>
      </c>
      <c r="E26" s="227">
        <f>E6*60/40</f>
        <v>5775</v>
      </c>
      <c r="F26" s="227">
        <v>0</v>
      </c>
      <c r="G26" s="228" t="s">
        <v>188</v>
      </c>
      <c r="H26" s="229">
        <v>0</v>
      </c>
      <c r="I26" s="229">
        <v>50</v>
      </c>
      <c r="J26" s="229">
        <v>4.1</v>
      </c>
      <c r="K26" s="229">
        <v>800</v>
      </c>
      <c r="L26" s="229">
        <v>10.1</v>
      </c>
      <c r="M26" s="230"/>
      <c r="N26" s="231"/>
      <c r="O26" s="36"/>
      <c r="P26" s="36"/>
      <c r="Q26" s="36"/>
      <c r="R26" s="36"/>
      <c r="S26" s="36"/>
      <c r="T26" s="36"/>
      <c r="U26" s="36"/>
      <c r="V26" s="36"/>
      <c r="W26" s="36"/>
      <c r="X26" s="36"/>
      <c r="Y26" s="36"/>
      <c r="Z26" s="36"/>
      <c r="AA26" s="36"/>
      <c r="AB26" s="36"/>
      <c r="AC26" s="36"/>
      <c r="AD26" s="36"/>
    </row>
    <row r="27" spans="1:30" ht="12" customHeight="1">
      <c r="A27" s="232" t="str">
        <f t="shared" si="1"/>
        <v>Solar Residential Water Heater (60 sq.ft. collector area), Solar Zone 2 - Winter Peaking</v>
      </c>
      <c r="B27" s="4" t="s">
        <v>426</v>
      </c>
      <c r="C27" s="233">
        <f>'Input Assumptions'!B48</f>
        <v>2300</v>
      </c>
      <c r="D27" s="4">
        <v>20</v>
      </c>
      <c r="E27" s="234">
        <f aca="true" t="shared" si="2" ref="E27:E35">E7*60/40</f>
        <v>5775</v>
      </c>
      <c r="F27" s="234">
        <v>0</v>
      </c>
      <c r="G27" s="235" t="s">
        <v>189</v>
      </c>
      <c r="H27" s="236">
        <v>0</v>
      </c>
      <c r="I27" s="236">
        <v>50</v>
      </c>
      <c r="J27" s="236">
        <v>4.1</v>
      </c>
      <c r="K27" s="236">
        <v>800</v>
      </c>
      <c r="L27" s="236">
        <v>10.1</v>
      </c>
      <c r="M27" s="237"/>
      <c r="N27" s="238"/>
      <c r="O27" s="36"/>
      <c r="P27" s="36"/>
      <c r="Q27" s="36"/>
      <c r="R27" s="36"/>
      <c r="S27" s="36"/>
      <c r="T27" s="36"/>
      <c r="U27" s="36"/>
      <c r="V27" s="36"/>
      <c r="W27" s="36"/>
      <c r="X27" s="36"/>
      <c r="Y27" s="36"/>
      <c r="Z27" s="36"/>
      <c r="AA27" s="36"/>
      <c r="AB27" s="36"/>
      <c r="AC27" s="36"/>
      <c r="AD27" s="36"/>
    </row>
    <row r="28" spans="1:30" ht="12" customHeight="1">
      <c r="A28" s="232" t="str">
        <f t="shared" si="1"/>
        <v>Solar Residential Water Heater (60 sq.ft. collector area), Solar Zone 3 - Winter Peaking</v>
      </c>
      <c r="B28" s="4" t="s">
        <v>427</v>
      </c>
      <c r="C28" s="233">
        <f>'Input Assumptions'!B49</f>
        <v>2600</v>
      </c>
      <c r="D28" s="4">
        <v>20</v>
      </c>
      <c r="E28" s="234">
        <f t="shared" si="2"/>
        <v>5775</v>
      </c>
      <c r="F28" s="234">
        <v>0</v>
      </c>
      <c r="G28" s="235" t="s">
        <v>190</v>
      </c>
      <c r="H28" s="236">
        <v>0</v>
      </c>
      <c r="I28" s="236">
        <v>50</v>
      </c>
      <c r="J28" s="236">
        <v>4.1</v>
      </c>
      <c r="K28" s="236">
        <v>800</v>
      </c>
      <c r="L28" s="236">
        <v>10.1</v>
      </c>
      <c r="M28" s="237"/>
      <c r="N28" s="238"/>
      <c r="O28" s="36"/>
      <c r="P28" s="36"/>
      <c r="Q28" s="36"/>
      <c r="R28" s="36"/>
      <c r="S28" s="36"/>
      <c r="T28" s="36"/>
      <c r="U28" s="36"/>
      <c r="V28" s="36"/>
      <c r="W28" s="36"/>
      <c r="X28" s="36"/>
      <c r="Y28" s="36"/>
      <c r="Z28" s="36"/>
      <c r="AA28" s="36"/>
      <c r="AB28" s="36"/>
      <c r="AC28" s="36"/>
      <c r="AD28" s="36"/>
    </row>
    <row r="29" spans="1:30" ht="12" customHeight="1">
      <c r="A29" s="232" t="str">
        <f t="shared" si="1"/>
        <v>Solar Residential Water Heater (60 sq.ft. collector area), Solar Zone 4 - Winter Peaking</v>
      </c>
      <c r="B29" s="4" t="s">
        <v>428</v>
      </c>
      <c r="C29" s="233">
        <f>'Input Assumptions'!B50</f>
        <v>3000</v>
      </c>
      <c r="D29" s="4">
        <v>20</v>
      </c>
      <c r="E29" s="234">
        <f t="shared" si="2"/>
        <v>5775</v>
      </c>
      <c r="F29" s="234">
        <v>0</v>
      </c>
      <c r="G29" s="235" t="s">
        <v>191</v>
      </c>
      <c r="H29" s="236">
        <v>0</v>
      </c>
      <c r="I29" s="236">
        <v>50</v>
      </c>
      <c r="J29" s="236">
        <v>4.1</v>
      </c>
      <c r="K29" s="236">
        <v>800</v>
      </c>
      <c r="L29" s="236">
        <v>10.1</v>
      </c>
      <c r="M29" s="237"/>
      <c r="N29" s="238"/>
      <c r="O29" s="36"/>
      <c r="P29" s="36"/>
      <c r="Q29" s="36"/>
      <c r="R29" s="36"/>
      <c r="S29" s="36"/>
      <c r="T29" s="36"/>
      <c r="U29" s="36"/>
      <c r="V29" s="36"/>
      <c r="W29" s="36"/>
      <c r="X29" s="36"/>
      <c r="Y29" s="36"/>
      <c r="Z29" s="36"/>
      <c r="AA29" s="36"/>
      <c r="AB29" s="36"/>
      <c r="AC29" s="36"/>
      <c r="AD29" s="36"/>
    </row>
    <row r="30" spans="1:30" ht="12" customHeight="1">
      <c r="A30" s="232" t="str">
        <f t="shared" si="1"/>
        <v>Solar Residential Water Heater (60 sq.ft. collector area), Solar Zone 5 - Winter Peaking</v>
      </c>
      <c r="B30" s="4" t="s">
        <v>429</v>
      </c>
      <c r="C30" s="233">
        <f>'Input Assumptions'!B51</f>
        <v>3200</v>
      </c>
      <c r="D30" s="4">
        <v>20</v>
      </c>
      <c r="E30" s="234">
        <f t="shared" si="2"/>
        <v>5775</v>
      </c>
      <c r="F30" s="234">
        <v>0</v>
      </c>
      <c r="G30" s="235" t="s">
        <v>192</v>
      </c>
      <c r="H30" s="236">
        <v>0</v>
      </c>
      <c r="I30" s="236">
        <v>50</v>
      </c>
      <c r="J30" s="236">
        <v>4.1</v>
      </c>
      <c r="K30" s="236">
        <v>800</v>
      </c>
      <c r="L30" s="236">
        <v>10.1</v>
      </c>
      <c r="M30" s="237"/>
      <c r="N30" s="238"/>
      <c r="O30" s="36"/>
      <c r="P30" s="36"/>
      <c r="Q30" s="36"/>
      <c r="R30" s="36"/>
      <c r="S30" s="36"/>
      <c r="T30" s="36"/>
      <c r="U30" s="36"/>
      <c r="V30" s="36"/>
      <c r="W30" s="36"/>
      <c r="X30" s="36"/>
      <c r="Y30" s="36"/>
      <c r="Z30" s="36"/>
      <c r="AA30" s="36"/>
      <c r="AB30" s="36"/>
      <c r="AC30" s="36"/>
      <c r="AD30" s="36"/>
    </row>
    <row r="31" spans="1:30" ht="12" customHeight="1">
      <c r="A31" s="232" t="str">
        <f t="shared" si="1"/>
        <v>Solar Residential Water Heater (60 sq.ft. collector area), Solar Zone 1 - Summer Peaking</v>
      </c>
      <c r="B31" s="4" t="s">
        <v>430</v>
      </c>
      <c r="C31" s="233">
        <f>'Input Assumptions'!B52</f>
        <v>2200</v>
      </c>
      <c r="D31" s="4">
        <v>20</v>
      </c>
      <c r="E31" s="234">
        <f t="shared" si="2"/>
        <v>5775</v>
      </c>
      <c r="F31" s="234">
        <v>0</v>
      </c>
      <c r="G31" s="235" t="s">
        <v>193</v>
      </c>
      <c r="H31" s="236">
        <v>0</v>
      </c>
      <c r="I31" s="236">
        <v>50</v>
      </c>
      <c r="J31" s="236">
        <v>4.1</v>
      </c>
      <c r="K31" s="236">
        <v>800</v>
      </c>
      <c r="L31" s="236">
        <v>10.1</v>
      </c>
      <c r="M31" s="237"/>
      <c r="N31" s="238"/>
      <c r="O31" s="36"/>
      <c r="P31" s="36"/>
      <c r="Q31" s="36"/>
      <c r="R31" s="36"/>
      <c r="S31" s="36"/>
      <c r="T31" s="36"/>
      <c r="U31" s="36"/>
      <c r="V31" s="36"/>
      <c r="W31" s="36"/>
      <c r="X31" s="36"/>
      <c r="Y31" s="36"/>
      <c r="Z31" s="36"/>
      <c r="AA31" s="36"/>
      <c r="AB31" s="36"/>
      <c r="AC31" s="36"/>
      <c r="AD31" s="36"/>
    </row>
    <row r="32" spans="1:30" ht="12" customHeight="1">
      <c r="A32" s="232" t="str">
        <f t="shared" si="1"/>
        <v>Solar Residential Water Heater (60 sq.ft. collector area), Solar Zone 2 - Summer Peaking</v>
      </c>
      <c r="B32" s="4" t="s">
        <v>431</v>
      </c>
      <c r="C32" s="233">
        <f>'Input Assumptions'!B53</f>
        <v>2300</v>
      </c>
      <c r="D32" s="4">
        <v>20</v>
      </c>
      <c r="E32" s="234">
        <f t="shared" si="2"/>
        <v>5775</v>
      </c>
      <c r="F32" s="234">
        <v>0</v>
      </c>
      <c r="G32" s="235" t="s">
        <v>194</v>
      </c>
      <c r="H32" s="236">
        <v>0</v>
      </c>
      <c r="I32" s="236">
        <v>50</v>
      </c>
      <c r="J32" s="236">
        <v>4.1</v>
      </c>
      <c r="K32" s="236">
        <v>800</v>
      </c>
      <c r="L32" s="236">
        <v>10.1</v>
      </c>
      <c r="M32" s="237"/>
      <c r="N32" s="238"/>
      <c r="O32" s="36"/>
      <c r="P32" s="36"/>
      <c r="Q32" s="36"/>
      <c r="R32" s="36"/>
      <c r="S32" s="36"/>
      <c r="T32" s="36"/>
      <c r="U32" s="36"/>
      <c r="V32" s="36"/>
      <c r="W32" s="36"/>
      <c r="X32" s="36"/>
      <c r="Y32" s="36"/>
      <c r="Z32" s="36"/>
      <c r="AA32" s="36"/>
      <c r="AB32" s="36"/>
      <c r="AC32" s="36"/>
      <c r="AD32" s="36"/>
    </row>
    <row r="33" spans="1:30" ht="12" customHeight="1">
      <c r="A33" s="232" t="str">
        <f t="shared" si="1"/>
        <v>Solar Residential Water Heater (60 sq.ft. collector area), Solar Zone 3 - Summer Peaking</v>
      </c>
      <c r="B33" s="4" t="s">
        <v>432</v>
      </c>
      <c r="C33" s="233">
        <f>'Input Assumptions'!B54</f>
        <v>2600</v>
      </c>
      <c r="D33" s="4">
        <v>20</v>
      </c>
      <c r="E33" s="234">
        <f t="shared" si="2"/>
        <v>5775</v>
      </c>
      <c r="F33" s="234">
        <v>0</v>
      </c>
      <c r="G33" s="235" t="s">
        <v>195</v>
      </c>
      <c r="H33" s="236">
        <v>0</v>
      </c>
      <c r="I33" s="236">
        <v>50</v>
      </c>
      <c r="J33" s="236">
        <v>4.1</v>
      </c>
      <c r="K33" s="236">
        <v>800</v>
      </c>
      <c r="L33" s="236">
        <v>10.1</v>
      </c>
      <c r="M33" s="237"/>
      <c r="N33" s="238"/>
      <c r="O33" s="36"/>
      <c r="P33" s="36"/>
      <c r="Q33" s="36"/>
      <c r="R33" s="36"/>
      <c r="S33" s="36"/>
      <c r="T33" s="36"/>
      <c r="U33" s="36"/>
      <c r="V33" s="36"/>
      <c r="W33" s="36"/>
      <c r="X33" s="36"/>
      <c r="Y33" s="36"/>
      <c r="Z33" s="36"/>
      <c r="AA33" s="36"/>
      <c r="AB33" s="36"/>
      <c r="AC33" s="36"/>
      <c r="AD33" s="36"/>
    </row>
    <row r="34" spans="1:30" ht="12" customHeight="1">
      <c r="A34" s="232" t="str">
        <f t="shared" si="1"/>
        <v>Solar Residential Water Heater (60 sq.ft. collector area), Solar Zone 4 - Summer Peaking</v>
      </c>
      <c r="B34" s="4" t="s">
        <v>433</v>
      </c>
      <c r="C34" s="233">
        <f>'Input Assumptions'!B55</f>
        <v>3000</v>
      </c>
      <c r="D34" s="4">
        <v>20</v>
      </c>
      <c r="E34" s="234">
        <f t="shared" si="2"/>
        <v>5775</v>
      </c>
      <c r="F34" s="234">
        <v>0</v>
      </c>
      <c r="G34" s="235" t="s">
        <v>196</v>
      </c>
      <c r="H34" s="236">
        <v>0</v>
      </c>
      <c r="I34" s="236">
        <v>50</v>
      </c>
      <c r="J34" s="236">
        <v>4.1</v>
      </c>
      <c r="K34" s="236">
        <v>800</v>
      </c>
      <c r="L34" s="236">
        <v>10.1</v>
      </c>
      <c r="M34" s="237"/>
      <c r="N34" s="238"/>
      <c r="O34" s="36"/>
      <c r="P34" s="36"/>
      <c r="Q34" s="36"/>
      <c r="R34" s="36"/>
      <c r="S34" s="36"/>
      <c r="T34" s="36"/>
      <c r="U34" s="36"/>
      <c r="V34" s="36"/>
      <c r="W34" s="36"/>
      <c r="X34" s="36"/>
      <c r="Y34" s="36"/>
      <c r="Z34" s="36"/>
      <c r="AA34" s="36"/>
      <c r="AB34" s="36"/>
      <c r="AC34" s="36"/>
      <c r="AD34" s="36"/>
    </row>
    <row r="35" spans="1:30" ht="12" customHeight="1" thickBot="1">
      <c r="A35" s="239" t="str">
        <f t="shared" si="1"/>
        <v>Solar Residential Water Heater (60 sq.ft. collector area), Solar Zone 5 - Summer Peaking</v>
      </c>
      <c r="B35" s="240" t="s">
        <v>434</v>
      </c>
      <c r="C35" s="241">
        <f>'Input Assumptions'!B56</f>
        <v>3200</v>
      </c>
      <c r="D35" s="240">
        <v>20</v>
      </c>
      <c r="E35" s="242">
        <f t="shared" si="2"/>
        <v>5775</v>
      </c>
      <c r="F35" s="242">
        <v>0</v>
      </c>
      <c r="G35" s="243" t="s">
        <v>197</v>
      </c>
      <c r="H35" s="244">
        <v>0</v>
      </c>
      <c r="I35" s="244">
        <v>50</v>
      </c>
      <c r="J35" s="244">
        <v>4.1</v>
      </c>
      <c r="K35" s="244">
        <v>800</v>
      </c>
      <c r="L35" s="244">
        <v>10.1</v>
      </c>
      <c r="M35" s="245"/>
      <c r="N35" s="246"/>
      <c r="O35" s="36"/>
      <c r="P35" s="36"/>
      <c r="Q35" s="36"/>
      <c r="R35" s="36"/>
      <c r="S35" s="36"/>
      <c r="T35" s="36"/>
      <c r="U35" s="36"/>
      <c r="V35" s="36"/>
      <c r="W35" s="36"/>
      <c r="X35" s="36"/>
      <c r="Y35" s="36"/>
      <c r="Z35" s="36"/>
      <c r="AA35" s="36"/>
      <c r="AB35" s="36"/>
      <c r="AC35" s="36"/>
      <c r="AD35" s="36"/>
    </row>
    <row r="36" spans="1:30" ht="12" customHeight="1">
      <c r="A36" s="224" t="str">
        <f aca="true" t="shared" si="3" ref="A36:A45">B36</f>
        <v>Solar Residential Water Heater (74.6 sq.ft. collector area), Solar Zone 1 - Winter Peaking</v>
      </c>
      <c r="B36" s="225" t="s">
        <v>435</v>
      </c>
      <c r="C36" s="226">
        <f>'Input Assumptions'!B57</f>
        <v>2400</v>
      </c>
      <c r="D36" s="225">
        <v>20</v>
      </c>
      <c r="E36" s="227">
        <f>74.6/40*E6</f>
        <v>7180.249999999999</v>
      </c>
      <c r="F36" s="227">
        <v>0</v>
      </c>
      <c r="G36" s="228" t="s">
        <v>188</v>
      </c>
      <c r="H36" s="229">
        <v>0</v>
      </c>
      <c r="I36" s="229">
        <v>50</v>
      </c>
      <c r="J36" s="229">
        <v>4.1</v>
      </c>
      <c r="K36" s="229">
        <v>800</v>
      </c>
      <c r="L36" s="229">
        <v>10.1</v>
      </c>
      <c r="M36" s="230"/>
      <c r="N36" s="231"/>
      <c r="O36" s="36"/>
      <c r="P36" s="36"/>
      <c r="Q36" s="36"/>
      <c r="R36" s="36"/>
      <c r="S36" s="36"/>
      <c r="T36" s="36"/>
      <c r="U36" s="36"/>
      <c r="V36" s="36"/>
      <c r="W36" s="36"/>
      <c r="X36" s="36"/>
      <c r="Y36" s="36"/>
      <c r="Z36" s="36"/>
      <c r="AA36" s="36"/>
      <c r="AB36" s="36"/>
      <c r="AC36" s="36"/>
      <c r="AD36" s="36"/>
    </row>
    <row r="37" spans="1:30" ht="12" customHeight="1">
      <c r="A37" s="232" t="str">
        <f t="shared" si="3"/>
        <v>Solar Residential Water Heater (74.6 sq.ft. collector area), Solar Zone 2 - Winter Peaking</v>
      </c>
      <c r="B37" s="4" t="s">
        <v>436</v>
      </c>
      <c r="C37" s="233">
        <f>'Input Assumptions'!B58</f>
        <v>2500</v>
      </c>
      <c r="D37" s="4">
        <v>20</v>
      </c>
      <c r="E37" s="234">
        <f aca="true" t="shared" si="4" ref="E37:E45">74.6/40*E7</f>
        <v>7180.249999999999</v>
      </c>
      <c r="F37" s="234">
        <v>0</v>
      </c>
      <c r="G37" s="235" t="s">
        <v>189</v>
      </c>
      <c r="H37" s="236">
        <v>0</v>
      </c>
      <c r="I37" s="236">
        <v>50</v>
      </c>
      <c r="J37" s="236">
        <v>4.1</v>
      </c>
      <c r="K37" s="236">
        <v>800</v>
      </c>
      <c r="L37" s="236">
        <v>10.1</v>
      </c>
      <c r="M37" s="237"/>
      <c r="N37" s="238"/>
      <c r="O37" s="36"/>
      <c r="P37" s="36"/>
      <c r="Q37" s="36"/>
      <c r="R37" s="36"/>
      <c r="S37" s="36"/>
      <c r="T37" s="36"/>
      <c r="U37" s="36"/>
      <c r="V37" s="36"/>
      <c r="W37" s="36"/>
      <c r="X37" s="36"/>
      <c r="Y37" s="36"/>
      <c r="Z37" s="36"/>
      <c r="AA37" s="36"/>
      <c r="AB37" s="36"/>
      <c r="AC37" s="36"/>
      <c r="AD37" s="36"/>
    </row>
    <row r="38" spans="1:30" ht="12" customHeight="1">
      <c r="A38" s="232" t="str">
        <f t="shared" si="3"/>
        <v>Solar Residential Water Heater (74.6 sq.ft. collector area), Solar Zone 3 - Winter Peaking</v>
      </c>
      <c r="B38" s="4" t="s">
        <v>437</v>
      </c>
      <c r="C38" s="233">
        <f>'Input Assumptions'!B59</f>
        <v>2700</v>
      </c>
      <c r="D38" s="4">
        <v>20</v>
      </c>
      <c r="E38" s="234">
        <f t="shared" si="4"/>
        <v>7180.249999999999</v>
      </c>
      <c r="F38" s="234">
        <v>0</v>
      </c>
      <c r="G38" s="235" t="s">
        <v>190</v>
      </c>
      <c r="H38" s="236">
        <v>0</v>
      </c>
      <c r="I38" s="236">
        <v>50</v>
      </c>
      <c r="J38" s="236">
        <v>4.1</v>
      </c>
      <c r="K38" s="236">
        <v>800</v>
      </c>
      <c r="L38" s="236">
        <v>10.1</v>
      </c>
      <c r="M38" s="237"/>
      <c r="N38" s="238"/>
      <c r="O38" s="36"/>
      <c r="P38" s="36"/>
      <c r="Q38" s="36"/>
      <c r="R38" s="36"/>
      <c r="S38" s="36"/>
      <c r="T38" s="36"/>
      <c r="U38" s="36"/>
      <c r="V38" s="36"/>
      <c r="W38" s="36"/>
      <c r="X38" s="36"/>
      <c r="Y38" s="36"/>
      <c r="Z38" s="36"/>
      <c r="AA38" s="36"/>
      <c r="AB38" s="36"/>
      <c r="AC38" s="36"/>
      <c r="AD38" s="36"/>
    </row>
    <row r="39" spans="1:30" ht="12" customHeight="1">
      <c r="A39" s="232" t="str">
        <f t="shared" si="3"/>
        <v>Solar Residential Water Heater (74.6 sq.ft. collector area), Solar Zone 4 - Winter Peaking</v>
      </c>
      <c r="B39" s="4" t="s">
        <v>438</v>
      </c>
      <c r="C39" s="233">
        <f>'Input Assumptions'!B60</f>
        <v>3200</v>
      </c>
      <c r="D39" s="4">
        <v>20</v>
      </c>
      <c r="E39" s="234">
        <f t="shared" si="4"/>
        <v>7180.249999999999</v>
      </c>
      <c r="F39" s="234">
        <v>0</v>
      </c>
      <c r="G39" s="235" t="s">
        <v>191</v>
      </c>
      <c r="H39" s="236">
        <v>0</v>
      </c>
      <c r="I39" s="236">
        <v>50</v>
      </c>
      <c r="J39" s="236">
        <v>4.1</v>
      </c>
      <c r="K39" s="236">
        <v>800</v>
      </c>
      <c r="L39" s="236">
        <v>10.1</v>
      </c>
      <c r="M39" s="237"/>
      <c r="N39" s="238"/>
      <c r="O39" s="36"/>
      <c r="P39" s="36"/>
      <c r="Q39" s="36"/>
      <c r="R39" s="36"/>
      <c r="S39" s="36"/>
      <c r="T39" s="36"/>
      <c r="U39" s="36"/>
      <c r="V39" s="36"/>
      <c r="W39" s="36"/>
      <c r="X39" s="36"/>
      <c r="Y39" s="36"/>
      <c r="Z39" s="36"/>
      <c r="AA39" s="36"/>
      <c r="AB39" s="36"/>
      <c r="AC39" s="36"/>
      <c r="AD39" s="36"/>
    </row>
    <row r="40" spans="1:30" ht="12" customHeight="1">
      <c r="A40" s="232" t="str">
        <f t="shared" si="3"/>
        <v>Solar Residential Water Heater (74.6 sq.ft. collector area), Solar Zone 5 - Winter Peaking</v>
      </c>
      <c r="B40" s="4" t="s">
        <v>439</v>
      </c>
      <c r="C40" s="233">
        <f>'Input Assumptions'!B61</f>
        <v>3400</v>
      </c>
      <c r="D40" s="4">
        <v>20</v>
      </c>
      <c r="E40" s="234">
        <f t="shared" si="4"/>
        <v>7180.249999999999</v>
      </c>
      <c r="F40" s="234">
        <v>0</v>
      </c>
      <c r="G40" s="235" t="s">
        <v>192</v>
      </c>
      <c r="H40" s="236">
        <v>0</v>
      </c>
      <c r="I40" s="236">
        <v>50</v>
      </c>
      <c r="J40" s="236">
        <v>4.1</v>
      </c>
      <c r="K40" s="236">
        <v>800</v>
      </c>
      <c r="L40" s="236">
        <v>10.1</v>
      </c>
      <c r="M40" s="237"/>
      <c r="N40" s="238"/>
      <c r="O40" s="36"/>
      <c r="P40" s="36"/>
      <c r="Q40" s="36"/>
      <c r="R40" s="36"/>
      <c r="S40" s="36"/>
      <c r="T40" s="36"/>
      <c r="U40" s="36"/>
      <c r="V40" s="36"/>
      <c r="W40" s="36"/>
      <c r="X40" s="36"/>
      <c r="Y40" s="36"/>
      <c r="Z40" s="36"/>
      <c r="AA40" s="36"/>
      <c r="AB40" s="36"/>
      <c r="AC40" s="36"/>
      <c r="AD40" s="36"/>
    </row>
    <row r="41" spans="1:30" ht="12" customHeight="1">
      <c r="A41" s="232" t="str">
        <f t="shared" si="3"/>
        <v>Solar Residential Water Heater (74.6 sq.ft. collector area), Solar Zone 1 - Summer Peaking</v>
      </c>
      <c r="B41" s="4" t="s">
        <v>440</v>
      </c>
      <c r="C41" s="233">
        <f>'Input Assumptions'!B62</f>
        <v>2400</v>
      </c>
      <c r="D41" s="4">
        <v>20</v>
      </c>
      <c r="E41" s="234">
        <f t="shared" si="4"/>
        <v>7180.249999999999</v>
      </c>
      <c r="F41" s="234">
        <v>0</v>
      </c>
      <c r="G41" s="235" t="s">
        <v>193</v>
      </c>
      <c r="H41" s="236">
        <v>0</v>
      </c>
      <c r="I41" s="236">
        <v>50</v>
      </c>
      <c r="J41" s="236">
        <v>4.1</v>
      </c>
      <c r="K41" s="236">
        <v>800</v>
      </c>
      <c r="L41" s="236">
        <v>10.1</v>
      </c>
      <c r="M41" s="237"/>
      <c r="N41" s="238"/>
      <c r="O41" s="36"/>
      <c r="P41" s="36"/>
      <c r="Q41" s="36"/>
      <c r="R41" s="36"/>
      <c r="S41" s="36"/>
      <c r="T41" s="36"/>
      <c r="U41" s="36"/>
      <c r="V41" s="36"/>
      <c r="W41" s="36"/>
      <c r="X41" s="36"/>
      <c r="Y41" s="36"/>
      <c r="Z41" s="36"/>
      <c r="AA41" s="36"/>
      <c r="AB41" s="36"/>
      <c r="AC41" s="36"/>
      <c r="AD41" s="36"/>
    </row>
    <row r="42" spans="1:30" ht="12" customHeight="1">
      <c r="A42" s="232" t="str">
        <f t="shared" si="3"/>
        <v>Solar Residential Water Heater (74.6 sq.ft. collector area), Solar Zone 2 - Summer Peaking</v>
      </c>
      <c r="B42" s="4" t="s">
        <v>441</v>
      </c>
      <c r="C42" s="233">
        <f>'Input Assumptions'!B63</f>
        <v>2500</v>
      </c>
      <c r="D42" s="4">
        <v>20</v>
      </c>
      <c r="E42" s="234">
        <f t="shared" si="4"/>
        <v>7180.249999999999</v>
      </c>
      <c r="F42" s="234">
        <v>0</v>
      </c>
      <c r="G42" s="235" t="s">
        <v>194</v>
      </c>
      <c r="H42" s="236">
        <v>0</v>
      </c>
      <c r="I42" s="236">
        <v>50</v>
      </c>
      <c r="J42" s="236">
        <v>4.1</v>
      </c>
      <c r="K42" s="236">
        <v>800</v>
      </c>
      <c r="L42" s="236">
        <v>10.1</v>
      </c>
      <c r="M42" s="237"/>
      <c r="N42" s="238"/>
      <c r="O42" s="36"/>
      <c r="P42" s="36"/>
      <c r="Q42" s="36"/>
      <c r="R42" s="36"/>
      <c r="S42" s="36"/>
      <c r="T42" s="36"/>
      <c r="U42" s="36"/>
      <c r="V42" s="36"/>
      <c r="W42" s="36"/>
      <c r="X42" s="36"/>
      <c r="Y42" s="36"/>
      <c r="Z42" s="36"/>
      <c r="AA42" s="36"/>
      <c r="AB42" s="36"/>
      <c r="AC42" s="36"/>
      <c r="AD42" s="36"/>
    </row>
    <row r="43" spans="1:30" ht="12" customHeight="1">
      <c r="A43" s="232" t="str">
        <f t="shared" si="3"/>
        <v>Solar Residential Water Heater (74.6 sq.ft. collector area), Solar Zone 3 - Summer Peaking</v>
      </c>
      <c r="B43" s="4" t="s">
        <v>442</v>
      </c>
      <c r="C43" s="233">
        <f>'Input Assumptions'!B64</f>
        <v>2700</v>
      </c>
      <c r="D43" s="4">
        <v>20</v>
      </c>
      <c r="E43" s="234">
        <f t="shared" si="4"/>
        <v>7180.249999999999</v>
      </c>
      <c r="F43" s="234">
        <v>0</v>
      </c>
      <c r="G43" s="235" t="s">
        <v>195</v>
      </c>
      <c r="H43" s="236">
        <v>0</v>
      </c>
      <c r="I43" s="236">
        <v>50</v>
      </c>
      <c r="J43" s="236">
        <v>4.1</v>
      </c>
      <c r="K43" s="236">
        <v>800</v>
      </c>
      <c r="L43" s="236">
        <v>10.1</v>
      </c>
      <c r="M43" s="237"/>
      <c r="N43" s="238"/>
      <c r="O43" s="36"/>
      <c r="P43" s="36"/>
      <c r="Q43" s="36"/>
      <c r="R43" s="36"/>
      <c r="S43" s="36"/>
      <c r="T43" s="36"/>
      <c r="U43" s="36"/>
      <c r="V43" s="36"/>
      <c r="W43" s="36"/>
      <c r="X43" s="36"/>
      <c r="Y43" s="36"/>
      <c r="Z43" s="36"/>
      <c r="AA43" s="36"/>
      <c r="AB43" s="36"/>
      <c r="AC43" s="36"/>
      <c r="AD43" s="36"/>
    </row>
    <row r="44" spans="1:30" ht="12" customHeight="1">
      <c r="A44" s="232" t="str">
        <f t="shared" si="3"/>
        <v>Solar Residential Water Heater (74.6 sq.ft. collector area), Solar Zone 4 - Summer Peaking</v>
      </c>
      <c r="B44" s="4" t="s">
        <v>443</v>
      </c>
      <c r="C44" s="233">
        <f>'Input Assumptions'!B65</f>
        <v>3200</v>
      </c>
      <c r="D44" s="4">
        <v>20</v>
      </c>
      <c r="E44" s="234">
        <f t="shared" si="4"/>
        <v>7180.249999999999</v>
      </c>
      <c r="F44" s="234">
        <v>0</v>
      </c>
      <c r="G44" s="235" t="s">
        <v>196</v>
      </c>
      <c r="H44" s="236">
        <v>0</v>
      </c>
      <c r="I44" s="236">
        <v>50</v>
      </c>
      <c r="J44" s="236">
        <v>4.1</v>
      </c>
      <c r="K44" s="236">
        <v>800</v>
      </c>
      <c r="L44" s="236">
        <v>10.1</v>
      </c>
      <c r="M44" s="237"/>
      <c r="N44" s="238"/>
      <c r="O44" s="36"/>
      <c r="P44" s="36"/>
      <c r="Q44" s="36"/>
      <c r="R44" s="36"/>
      <c r="S44" s="36"/>
      <c r="T44" s="36"/>
      <c r="U44" s="36"/>
      <c r="V44" s="36"/>
      <c r="W44" s="36"/>
      <c r="X44" s="36"/>
      <c r="Y44" s="36"/>
      <c r="Z44" s="36"/>
      <c r="AA44" s="36"/>
      <c r="AB44" s="36"/>
      <c r="AC44" s="36"/>
      <c r="AD44" s="36"/>
    </row>
    <row r="45" spans="1:30" ht="12" customHeight="1" thickBot="1">
      <c r="A45" s="239" t="str">
        <f t="shared" si="3"/>
        <v>Solar Residential Water Heater (74.6 sq.ft. collector area), Solar Zone 5 - Summer Peaking</v>
      </c>
      <c r="B45" s="240" t="s">
        <v>444</v>
      </c>
      <c r="C45" s="241">
        <f>'Input Assumptions'!B66</f>
        <v>3400</v>
      </c>
      <c r="D45" s="240">
        <v>20</v>
      </c>
      <c r="E45" s="242">
        <f t="shared" si="4"/>
        <v>7180.249999999999</v>
      </c>
      <c r="F45" s="242">
        <v>0</v>
      </c>
      <c r="G45" s="243" t="s">
        <v>197</v>
      </c>
      <c r="H45" s="244">
        <v>0</v>
      </c>
      <c r="I45" s="244">
        <v>50</v>
      </c>
      <c r="J45" s="244">
        <v>4.1</v>
      </c>
      <c r="K45" s="244">
        <v>800</v>
      </c>
      <c r="L45" s="244">
        <v>10.1</v>
      </c>
      <c r="M45" s="245"/>
      <c r="N45" s="246"/>
      <c r="O45" s="36"/>
      <c r="P45" s="36"/>
      <c r="Q45" s="36"/>
      <c r="R45" s="36"/>
      <c r="S45" s="36"/>
      <c r="T45" s="36"/>
      <c r="U45" s="36"/>
      <c r="V45" s="36"/>
      <c r="W45" s="36"/>
      <c r="X45" s="36"/>
      <c r="Y45" s="36"/>
      <c r="Z45" s="36"/>
      <c r="AA45" s="36"/>
      <c r="AB45" s="36"/>
      <c r="AC45" s="36"/>
      <c r="AD45" s="36"/>
    </row>
    <row r="46" spans="1:41" ht="12.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row>
    <row r="47" spans="1:41" ht="12.75" customHeight="1" thickBo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ht="12.75" customHeight="1" thickBot="1">
      <c r="A48" s="64" t="s">
        <v>870</v>
      </c>
      <c r="B48" s="37"/>
      <c r="C48" s="37"/>
      <c r="D48" s="38"/>
      <c r="E48"/>
      <c r="F48"/>
      <c r="G48"/>
      <c r="H48"/>
      <c r="I48"/>
      <c r="J48"/>
      <c r="K48"/>
      <c r="L48"/>
      <c r="M48"/>
      <c r="N48"/>
      <c r="O48"/>
      <c r="P48"/>
      <c r="Q48"/>
      <c r="R48"/>
      <c r="S48"/>
      <c r="T48"/>
      <c r="U48"/>
      <c r="V48"/>
      <c r="W48"/>
      <c r="X48"/>
      <c r="Y48"/>
      <c r="Z48"/>
      <c r="AA48"/>
      <c r="AB48"/>
      <c r="AC48"/>
      <c r="AD48"/>
      <c r="AE48"/>
      <c r="AF48"/>
      <c r="AG48"/>
      <c r="AH48"/>
      <c r="AI48"/>
      <c r="AJ48"/>
      <c r="AK48"/>
      <c r="AL48"/>
      <c r="AM48"/>
      <c r="AN48"/>
      <c r="AO48"/>
    </row>
    <row r="49" spans="1:41" ht="12.75" customHeight="1" thickBot="1">
      <c r="A49" s="39" t="s">
        <v>128</v>
      </c>
      <c r="B49" s="40"/>
      <c r="C49" s="41" t="s">
        <v>78</v>
      </c>
      <c r="D49" s="43"/>
      <c r="E49" s="43"/>
      <c r="F49" s="43"/>
      <c r="G49" s="43"/>
      <c r="H49" s="43"/>
      <c r="I49" s="43"/>
      <c r="J49" s="42"/>
      <c r="K49" s="41" t="s">
        <v>45</v>
      </c>
      <c r="L49" s="43"/>
      <c r="M49" s="42"/>
      <c r="N49" s="41" t="s">
        <v>46</v>
      </c>
      <c r="O49" s="43"/>
      <c r="P49" s="43"/>
      <c r="Q49" s="42"/>
      <c r="R49" s="41" t="s">
        <v>47</v>
      </c>
      <c r="S49" s="42"/>
      <c r="T49" s="41" t="s">
        <v>48</v>
      </c>
      <c r="U49" s="43"/>
      <c r="V49" s="43"/>
      <c r="W49" s="43"/>
      <c r="X49" s="42"/>
      <c r="Y49" s="41" t="s">
        <v>49</v>
      </c>
      <c r="Z49" s="43"/>
      <c r="AA49" s="43"/>
      <c r="AB49" s="43"/>
      <c r="AC49" s="42"/>
      <c r="AD49" s="41" t="s">
        <v>79</v>
      </c>
      <c r="AE49" s="43"/>
      <c r="AF49" s="43"/>
      <c r="AG49" s="43"/>
      <c r="AH49" s="43"/>
      <c r="AI49" s="42"/>
      <c r="AJ49" s="41" t="s">
        <v>80</v>
      </c>
      <c r="AK49" s="43"/>
      <c r="AL49" s="43"/>
      <c r="AM49" s="43"/>
      <c r="AN49" s="43"/>
      <c r="AO49" s="42"/>
    </row>
    <row r="50" spans="1:41" ht="51">
      <c r="A50" s="44" t="s">
        <v>51</v>
      </c>
      <c r="B50" s="45" t="s">
        <v>52</v>
      </c>
      <c r="C50" s="46" t="s">
        <v>81</v>
      </c>
      <c r="D50" s="46" t="s">
        <v>82</v>
      </c>
      <c r="E50" s="46" t="s">
        <v>83</v>
      </c>
      <c r="F50" s="46" t="s">
        <v>84</v>
      </c>
      <c r="G50" s="46" t="s">
        <v>147</v>
      </c>
      <c r="H50" s="46" t="s">
        <v>86</v>
      </c>
      <c r="I50" s="46" t="s">
        <v>87</v>
      </c>
      <c r="J50" s="46" t="s">
        <v>88</v>
      </c>
      <c r="K50" s="46" t="s">
        <v>89</v>
      </c>
      <c r="L50" s="46" t="s">
        <v>90</v>
      </c>
      <c r="M50" s="46" t="s">
        <v>91</v>
      </c>
      <c r="N50" s="46" t="s">
        <v>20</v>
      </c>
      <c r="O50" s="46" t="s">
        <v>21</v>
      </c>
      <c r="P50" s="46" t="s">
        <v>22</v>
      </c>
      <c r="Q50" s="46" t="s">
        <v>4</v>
      </c>
      <c r="R50" s="46" t="s">
        <v>53</v>
      </c>
      <c r="S50" s="46" t="s">
        <v>4</v>
      </c>
      <c r="T50" s="46" t="s">
        <v>20</v>
      </c>
      <c r="U50" s="46" t="s">
        <v>21</v>
      </c>
      <c r="V50" s="46" t="s">
        <v>22</v>
      </c>
      <c r="W50" s="46" t="s">
        <v>4</v>
      </c>
      <c r="X50" s="46" t="s">
        <v>57</v>
      </c>
      <c r="Y50" s="46" t="s">
        <v>20</v>
      </c>
      <c r="Z50" s="46" t="s">
        <v>21</v>
      </c>
      <c r="AA50" s="46" t="s">
        <v>22</v>
      </c>
      <c r="AB50" s="46" t="s">
        <v>4</v>
      </c>
      <c r="AC50" s="46" t="s">
        <v>57</v>
      </c>
      <c r="AD50" s="46" t="s">
        <v>92</v>
      </c>
      <c r="AE50" s="46" t="s">
        <v>93</v>
      </c>
      <c r="AF50" s="46" t="s">
        <v>56</v>
      </c>
      <c r="AG50" s="46" t="s">
        <v>94</v>
      </c>
      <c r="AH50" s="46" t="s">
        <v>95</v>
      </c>
      <c r="AI50" s="46" t="s">
        <v>96</v>
      </c>
      <c r="AJ50" s="46" t="s">
        <v>97</v>
      </c>
      <c r="AK50" s="46" t="s">
        <v>54</v>
      </c>
      <c r="AL50" s="46" t="s">
        <v>55</v>
      </c>
      <c r="AM50" s="46" t="s">
        <v>98</v>
      </c>
      <c r="AN50" s="46" t="s">
        <v>99</v>
      </c>
      <c r="AO50" s="46" t="s">
        <v>100</v>
      </c>
    </row>
    <row r="51" spans="1:41" ht="12.75" customHeight="1">
      <c r="A51" t="s">
        <v>445</v>
      </c>
      <c r="B51" t="s">
        <v>445</v>
      </c>
      <c r="C51" s="36">
        <v>20</v>
      </c>
      <c r="D51" s="36">
        <v>1800</v>
      </c>
      <c r="E51" s="36">
        <v>3850</v>
      </c>
      <c r="F51" s="36">
        <v>0</v>
      </c>
      <c r="G51" s="36">
        <v>602.8137817382812</v>
      </c>
      <c r="H51" s="36" t="s">
        <v>188</v>
      </c>
      <c r="I51" s="36">
        <v>10.43</v>
      </c>
      <c r="J51" s="36">
        <v>0.5099999904632568</v>
      </c>
      <c r="K51" s="36">
        <v>1937.25</v>
      </c>
      <c r="L51" s="47">
        <v>0.010813528344266672</v>
      </c>
      <c r="M51" s="36">
        <v>0.021202997149949433</v>
      </c>
      <c r="N51" s="36"/>
      <c r="O51" s="36"/>
      <c r="P51" s="36">
        <v>3850.0008215199473</v>
      </c>
      <c r="Q51" s="36">
        <v>0</v>
      </c>
      <c r="R51" s="36">
        <v>0</v>
      </c>
      <c r="S51" s="36">
        <v>0</v>
      </c>
      <c r="T51" s="36">
        <v>0</v>
      </c>
      <c r="U51" s="36">
        <v>0</v>
      </c>
      <c r="V51" s="36">
        <v>3850.0008215199473</v>
      </c>
      <c r="W51" s="36">
        <v>602.8137967876658</v>
      </c>
      <c r="X51" s="36">
        <v>4452.814618307613</v>
      </c>
      <c r="Y51" s="36">
        <v>0</v>
      </c>
      <c r="Z51" s="36">
        <v>0</v>
      </c>
      <c r="AA51" s="36">
        <v>156.10755920410156</v>
      </c>
      <c r="AB51" s="36">
        <v>24.442537307739258</v>
      </c>
      <c r="AC51" s="36">
        <v>180.55009271879126</v>
      </c>
      <c r="AD51" s="36">
        <v>941.061748555513</v>
      </c>
      <c r="AE51" s="36">
        <v>0.4129903564664626</v>
      </c>
      <c r="AF51" s="36">
        <v>0</v>
      </c>
      <c r="AG51" s="36">
        <v>941.4560114202637</v>
      </c>
      <c r="AH51" s="36">
        <v>3850.0008215199473</v>
      </c>
      <c r="AI51" s="56">
        <v>0.244533976761227</v>
      </c>
      <c r="AJ51" s="36">
        <v>5.398566246032715</v>
      </c>
      <c r="AK51" s="36">
        <v>0</v>
      </c>
      <c r="AL51" s="36">
        <v>0</v>
      </c>
      <c r="AM51" s="36">
        <v>946.8545532226562</v>
      </c>
      <c r="AN51" s="36">
        <v>4452.814618307613</v>
      </c>
      <c r="AO51" s="56">
        <v>0.21264180541038513</v>
      </c>
    </row>
    <row r="52" spans="1:41" ht="12.75" customHeight="1">
      <c r="A52" t="s">
        <v>446</v>
      </c>
      <c r="B52" t="s">
        <v>446</v>
      </c>
      <c r="C52" s="36">
        <v>20</v>
      </c>
      <c r="D52" s="36">
        <v>1900</v>
      </c>
      <c r="E52" s="36">
        <v>3850</v>
      </c>
      <c r="F52" s="36">
        <v>0</v>
      </c>
      <c r="G52" s="36">
        <v>602.8137817382812</v>
      </c>
      <c r="H52" s="36" t="s">
        <v>189</v>
      </c>
      <c r="I52" s="36">
        <v>8.44</v>
      </c>
      <c r="J52" s="36">
        <v>0.5699999928474426</v>
      </c>
      <c r="K52" s="36">
        <v>2044.875</v>
      </c>
      <c r="L52" s="47">
        <v>0.015765039486002646</v>
      </c>
      <c r="M52" s="36">
        <v>0.027657964357592674</v>
      </c>
      <c r="N52" s="36"/>
      <c r="O52" s="36"/>
      <c r="P52" s="36">
        <v>3850.0008215199473</v>
      </c>
      <c r="Q52" s="36">
        <v>0</v>
      </c>
      <c r="R52" s="36">
        <v>0</v>
      </c>
      <c r="S52" s="36">
        <v>0</v>
      </c>
      <c r="T52" s="36">
        <v>0</v>
      </c>
      <c r="U52" s="36">
        <v>0</v>
      </c>
      <c r="V52" s="36">
        <v>3850.0008215199473</v>
      </c>
      <c r="W52" s="36">
        <v>602.8137967876658</v>
      </c>
      <c r="X52" s="36">
        <v>4452.814618307613</v>
      </c>
      <c r="Y52" s="36">
        <v>0</v>
      </c>
      <c r="Z52" s="36">
        <v>0</v>
      </c>
      <c r="AA52" s="36">
        <v>147.89137268066406</v>
      </c>
      <c r="AB52" s="36">
        <v>23.15608787536621</v>
      </c>
      <c r="AC52" s="36">
        <v>171.0474562599075</v>
      </c>
      <c r="AD52" s="36">
        <v>992.821120551732</v>
      </c>
      <c r="AE52" s="36">
        <v>0.6020985075129637</v>
      </c>
      <c r="AF52" s="36">
        <v>0</v>
      </c>
      <c r="AG52" s="36">
        <v>993.3959162551118</v>
      </c>
      <c r="AH52" s="36">
        <v>3850.0008215199473</v>
      </c>
      <c r="AI52" s="56">
        <v>0.2580248582552062</v>
      </c>
      <c r="AJ52" s="36">
        <v>7.042087554931641</v>
      </c>
      <c r="AK52" s="36">
        <v>0</v>
      </c>
      <c r="AL52" s="36">
        <v>0</v>
      </c>
      <c r="AM52" s="36">
        <v>1000.43798828125</v>
      </c>
      <c r="AN52" s="36">
        <v>4452.814618307613</v>
      </c>
      <c r="AO52" s="56">
        <v>0.22467541694641113</v>
      </c>
    </row>
    <row r="53" spans="1:41" ht="12.75" customHeight="1">
      <c r="A53" t="s">
        <v>447</v>
      </c>
      <c r="B53" t="s">
        <v>447</v>
      </c>
      <c r="C53" s="36">
        <v>20</v>
      </c>
      <c r="D53" s="36">
        <v>2200</v>
      </c>
      <c r="E53" s="36">
        <v>3850</v>
      </c>
      <c r="F53" s="36">
        <v>0</v>
      </c>
      <c r="G53" s="36">
        <v>602.8137817382812</v>
      </c>
      <c r="H53" s="36" t="s">
        <v>190</v>
      </c>
      <c r="I53" s="36">
        <v>5.08</v>
      </c>
      <c r="J53" s="36">
        <v>0.44999998807907104</v>
      </c>
      <c r="K53" s="36">
        <v>2367.75</v>
      </c>
      <c r="L53" s="47">
        <v>0.023943108253654324</v>
      </c>
      <c r="M53" s="36">
        <v>0.053206908639844674</v>
      </c>
      <c r="N53" s="36"/>
      <c r="O53" s="36"/>
      <c r="P53" s="36">
        <v>3850.0008215199473</v>
      </c>
      <c r="Q53" s="36">
        <v>0</v>
      </c>
      <c r="R53" s="36">
        <v>0</v>
      </c>
      <c r="S53" s="36">
        <v>0</v>
      </c>
      <c r="T53" s="36">
        <v>0</v>
      </c>
      <c r="U53" s="36">
        <v>0</v>
      </c>
      <c r="V53" s="36">
        <v>3850.0008215199473</v>
      </c>
      <c r="W53" s="36">
        <v>602.8137967876658</v>
      </c>
      <c r="X53" s="36">
        <v>4452.814618307613</v>
      </c>
      <c r="Y53" s="36">
        <v>0</v>
      </c>
      <c r="Z53" s="36">
        <v>0</v>
      </c>
      <c r="AA53" s="36">
        <v>127.724365234375</v>
      </c>
      <c r="AB53" s="36">
        <v>19.99843978881836</v>
      </c>
      <c r="AC53" s="36">
        <v>147.72280313355645</v>
      </c>
      <c r="AD53" s="36">
        <v>1149.582350112532</v>
      </c>
      <c r="AE53" s="36">
        <v>0.9144353718584887</v>
      </c>
      <c r="AF53" s="36">
        <v>0</v>
      </c>
      <c r="AG53" s="36">
        <v>1150.4553194293535</v>
      </c>
      <c r="AH53" s="36">
        <v>3850.0008215199473</v>
      </c>
      <c r="AI53" s="56">
        <v>0.2988194997254997</v>
      </c>
      <c r="AJ53" s="36">
        <v>13.547192573547363</v>
      </c>
      <c r="AK53" s="36">
        <v>0</v>
      </c>
      <c r="AL53" s="36">
        <v>0</v>
      </c>
      <c r="AM53" s="36">
        <v>1164.0025634765625</v>
      </c>
      <c r="AN53" s="36">
        <v>4452.814618307613</v>
      </c>
      <c r="AO53" s="56">
        <v>0.261408269405365</v>
      </c>
    </row>
    <row r="54" spans="1:41" ht="12.75" customHeight="1">
      <c r="A54" t="s">
        <v>448</v>
      </c>
      <c r="B54" t="s">
        <v>448</v>
      </c>
      <c r="C54" s="36">
        <v>20</v>
      </c>
      <c r="D54" s="36">
        <v>2500</v>
      </c>
      <c r="E54" s="36">
        <v>3850</v>
      </c>
      <c r="F54" s="36">
        <v>0</v>
      </c>
      <c r="G54" s="36">
        <v>602.8137817382812</v>
      </c>
      <c r="H54" s="36" t="s">
        <v>191</v>
      </c>
      <c r="I54" s="36">
        <v>4.35</v>
      </c>
      <c r="J54" s="36">
        <v>0.30000001192092896</v>
      </c>
      <c r="K54" s="36">
        <v>2690.6249999999995</v>
      </c>
      <c r="L54" s="47">
        <v>0.021182688607430573</v>
      </c>
      <c r="M54" s="36">
        <v>0.07060895921902062</v>
      </c>
      <c r="N54" s="36"/>
      <c r="O54" s="36"/>
      <c r="P54" s="36">
        <v>3850.0008215199473</v>
      </c>
      <c r="Q54" s="36">
        <v>0</v>
      </c>
      <c r="R54" s="36">
        <v>0</v>
      </c>
      <c r="S54" s="36">
        <v>0</v>
      </c>
      <c r="T54" s="36">
        <v>0</v>
      </c>
      <c r="U54" s="36">
        <v>0</v>
      </c>
      <c r="V54" s="36">
        <v>3850.0008215199473</v>
      </c>
      <c r="W54" s="36">
        <v>602.8137967876658</v>
      </c>
      <c r="X54" s="36">
        <v>4452.814618307613</v>
      </c>
      <c r="Y54" s="36">
        <v>0</v>
      </c>
      <c r="Z54" s="36">
        <v>0</v>
      </c>
      <c r="AA54" s="36">
        <v>112.3974380493164</v>
      </c>
      <c r="AB54" s="36">
        <v>17.5986270904541</v>
      </c>
      <c r="AC54" s="36">
        <v>129.99606675752972</v>
      </c>
      <c r="AD54" s="36">
        <v>1319.1362926759766</v>
      </c>
      <c r="AE54" s="36">
        <v>0.8090094038121374</v>
      </c>
      <c r="AF54" s="36">
        <v>0</v>
      </c>
      <c r="AG54" s="36">
        <v>1319.9086166786153</v>
      </c>
      <c r="AH54" s="36">
        <v>3850.0008215199473</v>
      </c>
      <c r="AI54" s="56">
        <v>0.34283333377511505</v>
      </c>
      <c r="AJ54" s="36">
        <v>17.977985382080078</v>
      </c>
      <c r="AK54" s="36">
        <v>0</v>
      </c>
      <c r="AL54" s="36">
        <v>0</v>
      </c>
      <c r="AM54" s="36">
        <v>1337.8865966796875</v>
      </c>
      <c r="AN54" s="36">
        <v>4452.814618307613</v>
      </c>
      <c r="AO54" s="56">
        <v>0.3004586398601532</v>
      </c>
    </row>
    <row r="55" spans="1:41" ht="12.75" customHeight="1">
      <c r="A55" t="s">
        <v>449</v>
      </c>
      <c r="B55" t="s">
        <v>449</v>
      </c>
      <c r="C55" s="36">
        <v>20</v>
      </c>
      <c r="D55" s="36">
        <v>2600</v>
      </c>
      <c r="E55" s="36">
        <v>3850</v>
      </c>
      <c r="F55" s="36">
        <v>0</v>
      </c>
      <c r="G55" s="36">
        <v>602.8137817382812</v>
      </c>
      <c r="H55" s="36" t="s">
        <v>192</v>
      </c>
      <c r="I55" s="36">
        <v>3.35</v>
      </c>
      <c r="J55" s="36">
        <v>0.23999999463558197</v>
      </c>
      <c r="K55" s="36">
        <v>2798.25</v>
      </c>
      <c r="L55" s="47">
        <v>0.0228848901038989</v>
      </c>
      <c r="M55" s="36">
        <v>0.09535371089756695</v>
      </c>
      <c r="N55" s="36"/>
      <c r="O55" s="36"/>
      <c r="P55" s="36">
        <v>3850.0008215199473</v>
      </c>
      <c r="Q55" s="36">
        <v>0</v>
      </c>
      <c r="R55" s="36">
        <v>0</v>
      </c>
      <c r="S55" s="36">
        <v>0</v>
      </c>
      <c r="T55" s="36">
        <v>0</v>
      </c>
      <c r="U55" s="36">
        <v>0</v>
      </c>
      <c r="V55" s="36">
        <v>3850.0008215199473</v>
      </c>
      <c r="W55" s="36">
        <v>602.8137967876658</v>
      </c>
      <c r="X55" s="36">
        <v>4452.814618307613</v>
      </c>
      <c r="Y55" s="36">
        <v>0</v>
      </c>
      <c r="Z55" s="36">
        <v>0</v>
      </c>
      <c r="AA55" s="36">
        <v>108.074462890625</v>
      </c>
      <c r="AB55" s="36">
        <v>16.921756744384766</v>
      </c>
      <c r="AC55" s="36">
        <v>124.99621803608626</v>
      </c>
      <c r="AD55" s="36">
        <v>1358.5973228602616</v>
      </c>
      <c r="AE55" s="36">
        <v>0.8740198962641157</v>
      </c>
      <c r="AF55" s="36">
        <v>0</v>
      </c>
      <c r="AG55" s="36">
        <v>1359.4317093846798</v>
      </c>
      <c r="AH55" s="36">
        <v>3850.0008215199473</v>
      </c>
      <c r="AI55" s="56">
        <v>0.35309906994980533</v>
      </c>
      <c r="AJ55" s="36">
        <v>24.278329849243164</v>
      </c>
      <c r="AK55" s="36">
        <v>0</v>
      </c>
      <c r="AL55" s="36">
        <v>0</v>
      </c>
      <c r="AM55" s="36">
        <v>1383.7100830078125</v>
      </c>
      <c r="AN55" s="36">
        <v>4452.814618307613</v>
      </c>
      <c r="AO55" s="56">
        <v>0.31074953079223633</v>
      </c>
    </row>
    <row r="56" spans="1:41" ht="12.75" customHeight="1">
      <c r="A56" t="s">
        <v>450</v>
      </c>
      <c r="B56" t="s">
        <v>450</v>
      </c>
      <c r="C56" s="36">
        <v>20</v>
      </c>
      <c r="D56" s="36">
        <v>1800</v>
      </c>
      <c r="E56" s="36">
        <v>3850</v>
      </c>
      <c r="F56" s="36">
        <v>0</v>
      </c>
      <c r="G56" s="36">
        <v>602.8137817382812</v>
      </c>
      <c r="H56" s="36" t="s">
        <v>193</v>
      </c>
      <c r="I56" s="36">
        <v>2.47</v>
      </c>
      <c r="J56" s="36">
        <v>0.33000001311302185</v>
      </c>
      <c r="K56" s="36">
        <v>1937.25</v>
      </c>
      <c r="L56" s="47">
        <v>0.02954599141308494</v>
      </c>
      <c r="M56" s="36">
        <v>0.08953330375464476</v>
      </c>
      <c r="N56" s="36"/>
      <c r="O56" s="36"/>
      <c r="P56" s="36">
        <v>3850.0008215199473</v>
      </c>
      <c r="Q56" s="36">
        <v>0</v>
      </c>
      <c r="R56" s="36">
        <v>0</v>
      </c>
      <c r="S56" s="36">
        <v>0</v>
      </c>
      <c r="T56" s="36">
        <v>0</v>
      </c>
      <c r="U56" s="36">
        <v>0</v>
      </c>
      <c r="V56" s="36">
        <v>3850.0008215199473</v>
      </c>
      <c r="W56" s="36">
        <v>602.8137967876658</v>
      </c>
      <c r="X56" s="36">
        <v>4452.814618307613</v>
      </c>
      <c r="Y56" s="36">
        <v>0</v>
      </c>
      <c r="Z56" s="36">
        <v>0</v>
      </c>
      <c r="AA56" s="36">
        <v>156.10755920410156</v>
      </c>
      <c r="AB56" s="36">
        <v>24.442537307739258</v>
      </c>
      <c r="AC56" s="36">
        <v>180.55009271879126</v>
      </c>
      <c r="AD56" s="36">
        <v>941.061748555513</v>
      </c>
      <c r="AE56" s="36">
        <v>1.1284207279407186</v>
      </c>
      <c r="AF56" s="36">
        <v>0</v>
      </c>
      <c r="AG56" s="36">
        <v>942.1389998323917</v>
      </c>
      <c r="AH56" s="36">
        <v>3850.0008215199473</v>
      </c>
      <c r="AI56" s="56">
        <v>0.2447113763109389</v>
      </c>
      <c r="AJ56" s="36">
        <v>22.796375274658203</v>
      </c>
      <c r="AK56" s="36">
        <v>0</v>
      </c>
      <c r="AL56" s="36">
        <v>0</v>
      </c>
      <c r="AM56" s="36">
        <v>964.9353637695312</v>
      </c>
      <c r="AN56" s="36">
        <v>4452.814618307613</v>
      </c>
      <c r="AO56" s="56">
        <v>0.21670234203338623</v>
      </c>
    </row>
    <row r="57" spans="1:41" ht="12.75" customHeight="1">
      <c r="A57" t="s">
        <v>451</v>
      </c>
      <c r="B57" t="s">
        <v>451</v>
      </c>
      <c r="C57" s="36">
        <v>20</v>
      </c>
      <c r="D57" s="36">
        <v>1900</v>
      </c>
      <c r="E57" s="36">
        <v>3850</v>
      </c>
      <c r="F57" s="36">
        <v>0</v>
      </c>
      <c r="G57" s="36">
        <v>602.8137817382812</v>
      </c>
      <c r="H57" s="36" t="s">
        <v>194</v>
      </c>
      <c r="I57" s="36">
        <v>2.57</v>
      </c>
      <c r="J57" s="36">
        <v>0.36000001430511475</v>
      </c>
      <c r="K57" s="36">
        <v>2044.875</v>
      </c>
      <c r="L57" s="47">
        <v>0.032698817993540304</v>
      </c>
      <c r="M57" s="36">
        <v>0.09083004637279463</v>
      </c>
      <c r="N57" s="36"/>
      <c r="O57" s="36"/>
      <c r="P57" s="36">
        <v>3850.0008215199473</v>
      </c>
      <c r="Q57" s="36">
        <v>0</v>
      </c>
      <c r="R57" s="36">
        <v>0</v>
      </c>
      <c r="S57" s="36">
        <v>0</v>
      </c>
      <c r="T57" s="36">
        <v>0</v>
      </c>
      <c r="U57" s="36">
        <v>0</v>
      </c>
      <c r="V57" s="36">
        <v>3850.0008215199473</v>
      </c>
      <c r="W57" s="36">
        <v>602.8137967876658</v>
      </c>
      <c r="X57" s="36">
        <v>4452.814618307613</v>
      </c>
      <c r="Y57" s="36">
        <v>0</v>
      </c>
      <c r="Z57" s="36">
        <v>0</v>
      </c>
      <c r="AA57" s="36">
        <v>147.89137268066406</v>
      </c>
      <c r="AB57" s="36">
        <v>23.15608787536621</v>
      </c>
      <c r="AC57" s="36">
        <v>171.0474562599075</v>
      </c>
      <c r="AD57" s="36">
        <v>992.821120551732</v>
      </c>
      <c r="AE57" s="36">
        <v>1.2488335045928058</v>
      </c>
      <c r="AF57" s="36">
        <v>0</v>
      </c>
      <c r="AG57" s="36">
        <v>994.013324358451</v>
      </c>
      <c r="AH57" s="36">
        <v>3850.0008215199473</v>
      </c>
      <c r="AI57" s="56">
        <v>0.25818522396211413</v>
      </c>
      <c r="AJ57" s="36">
        <v>23.126544952392578</v>
      </c>
      <c r="AK57" s="36">
        <v>0</v>
      </c>
      <c r="AL57" s="36">
        <v>0</v>
      </c>
      <c r="AM57" s="36">
        <v>1017.139892578125</v>
      </c>
      <c r="AN57" s="36">
        <v>4452.814618307613</v>
      </c>
      <c r="AO57" s="56">
        <v>0.2284262776374817</v>
      </c>
    </row>
    <row r="58" spans="1:41" ht="12.75" customHeight="1">
      <c r="A58" t="s">
        <v>452</v>
      </c>
      <c r="B58" t="s">
        <v>452</v>
      </c>
      <c r="C58" s="36">
        <v>20</v>
      </c>
      <c r="D58" s="36">
        <v>2200</v>
      </c>
      <c r="E58" s="36">
        <v>3850</v>
      </c>
      <c r="F58" s="36">
        <v>0</v>
      </c>
      <c r="G58" s="36">
        <v>602.8137817382812</v>
      </c>
      <c r="H58" s="36" t="s">
        <v>195</v>
      </c>
      <c r="I58" s="36">
        <v>1.8</v>
      </c>
      <c r="J58" s="36">
        <v>0.25999999046325684</v>
      </c>
      <c r="K58" s="36">
        <v>2367.75</v>
      </c>
      <c r="L58" s="47">
        <v>0.039042045752116714</v>
      </c>
      <c r="M58" s="36">
        <v>0.1501617199391172</v>
      </c>
      <c r="N58" s="36"/>
      <c r="O58" s="36"/>
      <c r="P58" s="36">
        <v>3850.0008215199473</v>
      </c>
      <c r="Q58" s="36">
        <v>0</v>
      </c>
      <c r="R58" s="36">
        <v>0</v>
      </c>
      <c r="S58" s="36">
        <v>0</v>
      </c>
      <c r="T58" s="36">
        <v>0</v>
      </c>
      <c r="U58" s="36">
        <v>0</v>
      </c>
      <c r="V58" s="36">
        <v>3850.0008215199473</v>
      </c>
      <c r="W58" s="36">
        <v>602.8137967876658</v>
      </c>
      <c r="X58" s="36">
        <v>4452.814618307613</v>
      </c>
      <c r="Y58" s="36">
        <v>0</v>
      </c>
      <c r="Z58" s="36">
        <v>0</v>
      </c>
      <c r="AA58" s="36">
        <v>127.724365234375</v>
      </c>
      <c r="AB58" s="36">
        <v>19.99843978881836</v>
      </c>
      <c r="AC58" s="36">
        <v>147.72280313355645</v>
      </c>
      <c r="AD58" s="36">
        <v>1149.582350112532</v>
      </c>
      <c r="AE58" s="36">
        <v>1.49109410721576</v>
      </c>
      <c r="AF58" s="36">
        <v>0</v>
      </c>
      <c r="AG58" s="36">
        <v>1151.005828954396</v>
      </c>
      <c r="AH58" s="36">
        <v>3850.0008215199473</v>
      </c>
      <c r="AI58" s="56">
        <v>0.2989624891820124</v>
      </c>
      <c r="AJ58" s="36">
        <v>38.233184814453125</v>
      </c>
      <c r="AK58" s="36">
        <v>0</v>
      </c>
      <c r="AL58" s="36">
        <v>0</v>
      </c>
      <c r="AM58" s="36">
        <v>1189.239013671875</v>
      </c>
      <c r="AN58" s="36">
        <v>4452.814618307613</v>
      </c>
      <c r="AO58" s="56">
        <v>0.2670758068561554</v>
      </c>
    </row>
    <row r="59" spans="1:41" ht="12.75" customHeight="1">
      <c r="A59" t="s">
        <v>453</v>
      </c>
      <c r="B59" t="s">
        <v>453</v>
      </c>
      <c r="C59" s="36">
        <v>20</v>
      </c>
      <c r="D59" s="36">
        <v>2500</v>
      </c>
      <c r="E59" s="36">
        <v>3850</v>
      </c>
      <c r="F59" s="36">
        <v>0</v>
      </c>
      <c r="G59" s="36">
        <v>602.8137817382812</v>
      </c>
      <c r="H59" s="36" t="s">
        <v>196</v>
      </c>
      <c r="I59" s="36">
        <v>2.44</v>
      </c>
      <c r="J59" s="36">
        <v>0.4099999964237213</v>
      </c>
      <c r="K59" s="36">
        <v>2690.6249999999995</v>
      </c>
      <c r="L59" s="47">
        <v>0.051611097405193825</v>
      </c>
      <c r="M59" s="36">
        <v>0.12588072647653265</v>
      </c>
      <c r="N59" s="36"/>
      <c r="O59" s="36"/>
      <c r="P59" s="36">
        <v>3850.0008215199473</v>
      </c>
      <c r="Q59" s="36">
        <v>0</v>
      </c>
      <c r="R59" s="36">
        <v>0</v>
      </c>
      <c r="S59" s="36">
        <v>0</v>
      </c>
      <c r="T59" s="36">
        <v>0</v>
      </c>
      <c r="U59" s="36">
        <v>0</v>
      </c>
      <c r="V59" s="36">
        <v>3850.0008215199473</v>
      </c>
      <c r="W59" s="36">
        <v>602.8137967876658</v>
      </c>
      <c r="X59" s="36">
        <v>4452.814618307613</v>
      </c>
      <c r="Y59" s="36">
        <v>0</v>
      </c>
      <c r="Z59" s="36">
        <v>0</v>
      </c>
      <c r="AA59" s="36">
        <v>112.3974380493164</v>
      </c>
      <c r="AB59" s="36">
        <v>17.5986270904541</v>
      </c>
      <c r="AC59" s="36">
        <v>129.99606675752972</v>
      </c>
      <c r="AD59" s="36">
        <v>1319.1362926759766</v>
      </c>
      <c r="AE59" s="36">
        <v>1.9711314231952302</v>
      </c>
      <c r="AF59" s="36">
        <v>0</v>
      </c>
      <c r="AG59" s="36">
        <v>1321.018041025644</v>
      </c>
      <c r="AH59" s="36">
        <v>3850.0008215199473</v>
      </c>
      <c r="AI59" s="56">
        <v>0.3431214958816859</v>
      </c>
      <c r="AJ59" s="36">
        <v>32.05091857910156</v>
      </c>
      <c r="AK59" s="36">
        <v>0</v>
      </c>
      <c r="AL59" s="36">
        <v>0</v>
      </c>
      <c r="AM59" s="36">
        <v>1353.0689697265625</v>
      </c>
      <c r="AN59" s="36">
        <v>4452.814618307613</v>
      </c>
      <c r="AO59" s="56">
        <v>0.30386823415756226</v>
      </c>
    </row>
    <row r="60" spans="1:41" ht="12.75" customHeight="1">
      <c r="A60" t="s">
        <v>454</v>
      </c>
      <c r="B60" t="s">
        <v>454</v>
      </c>
      <c r="C60" s="36">
        <v>20</v>
      </c>
      <c r="D60" s="36">
        <v>2600</v>
      </c>
      <c r="E60" s="36">
        <v>3850</v>
      </c>
      <c r="F60" s="36">
        <v>0</v>
      </c>
      <c r="G60" s="36">
        <v>602.8137817382812</v>
      </c>
      <c r="H60" s="36" t="s">
        <v>197</v>
      </c>
      <c r="I60" s="36">
        <v>2.56</v>
      </c>
      <c r="J60" s="36">
        <v>0.4300000071525574</v>
      </c>
      <c r="K60" s="36">
        <v>2798.25</v>
      </c>
      <c r="L60" s="47">
        <v>0.05365508704403198</v>
      </c>
      <c r="M60" s="36">
        <v>0.12477927011986299</v>
      </c>
      <c r="N60" s="36"/>
      <c r="O60" s="36"/>
      <c r="P60" s="36">
        <v>3850.0008215199473</v>
      </c>
      <c r="Q60" s="36">
        <v>0</v>
      </c>
      <c r="R60" s="36">
        <v>0</v>
      </c>
      <c r="S60" s="36">
        <v>0</v>
      </c>
      <c r="T60" s="36">
        <v>0</v>
      </c>
      <c r="U60" s="36">
        <v>0</v>
      </c>
      <c r="V60" s="36">
        <v>3850.0008215199473</v>
      </c>
      <c r="W60" s="36">
        <v>602.8137967876658</v>
      </c>
      <c r="X60" s="36">
        <v>4452.814618307613</v>
      </c>
      <c r="Y60" s="36">
        <v>0</v>
      </c>
      <c r="Z60" s="36">
        <v>0</v>
      </c>
      <c r="AA60" s="36">
        <v>108.074462890625</v>
      </c>
      <c r="AB60" s="36">
        <v>16.921756744384766</v>
      </c>
      <c r="AC60" s="36">
        <v>124.99621803608626</v>
      </c>
      <c r="AD60" s="36">
        <v>1358.5973228602616</v>
      </c>
      <c r="AE60" s="36">
        <v>2.0491954909705816</v>
      </c>
      <c r="AF60" s="36">
        <v>0</v>
      </c>
      <c r="AG60" s="36">
        <v>1360.5535953786252</v>
      </c>
      <c r="AH60" s="36">
        <v>3850.0008215199473</v>
      </c>
      <c r="AI60" s="56">
        <v>0.35339046884709246</v>
      </c>
      <c r="AJ60" s="36">
        <v>31.77047348022461</v>
      </c>
      <c r="AK60" s="36">
        <v>0</v>
      </c>
      <c r="AL60" s="36">
        <v>0</v>
      </c>
      <c r="AM60" s="36">
        <v>1392.3240966796875</v>
      </c>
      <c r="AN60" s="36">
        <v>4452.814618307613</v>
      </c>
      <c r="AO60" s="56">
        <v>0.3126840591430664</v>
      </c>
    </row>
    <row r="61" spans="1:41" ht="12.75" customHeight="1">
      <c r="A61" t="s">
        <v>415</v>
      </c>
      <c r="B61" t="s">
        <v>415</v>
      </c>
      <c r="C61" s="36">
        <v>20</v>
      </c>
      <c r="D61" s="36">
        <v>1800</v>
      </c>
      <c r="E61" s="36">
        <v>3850</v>
      </c>
      <c r="F61" s="36">
        <v>0</v>
      </c>
      <c r="G61" s="36">
        <v>602.8137817382812</v>
      </c>
      <c r="H61" s="36" t="s">
        <v>188</v>
      </c>
      <c r="I61" s="36">
        <v>10.43</v>
      </c>
      <c r="J61" s="36">
        <v>0.5099999904632568</v>
      </c>
      <c r="K61" s="36">
        <v>1937.25</v>
      </c>
      <c r="L61" s="47">
        <v>0.010813528344266672</v>
      </c>
      <c r="M61" s="36">
        <v>0.021202997149949433</v>
      </c>
      <c r="N61" s="36"/>
      <c r="O61" s="36"/>
      <c r="P61" s="36">
        <v>3850.0008215199473</v>
      </c>
      <c r="Q61" s="36">
        <v>0</v>
      </c>
      <c r="R61" s="36">
        <v>0</v>
      </c>
      <c r="S61" s="36">
        <v>0</v>
      </c>
      <c r="T61" s="36">
        <v>0</v>
      </c>
      <c r="U61" s="36">
        <v>0</v>
      </c>
      <c r="V61" s="36">
        <v>3850.0008215199473</v>
      </c>
      <c r="W61" s="36">
        <v>602.8137967876658</v>
      </c>
      <c r="X61" s="36">
        <v>4452.814618307613</v>
      </c>
      <c r="Y61" s="36">
        <v>0</v>
      </c>
      <c r="Z61" s="36">
        <v>0</v>
      </c>
      <c r="AA61" s="36">
        <v>156.10755920410156</v>
      </c>
      <c r="AB61" s="36">
        <v>24.442537307739258</v>
      </c>
      <c r="AC61" s="36">
        <v>180.55009271879126</v>
      </c>
      <c r="AD61" s="36">
        <v>941.061748555513</v>
      </c>
      <c r="AE61" s="36">
        <v>0.4129903564664626</v>
      </c>
      <c r="AF61" s="36">
        <v>0</v>
      </c>
      <c r="AG61" s="36">
        <v>941.4560114202637</v>
      </c>
      <c r="AH61" s="36">
        <v>3850.0008215199473</v>
      </c>
      <c r="AI61" s="56">
        <v>0.244533976761227</v>
      </c>
      <c r="AJ61" s="36">
        <v>5.398566246032715</v>
      </c>
      <c r="AK61" s="36">
        <v>0</v>
      </c>
      <c r="AL61" s="36">
        <v>0</v>
      </c>
      <c r="AM61" s="36">
        <v>946.8545532226562</v>
      </c>
      <c r="AN61" s="36">
        <v>4452.814618307613</v>
      </c>
      <c r="AO61" s="56">
        <v>0.21264180541038513</v>
      </c>
    </row>
    <row r="62" spans="1:41" ht="12.75" customHeight="1">
      <c r="A62" t="s">
        <v>416</v>
      </c>
      <c r="B62" t="s">
        <v>416</v>
      </c>
      <c r="C62" s="36">
        <v>20</v>
      </c>
      <c r="D62" s="36">
        <v>1900</v>
      </c>
      <c r="E62" s="36">
        <v>3850</v>
      </c>
      <c r="F62" s="36">
        <v>0</v>
      </c>
      <c r="G62" s="36">
        <v>602.8137817382812</v>
      </c>
      <c r="H62" s="36" t="s">
        <v>189</v>
      </c>
      <c r="I62" s="36">
        <v>8.44</v>
      </c>
      <c r="J62" s="36">
        <v>0.5699999928474426</v>
      </c>
      <c r="K62" s="36">
        <v>2044.875</v>
      </c>
      <c r="L62" s="47">
        <v>0.015765039486002646</v>
      </c>
      <c r="M62" s="36">
        <v>0.027657964357592674</v>
      </c>
      <c r="N62" s="36"/>
      <c r="O62" s="36"/>
      <c r="P62" s="36">
        <v>3850.0008215199473</v>
      </c>
      <c r="Q62" s="36">
        <v>0</v>
      </c>
      <c r="R62" s="36">
        <v>0</v>
      </c>
      <c r="S62" s="36">
        <v>0</v>
      </c>
      <c r="T62" s="36">
        <v>0</v>
      </c>
      <c r="U62" s="36">
        <v>0</v>
      </c>
      <c r="V62" s="36">
        <v>3850.0008215199473</v>
      </c>
      <c r="W62" s="36">
        <v>602.8137967876658</v>
      </c>
      <c r="X62" s="36">
        <v>4452.814618307613</v>
      </c>
      <c r="Y62" s="36">
        <v>0</v>
      </c>
      <c r="Z62" s="36">
        <v>0</v>
      </c>
      <c r="AA62" s="36">
        <v>147.89137268066406</v>
      </c>
      <c r="AB62" s="36">
        <v>23.15608787536621</v>
      </c>
      <c r="AC62" s="36">
        <v>171.0474562599075</v>
      </c>
      <c r="AD62" s="36">
        <v>992.821120551732</v>
      </c>
      <c r="AE62" s="36">
        <v>0.6020985075129637</v>
      </c>
      <c r="AF62" s="36">
        <v>0</v>
      </c>
      <c r="AG62" s="36">
        <v>993.3959162551118</v>
      </c>
      <c r="AH62" s="36">
        <v>3850.0008215199473</v>
      </c>
      <c r="AI62" s="56">
        <v>0.2580248582552062</v>
      </c>
      <c r="AJ62" s="36">
        <v>7.042087554931641</v>
      </c>
      <c r="AK62" s="36">
        <v>0</v>
      </c>
      <c r="AL62" s="36">
        <v>0</v>
      </c>
      <c r="AM62" s="36">
        <v>1000.43798828125</v>
      </c>
      <c r="AN62" s="36">
        <v>4452.814618307613</v>
      </c>
      <c r="AO62" s="56">
        <v>0.22467541694641113</v>
      </c>
    </row>
    <row r="63" spans="1:41" ht="12.75" customHeight="1">
      <c r="A63" t="s">
        <v>417</v>
      </c>
      <c r="B63" t="s">
        <v>417</v>
      </c>
      <c r="C63" s="36">
        <v>20</v>
      </c>
      <c r="D63" s="36">
        <v>2100</v>
      </c>
      <c r="E63" s="36">
        <v>3850</v>
      </c>
      <c r="F63" s="36">
        <v>0</v>
      </c>
      <c r="G63" s="36">
        <v>602.8137817382812</v>
      </c>
      <c r="H63" s="36" t="s">
        <v>190</v>
      </c>
      <c r="I63" s="36">
        <v>5.08</v>
      </c>
      <c r="J63" s="36">
        <v>0.44999998807907104</v>
      </c>
      <c r="K63" s="36">
        <v>2260.125</v>
      </c>
      <c r="L63" s="47">
        <v>0.02285478515121549</v>
      </c>
      <c r="M63" s="36">
        <v>0.050788412792579</v>
      </c>
      <c r="N63" s="36"/>
      <c r="O63" s="36"/>
      <c r="P63" s="36">
        <v>3850.0008215199473</v>
      </c>
      <c r="Q63" s="36">
        <v>0</v>
      </c>
      <c r="R63" s="36">
        <v>0</v>
      </c>
      <c r="S63" s="36">
        <v>0</v>
      </c>
      <c r="T63" s="36">
        <v>0</v>
      </c>
      <c r="U63" s="36">
        <v>0</v>
      </c>
      <c r="V63" s="36">
        <v>3850.0008215199473</v>
      </c>
      <c r="W63" s="36">
        <v>602.8137967876658</v>
      </c>
      <c r="X63" s="36">
        <v>4452.814618307613</v>
      </c>
      <c r="Y63" s="36">
        <v>0</v>
      </c>
      <c r="Z63" s="36">
        <v>0</v>
      </c>
      <c r="AA63" s="36">
        <v>133.8064727783203</v>
      </c>
      <c r="AB63" s="36">
        <v>20.950746536254883</v>
      </c>
      <c r="AC63" s="36">
        <v>154.7572223303925</v>
      </c>
      <c r="AD63" s="36">
        <v>1097.3286069255996</v>
      </c>
      <c r="AE63" s="36">
        <v>0.8728701276831027</v>
      </c>
      <c r="AF63" s="36">
        <v>0</v>
      </c>
      <c r="AG63" s="36">
        <v>1098.1618958189292</v>
      </c>
      <c r="AH63" s="36">
        <v>3850.0008215199473</v>
      </c>
      <c r="AI63" s="56">
        <v>0.28523679519252265</v>
      </c>
      <c r="AJ63" s="36">
        <v>12.93140983581543</v>
      </c>
      <c r="AK63" s="36">
        <v>0</v>
      </c>
      <c r="AL63" s="36">
        <v>0</v>
      </c>
      <c r="AM63" s="36">
        <v>1111.09326171875</v>
      </c>
      <c r="AN63" s="36">
        <v>4452.814618307613</v>
      </c>
      <c r="AO63" s="56">
        <v>0.24952605366706848</v>
      </c>
    </row>
    <row r="64" spans="1:41" ht="12.75" customHeight="1">
      <c r="A64" t="s">
        <v>418</v>
      </c>
      <c r="B64" t="s">
        <v>418</v>
      </c>
      <c r="C64" s="36">
        <v>20</v>
      </c>
      <c r="D64" s="36">
        <v>2400</v>
      </c>
      <c r="E64" s="36">
        <v>3850</v>
      </c>
      <c r="F64" s="36">
        <v>0</v>
      </c>
      <c r="G64" s="36">
        <v>602.8137817382812</v>
      </c>
      <c r="H64" s="36" t="s">
        <v>191</v>
      </c>
      <c r="I64" s="36">
        <v>4.35</v>
      </c>
      <c r="J64" s="36">
        <v>0.30000001192092896</v>
      </c>
      <c r="K64" s="36">
        <v>2583</v>
      </c>
      <c r="L64" s="47">
        <v>0.020335381063133352</v>
      </c>
      <c r="M64" s="36">
        <v>0.06778460085025981</v>
      </c>
      <c r="N64" s="36"/>
      <c r="O64" s="36"/>
      <c r="P64" s="36">
        <v>3850.0008215199473</v>
      </c>
      <c r="Q64" s="36">
        <v>0</v>
      </c>
      <c r="R64" s="36">
        <v>0</v>
      </c>
      <c r="S64" s="36">
        <v>0</v>
      </c>
      <c r="T64" s="36">
        <v>0</v>
      </c>
      <c r="U64" s="36">
        <v>0</v>
      </c>
      <c r="V64" s="36">
        <v>3850.0008215199473</v>
      </c>
      <c r="W64" s="36">
        <v>602.8137967876658</v>
      </c>
      <c r="X64" s="36">
        <v>4452.814618307613</v>
      </c>
      <c r="Y64" s="36">
        <v>0</v>
      </c>
      <c r="Z64" s="36">
        <v>0</v>
      </c>
      <c r="AA64" s="36">
        <v>117.0806655883789</v>
      </c>
      <c r="AB64" s="36">
        <v>18.3319034576416</v>
      </c>
      <c r="AC64" s="36">
        <v>135.41256953909343</v>
      </c>
      <c r="AD64" s="36">
        <v>1266.370840968936</v>
      </c>
      <c r="AE64" s="36">
        <v>0.7766490276596519</v>
      </c>
      <c r="AF64" s="36">
        <v>0</v>
      </c>
      <c r="AG64" s="36">
        <v>1267.112272011469</v>
      </c>
      <c r="AH64" s="36">
        <v>3850.0008215199473</v>
      </c>
      <c r="AI64" s="56">
        <v>0.32912000042411005</v>
      </c>
      <c r="AJ64" s="36">
        <v>17.258865356445312</v>
      </c>
      <c r="AK64" s="36">
        <v>0</v>
      </c>
      <c r="AL64" s="36">
        <v>0</v>
      </c>
      <c r="AM64" s="36">
        <v>1284.37109375</v>
      </c>
      <c r="AN64" s="36">
        <v>4452.814618307613</v>
      </c>
      <c r="AO64" s="56">
        <v>0.2884402871131897</v>
      </c>
    </row>
    <row r="65" spans="1:41" ht="12.75" customHeight="1">
      <c r="A65" t="s">
        <v>419</v>
      </c>
      <c r="B65" t="s">
        <v>419</v>
      </c>
      <c r="C65" s="36">
        <v>20</v>
      </c>
      <c r="D65" s="36">
        <v>2500</v>
      </c>
      <c r="E65" s="36">
        <v>3850</v>
      </c>
      <c r="F65" s="36">
        <v>0</v>
      </c>
      <c r="G65" s="36">
        <v>602.8137817382812</v>
      </c>
      <c r="H65" s="36" t="s">
        <v>192</v>
      </c>
      <c r="I65" s="36">
        <v>3.35</v>
      </c>
      <c r="J65" s="36">
        <v>0.23999999463558197</v>
      </c>
      <c r="K65" s="36">
        <v>2690.6249999999995</v>
      </c>
      <c r="L65" s="47">
        <v>0.02200470202297971</v>
      </c>
      <c r="M65" s="36">
        <v>0.09168626047842975</v>
      </c>
      <c r="N65" s="36"/>
      <c r="O65" s="36"/>
      <c r="P65" s="36">
        <v>3850.0008215199473</v>
      </c>
      <c r="Q65" s="36">
        <v>0</v>
      </c>
      <c r="R65" s="36">
        <v>0</v>
      </c>
      <c r="S65" s="36">
        <v>0</v>
      </c>
      <c r="T65" s="36">
        <v>0</v>
      </c>
      <c r="U65" s="36">
        <v>0</v>
      </c>
      <c r="V65" s="36">
        <v>3850.0008215199473</v>
      </c>
      <c r="W65" s="36">
        <v>602.8137967876658</v>
      </c>
      <c r="X65" s="36">
        <v>4452.814618307613</v>
      </c>
      <c r="Y65" s="36">
        <v>0</v>
      </c>
      <c r="Z65" s="36">
        <v>0</v>
      </c>
      <c r="AA65" s="36">
        <v>112.3974380493164</v>
      </c>
      <c r="AB65" s="36">
        <v>17.5986270904541</v>
      </c>
      <c r="AC65" s="36">
        <v>129.99606675752972</v>
      </c>
      <c r="AD65" s="36">
        <v>1306.3435796733315</v>
      </c>
      <c r="AE65" s="36">
        <v>0.840403746407803</v>
      </c>
      <c r="AF65" s="36">
        <v>0</v>
      </c>
      <c r="AG65" s="36">
        <v>1307.145874408349</v>
      </c>
      <c r="AH65" s="36">
        <v>3850.0008215199473</v>
      </c>
      <c r="AI65" s="56">
        <v>0.33951833649019825</v>
      </c>
      <c r="AJ65" s="36">
        <v>23.34455108642578</v>
      </c>
      <c r="AK65" s="36">
        <v>0</v>
      </c>
      <c r="AL65" s="36">
        <v>0</v>
      </c>
      <c r="AM65" s="36">
        <v>1330.490478515625</v>
      </c>
      <c r="AN65" s="36">
        <v>4452.814618307613</v>
      </c>
      <c r="AO65" s="56">
        <v>0.2987976372241974</v>
      </c>
    </row>
    <row r="66" spans="1:41" ht="12.75" customHeight="1">
      <c r="A66" t="s">
        <v>420</v>
      </c>
      <c r="B66" t="s">
        <v>420</v>
      </c>
      <c r="C66" s="36">
        <v>20</v>
      </c>
      <c r="D66" s="36">
        <v>1800</v>
      </c>
      <c r="E66" s="36">
        <v>3850</v>
      </c>
      <c r="F66" s="36">
        <v>0</v>
      </c>
      <c r="G66" s="36">
        <v>602.8137817382812</v>
      </c>
      <c r="H66" s="36" t="s">
        <v>193</v>
      </c>
      <c r="I66" s="36">
        <v>2.47</v>
      </c>
      <c r="J66" s="36">
        <v>0.33000001311302185</v>
      </c>
      <c r="K66" s="36">
        <v>1937.25</v>
      </c>
      <c r="L66" s="47">
        <v>0.02954599141308494</v>
      </c>
      <c r="M66" s="36">
        <v>0.08953330375464476</v>
      </c>
      <c r="N66" s="36"/>
      <c r="O66" s="36"/>
      <c r="P66" s="36">
        <v>3850.0008215199473</v>
      </c>
      <c r="Q66" s="36">
        <v>0</v>
      </c>
      <c r="R66" s="36">
        <v>0</v>
      </c>
      <c r="S66" s="36">
        <v>0</v>
      </c>
      <c r="T66" s="36">
        <v>0</v>
      </c>
      <c r="U66" s="36">
        <v>0</v>
      </c>
      <c r="V66" s="36">
        <v>3850.0008215199473</v>
      </c>
      <c r="W66" s="36">
        <v>602.8137967876658</v>
      </c>
      <c r="X66" s="36">
        <v>4452.814618307613</v>
      </c>
      <c r="Y66" s="36">
        <v>0</v>
      </c>
      <c r="Z66" s="36">
        <v>0</v>
      </c>
      <c r="AA66" s="36">
        <v>156.10755920410156</v>
      </c>
      <c r="AB66" s="36">
        <v>24.442537307739258</v>
      </c>
      <c r="AC66" s="36">
        <v>180.55009271879126</v>
      </c>
      <c r="AD66" s="36">
        <v>941.061748555513</v>
      </c>
      <c r="AE66" s="36">
        <v>1.1284207279407186</v>
      </c>
      <c r="AF66" s="36">
        <v>0</v>
      </c>
      <c r="AG66" s="36">
        <v>942.1389998323917</v>
      </c>
      <c r="AH66" s="36">
        <v>3850.0008215199473</v>
      </c>
      <c r="AI66" s="56">
        <v>0.2447113763109389</v>
      </c>
      <c r="AJ66" s="36">
        <v>22.796375274658203</v>
      </c>
      <c r="AK66" s="36">
        <v>0</v>
      </c>
      <c r="AL66" s="36">
        <v>0</v>
      </c>
      <c r="AM66" s="36">
        <v>964.9353637695312</v>
      </c>
      <c r="AN66" s="36">
        <v>4452.814618307613</v>
      </c>
      <c r="AO66" s="56">
        <v>0.21670234203338623</v>
      </c>
    </row>
    <row r="67" spans="1:41" ht="12.75" customHeight="1">
      <c r="A67" t="s">
        <v>421</v>
      </c>
      <c r="B67" t="s">
        <v>421</v>
      </c>
      <c r="C67" s="36">
        <v>20</v>
      </c>
      <c r="D67" s="36">
        <v>1900</v>
      </c>
      <c r="E67" s="36">
        <v>3850</v>
      </c>
      <c r="F67" s="36">
        <v>0</v>
      </c>
      <c r="G67" s="36">
        <v>602.8137817382812</v>
      </c>
      <c r="H67" s="36" t="s">
        <v>194</v>
      </c>
      <c r="I67" s="36">
        <v>2.57</v>
      </c>
      <c r="J67" s="36">
        <v>0.36000001430511475</v>
      </c>
      <c r="K67" s="36">
        <v>2044.875</v>
      </c>
      <c r="L67" s="47">
        <v>0.032698817993540304</v>
      </c>
      <c r="M67" s="36">
        <v>0.09083004637279463</v>
      </c>
      <c r="N67" s="36"/>
      <c r="O67" s="36"/>
      <c r="P67" s="36">
        <v>3850.0008215199473</v>
      </c>
      <c r="Q67" s="36">
        <v>0</v>
      </c>
      <c r="R67" s="36">
        <v>0</v>
      </c>
      <c r="S67" s="36">
        <v>0</v>
      </c>
      <c r="T67" s="36">
        <v>0</v>
      </c>
      <c r="U67" s="36">
        <v>0</v>
      </c>
      <c r="V67" s="36">
        <v>3850.0008215199473</v>
      </c>
      <c r="W67" s="36">
        <v>602.8137967876658</v>
      </c>
      <c r="X67" s="36">
        <v>4452.814618307613</v>
      </c>
      <c r="Y67" s="36">
        <v>0</v>
      </c>
      <c r="Z67" s="36">
        <v>0</v>
      </c>
      <c r="AA67" s="36">
        <v>147.89137268066406</v>
      </c>
      <c r="AB67" s="36">
        <v>23.15608787536621</v>
      </c>
      <c r="AC67" s="36">
        <v>171.0474562599075</v>
      </c>
      <c r="AD67" s="36">
        <v>992.821120551732</v>
      </c>
      <c r="AE67" s="36">
        <v>1.2488335045928058</v>
      </c>
      <c r="AF67" s="36">
        <v>0</v>
      </c>
      <c r="AG67" s="36">
        <v>994.013324358451</v>
      </c>
      <c r="AH67" s="36">
        <v>3850.0008215199473</v>
      </c>
      <c r="AI67" s="56">
        <v>0.25818522396211413</v>
      </c>
      <c r="AJ67" s="36">
        <v>23.126544952392578</v>
      </c>
      <c r="AK67" s="36">
        <v>0</v>
      </c>
      <c r="AL67" s="36">
        <v>0</v>
      </c>
      <c r="AM67" s="36">
        <v>1017.139892578125</v>
      </c>
      <c r="AN67" s="36">
        <v>4452.814618307613</v>
      </c>
      <c r="AO67" s="56">
        <v>0.2284262776374817</v>
      </c>
    </row>
    <row r="68" spans="1:41" ht="12.75" customHeight="1">
      <c r="A68" t="s">
        <v>422</v>
      </c>
      <c r="B68" t="s">
        <v>422</v>
      </c>
      <c r="C68" s="36">
        <v>20</v>
      </c>
      <c r="D68" s="36">
        <v>2100</v>
      </c>
      <c r="E68" s="36">
        <v>3850</v>
      </c>
      <c r="F68" s="36">
        <v>0</v>
      </c>
      <c r="G68" s="36">
        <v>602.8137817382812</v>
      </c>
      <c r="H68" s="36" t="s">
        <v>195</v>
      </c>
      <c r="I68" s="36">
        <v>1.8</v>
      </c>
      <c r="J68" s="36">
        <v>0.25999999046325684</v>
      </c>
      <c r="K68" s="36">
        <v>2260.125</v>
      </c>
      <c r="L68" s="47">
        <v>0.03726740730883868</v>
      </c>
      <c r="M68" s="36">
        <v>0.14333618721461186</v>
      </c>
      <c r="N68" s="36"/>
      <c r="O68" s="36"/>
      <c r="P68" s="36">
        <v>3850.0008215199473</v>
      </c>
      <c r="Q68" s="36">
        <v>0</v>
      </c>
      <c r="R68" s="36">
        <v>0</v>
      </c>
      <c r="S68" s="36">
        <v>0</v>
      </c>
      <c r="T68" s="36">
        <v>0</v>
      </c>
      <c r="U68" s="36">
        <v>0</v>
      </c>
      <c r="V68" s="36">
        <v>3850.0008215199473</v>
      </c>
      <c r="W68" s="36">
        <v>602.8137967876658</v>
      </c>
      <c r="X68" s="36">
        <v>4452.814618307613</v>
      </c>
      <c r="Y68" s="36">
        <v>0</v>
      </c>
      <c r="Z68" s="36">
        <v>0</v>
      </c>
      <c r="AA68" s="36">
        <v>133.8064727783203</v>
      </c>
      <c r="AB68" s="36">
        <v>20.950746536254883</v>
      </c>
      <c r="AC68" s="36">
        <v>154.7572223303925</v>
      </c>
      <c r="AD68" s="36">
        <v>1097.3286069255996</v>
      </c>
      <c r="AE68" s="36">
        <v>1.4233171023423157</v>
      </c>
      <c r="AF68" s="36">
        <v>0</v>
      </c>
      <c r="AG68" s="36">
        <v>1098.6873821837428</v>
      </c>
      <c r="AH68" s="36">
        <v>3850.0008215199473</v>
      </c>
      <c r="AI68" s="56">
        <v>0.28537328512828486</v>
      </c>
      <c r="AJ68" s="36">
        <v>36.49531173706055</v>
      </c>
      <c r="AK68" s="36">
        <v>0</v>
      </c>
      <c r="AL68" s="36">
        <v>0</v>
      </c>
      <c r="AM68" s="36">
        <v>1135.1827392578125</v>
      </c>
      <c r="AN68" s="36">
        <v>4452.814618307613</v>
      </c>
      <c r="AO68" s="56">
        <v>0.25493600964546204</v>
      </c>
    </row>
    <row r="69" spans="1:41" ht="12.75" customHeight="1">
      <c r="A69" t="s">
        <v>423</v>
      </c>
      <c r="B69" t="s">
        <v>423</v>
      </c>
      <c r="C69" s="36">
        <v>20</v>
      </c>
      <c r="D69" s="36">
        <v>2400</v>
      </c>
      <c r="E69" s="36">
        <v>3850</v>
      </c>
      <c r="F69" s="36">
        <v>0</v>
      </c>
      <c r="G69" s="36">
        <v>602.8137817382812</v>
      </c>
      <c r="H69" s="36" t="s">
        <v>196</v>
      </c>
      <c r="I69" s="36">
        <v>2.44</v>
      </c>
      <c r="J69" s="36">
        <v>0.4099999964237213</v>
      </c>
      <c r="K69" s="36">
        <v>2583</v>
      </c>
      <c r="L69" s="47">
        <v>0.04954665350898609</v>
      </c>
      <c r="M69" s="36">
        <v>0.12084549741747139</v>
      </c>
      <c r="N69" s="36"/>
      <c r="O69" s="36"/>
      <c r="P69" s="36">
        <v>3850.0008215199473</v>
      </c>
      <c r="Q69" s="36">
        <v>0</v>
      </c>
      <c r="R69" s="36">
        <v>0</v>
      </c>
      <c r="S69" s="36">
        <v>0</v>
      </c>
      <c r="T69" s="36">
        <v>0</v>
      </c>
      <c r="U69" s="36">
        <v>0</v>
      </c>
      <c r="V69" s="36">
        <v>3850.0008215199473</v>
      </c>
      <c r="W69" s="36">
        <v>602.8137967876658</v>
      </c>
      <c r="X69" s="36">
        <v>4452.814618307613</v>
      </c>
      <c r="Y69" s="36">
        <v>0</v>
      </c>
      <c r="Z69" s="36">
        <v>0</v>
      </c>
      <c r="AA69" s="36">
        <v>117.0806655883789</v>
      </c>
      <c r="AB69" s="36">
        <v>18.3319034576416</v>
      </c>
      <c r="AC69" s="36">
        <v>135.41256953909343</v>
      </c>
      <c r="AD69" s="36">
        <v>1266.370840968936</v>
      </c>
      <c r="AE69" s="36">
        <v>1.8922861662674215</v>
      </c>
      <c r="AF69" s="36">
        <v>0</v>
      </c>
      <c r="AG69" s="36">
        <v>1268.1773193846166</v>
      </c>
      <c r="AH69" s="36">
        <v>3850.0008215199473</v>
      </c>
      <c r="AI69" s="56">
        <v>0.32939663604641806</v>
      </c>
      <c r="AJ69" s="36">
        <v>30.768882751464844</v>
      </c>
      <c r="AK69" s="36">
        <v>0</v>
      </c>
      <c r="AL69" s="36">
        <v>0</v>
      </c>
      <c r="AM69" s="36">
        <v>1298.9461669921875</v>
      </c>
      <c r="AN69" s="36">
        <v>4452.814618307613</v>
      </c>
      <c r="AO69" s="56">
        <v>0.29171350598335266</v>
      </c>
    </row>
    <row r="70" spans="1:41" ht="12.75" customHeight="1">
      <c r="A70" t="s">
        <v>424</v>
      </c>
      <c r="B70" t="s">
        <v>424</v>
      </c>
      <c r="C70" s="36">
        <v>20</v>
      </c>
      <c r="D70" s="36">
        <v>2500</v>
      </c>
      <c r="E70" s="36">
        <v>3850</v>
      </c>
      <c r="F70" s="36">
        <v>0</v>
      </c>
      <c r="G70" s="36">
        <v>602.8137817382812</v>
      </c>
      <c r="H70" s="36" t="s">
        <v>197</v>
      </c>
      <c r="I70" s="36">
        <v>2.56</v>
      </c>
      <c r="J70" s="36">
        <v>0.4300000071525574</v>
      </c>
      <c r="K70" s="36">
        <v>2690.6249999999995</v>
      </c>
      <c r="L70" s="47">
        <v>0.05159142985003074</v>
      </c>
      <c r="M70" s="36">
        <v>0.11998006742294517</v>
      </c>
      <c r="N70" s="36"/>
      <c r="O70" s="36"/>
      <c r="P70" s="36">
        <v>3850.0008215199473</v>
      </c>
      <c r="Q70" s="36">
        <v>0</v>
      </c>
      <c r="R70" s="36">
        <v>0</v>
      </c>
      <c r="S70" s="36">
        <v>0</v>
      </c>
      <c r="T70" s="36">
        <v>0</v>
      </c>
      <c r="U70" s="36">
        <v>0</v>
      </c>
      <c r="V70" s="36">
        <v>3850.0008215199473</v>
      </c>
      <c r="W70" s="36">
        <v>602.8137967876658</v>
      </c>
      <c r="X70" s="36">
        <v>4452.814618307613</v>
      </c>
      <c r="Y70" s="36">
        <v>0</v>
      </c>
      <c r="Z70" s="36">
        <v>0</v>
      </c>
      <c r="AA70" s="36">
        <v>112.3974380493164</v>
      </c>
      <c r="AB70" s="36">
        <v>17.5986270904541</v>
      </c>
      <c r="AC70" s="36">
        <v>129.99606675752972</v>
      </c>
      <c r="AD70" s="36">
        <v>1306.3435796733315</v>
      </c>
      <c r="AE70" s="36">
        <v>1.9703802797794054</v>
      </c>
      <c r="AF70" s="36">
        <v>0</v>
      </c>
      <c r="AG70" s="36">
        <v>1308.224610940989</v>
      </c>
      <c r="AH70" s="36">
        <v>3850.0008215199473</v>
      </c>
      <c r="AI70" s="56">
        <v>0.3397985277375897</v>
      </c>
      <c r="AJ70" s="36">
        <v>30.54853057861328</v>
      </c>
      <c r="AK70" s="36">
        <v>0</v>
      </c>
      <c r="AL70" s="36">
        <v>0</v>
      </c>
      <c r="AM70" s="36">
        <v>1338.773193359375</v>
      </c>
      <c r="AN70" s="36">
        <v>4452.814618307613</v>
      </c>
      <c r="AO70" s="56">
        <v>0.3006577491760254</v>
      </c>
    </row>
    <row r="71" spans="1:41" ht="12.75" customHeight="1">
      <c r="A71" t="s">
        <v>425</v>
      </c>
      <c r="B71" t="s">
        <v>425</v>
      </c>
      <c r="C71" s="36">
        <v>20</v>
      </c>
      <c r="D71" s="36">
        <v>2200</v>
      </c>
      <c r="E71" s="36">
        <v>5775</v>
      </c>
      <c r="F71" s="36">
        <v>0</v>
      </c>
      <c r="G71" s="36">
        <v>602.8137817382812</v>
      </c>
      <c r="H71" s="36" t="s">
        <v>188</v>
      </c>
      <c r="I71" s="36">
        <v>10.43</v>
      </c>
      <c r="J71" s="36">
        <v>0.5099999904632568</v>
      </c>
      <c r="K71" s="36">
        <v>2367.75</v>
      </c>
      <c r="L71" s="47">
        <v>0.0132165346429926</v>
      </c>
      <c r="M71" s="36">
        <v>0.02591477429438264</v>
      </c>
      <c r="N71" s="36"/>
      <c r="O71" s="36"/>
      <c r="P71" s="36">
        <v>5775.00123227992</v>
      </c>
      <c r="Q71" s="36">
        <v>0</v>
      </c>
      <c r="R71" s="36">
        <v>0</v>
      </c>
      <c r="S71" s="36">
        <v>0</v>
      </c>
      <c r="T71" s="36">
        <v>0</v>
      </c>
      <c r="U71" s="36">
        <v>0</v>
      </c>
      <c r="V71" s="36">
        <v>5775.00123227992</v>
      </c>
      <c r="W71" s="36">
        <v>602.8137967876658</v>
      </c>
      <c r="X71" s="36">
        <v>6377.815029067586</v>
      </c>
      <c r="Y71" s="36">
        <v>0</v>
      </c>
      <c r="Z71" s="36">
        <v>0</v>
      </c>
      <c r="AA71" s="36">
        <v>191.5865478515625</v>
      </c>
      <c r="AB71" s="36">
        <v>19.99843978881836</v>
      </c>
      <c r="AC71" s="36">
        <v>211.58498494133863</v>
      </c>
      <c r="AD71" s="36">
        <v>1150.1865815678498</v>
      </c>
      <c r="AE71" s="36">
        <v>0.5047659912367877</v>
      </c>
      <c r="AF71" s="36">
        <v>0</v>
      </c>
      <c r="AG71" s="36">
        <v>1150.6684584025452</v>
      </c>
      <c r="AH71" s="36">
        <v>5775.00123227992</v>
      </c>
      <c r="AI71" s="56">
        <v>0.19924990699062956</v>
      </c>
      <c r="AJ71" s="36">
        <v>6.598248481750488</v>
      </c>
      <c r="AK71" s="36">
        <v>0</v>
      </c>
      <c r="AL71" s="36">
        <v>0</v>
      </c>
      <c r="AM71" s="36">
        <v>1157.2667236328125</v>
      </c>
      <c r="AN71" s="36">
        <v>6377.815029067586</v>
      </c>
      <c r="AO71" s="56">
        <v>0.1814519166946411</v>
      </c>
    </row>
    <row r="72" spans="1:41" ht="12.75" customHeight="1">
      <c r="A72" t="s">
        <v>426</v>
      </c>
      <c r="B72" t="s">
        <v>426</v>
      </c>
      <c r="C72" s="36">
        <v>20</v>
      </c>
      <c r="D72" s="36">
        <v>2300</v>
      </c>
      <c r="E72" s="36">
        <v>5775</v>
      </c>
      <c r="F72" s="36">
        <v>0</v>
      </c>
      <c r="G72" s="36">
        <v>602.8137817382812</v>
      </c>
      <c r="H72" s="36" t="s">
        <v>189</v>
      </c>
      <c r="I72" s="36">
        <v>8.44</v>
      </c>
      <c r="J72" s="36">
        <v>0.5699999928474426</v>
      </c>
      <c r="K72" s="36">
        <v>2475.375</v>
      </c>
      <c r="L72" s="47">
        <v>0.019083995167266367</v>
      </c>
      <c r="M72" s="36">
        <v>0.033480693696033244</v>
      </c>
      <c r="N72" s="36"/>
      <c r="O72" s="36"/>
      <c r="P72" s="36">
        <v>5775.00123227992</v>
      </c>
      <c r="Q72" s="36">
        <v>0</v>
      </c>
      <c r="R72" s="36">
        <v>0</v>
      </c>
      <c r="S72" s="36">
        <v>0</v>
      </c>
      <c r="T72" s="36">
        <v>0</v>
      </c>
      <c r="U72" s="36">
        <v>0</v>
      </c>
      <c r="V72" s="36">
        <v>5775.00123227992</v>
      </c>
      <c r="W72" s="36">
        <v>602.8137967876658</v>
      </c>
      <c r="X72" s="36">
        <v>6377.815029067586</v>
      </c>
      <c r="Y72" s="36">
        <v>0</v>
      </c>
      <c r="Z72" s="36">
        <v>0</v>
      </c>
      <c r="AA72" s="36">
        <v>183.25669860839844</v>
      </c>
      <c r="AB72" s="36">
        <v>19.128942489624023</v>
      </c>
      <c r="AC72" s="36">
        <v>202.38563776997609</v>
      </c>
      <c r="AD72" s="36">
        <v>1201.8360932994672</v>
      </c>
      <c r="AE72" s="36">
        <v>0.7288560880420087</v>
      </c>
      <c r="AF72" s="36">
        <v>0</v>
      </c>
      <c r="AG72" s="36">
        <v>1202.5318986246114</v>
      </c>
      <c r="AH72" s="36">
        <v>5775.00123227992</v>
      </c>
      <c r="AI72" s="56">
        <v>0.20823058736385106</v>
      </c>
      <c r="AJ72" s="36">
        <v>8.524632453918457</v>
      </c>
      <c r="AK72" s="36">
        <v>0</v>
      </c>
      <c r="AL72" s="36">
        <v>0</v>
      </c>
      <c r="AM72" s="36">
        <v>1211.0565185546875</v>
      </c>
      <c r="AN72" s="36">
        <v>6377.815029067586</v>
      </c>
      <c r="AO72" s="56">
        <v>0.18988579511642456</v>
      </c>
    </row>
    <row r="73" spans="1:41" ht="12.75" customHeight="1">
      <c r="A73" t="s">
        <v>427</v>
      </c>
      <c r="B73" t="s">
        <v>427</v>
      </c>
      <c r="C73" s="36">
        <v>20</v>
      </c>
      <c r="D73" s="36">
        <v>2600</v>
      </c>
      <c r="E73" s="36">
        <v>5775</v>
      </c>
      <c r="F73" s="36">
        <v>0</v>
      </c>
      <c r="G73" s="36">
        <v>602.8137817382812</v>
      </c>
      <c r="H73" s="36" t="s">
        <v>190</v>
      </c>
      <c r="I73" s="36">
        <v>5.08</v>
      </c>
      <c r="J73" s="36">
        <v>0.44999998807907104</v>
      </c>
      <c r="K73" s="36">
        <v>2798.25</v>
      </c>
      <c r="L73" s="47">
        <v>0.028296400663409653</v>
      </c>
      <c r="M73" s="36">
        <v>0.06288089202890733</v>
      </c>
      <c r="N73" s="36"/>
      <c r="O73" s="36"/>
      <c r="P73" s="36">
        <v>5775.00123227992</v>
      </c>
      <c r="Q73" s="36">
        <v>0</v>
      </c>
      <c r="R73" s="36">
        <v>0</v>
      </c>
      <c r="S73" s="36">
        <v>0</v>
      </c>
      <c r="T73" s="36">
        <v>0</v>
      </c>
      <c r="U73" s="36">
        <v>0</v>
      </c>
      <c r="V73" s="36">
        <v>5775.00123227992</v>
      </c>
      <c r="W73" s="36">
        <v>602.8137967876658</v>
      </c>
      <c r="X73" s="36">
        <v>6377.815029067586</v>
      </c>
      <c r="Y73" s="36">
        <v>0</v>
      </c>
      <c r="Z73" s="36">
        <v>0</v>
      </c>
      <c r="AA73" s="36">
        <v>162.1116943359375</v>
      </c>
      <c r="AB73" s="36">
        <v>16.921756744384766</v>
      </c>
      <c r="AC73" s="36">
        <v>179.03344879651732</v>
      </c>
      <c r="AD73" s="36">
        <v>1358.5973228602616</v>
      </c>
      <c r="AE73" s="36">
        <v>1.0806963485600318</v>
      </c>
      <c r="AF73" s="36">
        <v>0</v>
      </c>
      <c r="AG73" s="36">
        <v>1359.6290138710506</v>
      </c>
      <c r="AH73" s="36">
        <v>5775.00123227992</v>
      </c>
      <c r="AI73" s="56">
        <v>0.2354335452382719</v>
      </c>
      <c r="AJ73" s="36">
        <v>16.01031494140625</v>
      </c>
      <c r="AK73" s="36">
        <v>0</v>
      </c>
      <c r="AL73" s="36">
        <v>0</v>
      </c>
      <c r="AM73" s="36">
        <v>1375.6392822265625</v>
      </c>
      <c r="AN73" s="36">
        <v>6377.815029067586</v>
      </c>
      <c r="AO73" s="56">
        <v>0.21569131314754486</v>
      </c>
    </row>
    <row r="74" spans="1:41" ht="12.75" customHeight="1">
      <c r="A74" t="s">
        <v>428</v>
      </c>
      <c r="B74" t="s">
        <v>428</v>
      </c>
      <c r="C74" s="36">
        <v>20</v>
      </c>
      <c r="D74" s="36">
        <v>3000</v>
      </c>
      <c r="E74" s="36">
        <v>5775</v>
      </c>
      <c r="F74" s="36">
        <v>0</v>
      </c>
      <c r="G74" s="36">
        <v>602.8137817382812</v>
      </c>
      <c r="H74" s="36" t="s">
        <v>191</v>
      </c>
      <c r="I74" s="36">
        <v>4.35</v>
      </c>
      <c r="J74" s="36">
        <v>0.30000001192092896</v>
      </c>
      <c r="K74" s="36">
        <v>3228.75</v>
      </c>
      <c r="L74" s="47">
        <v>0.02541922632891669</v>
      </c>
      <c r="M74" s="36">
        <v>0.08473075106282475</v>
      </c>
      <c r="N74" s="36"/>
      <c r="O74" s="36"/>
      <c r="P74" s="36">
        <v>5775.00123227992</v>
      </c>
      <c r="Q74" s="36">
        <v>0</v>
      </c>
      <c r="R74" s="36">
        <v>0</v>
      </c>
      <c r="S74" s="36">
        <v>0</v>
      </c>
      <c r="T74" s="36">
        <v>0</v>
      </c>
      <c r="U74" s="36">
        <v>0</v>
      </c>
      <c r="V74" s="36">
        <v>5775.00123227992</v>
      </c>
      <c r="W74" s="36">
        <v>602.8137967876658</v>
      </c>
      <c r="X74" s="36">
        <v>6377.815029067586</v>
      </c>
      <c r="Y74" s="36">
        <v>0</v>
      </c>
      <c r="Z74" s="36">
        <v>0</v>
      </c>
      <c r="AA74" s="36">
        <v>140.49679565429688</v>
      </c>
      <c r="AB74" s="36">
        <v>14.665522575378418</v>
      </c>
      <c r="AC74" s="36">
        <v>155.162322290315</v>
      </c>
      <c r="AD74" s="36">
        <v>1582.9635512111736</v>
      </c>
      <c r="AE74" s="36">
        <v>0.9708112845745649</v>
      </c>
      <c r="AF74" s="36">
        <v>0</v>
      </c>
      <c r="AG74" s="36">
        <v>1583.89034001434</v>
      </c>
      <c r="AH74" s="36">
        <v>5775.00123227992</v>
      </c>
      <c r="AI74" s="56">
        <v>0.27426666702009234</v>
      </c>
      <c r="AJ74" s="36">
        <v>21.573583602905273</v>
      </c>
      <c r="AK74" s="36">
        <v>0</v>
      </c>
      <c r="AL74" s="36">
        <v>0</v>
      </c>
      <c r="AM74" s="36">
        <v>1605.4638671875</v>
      </c>
      <c r="AN74" s="36">
        <v>6377.815029067586</v>
      </c>
      <c r="AO74" s="56">
        <v>0.25172629952430725</v>
      </c>
    </row>
    <row r="75" spans="1:41" ht="12.75" customHeight="1">
      <c r="A75" t="s">
        <v>429</v>
      </c>
      <c r="B75" t="s">
        <v>429</v>
      </c>
      <c r="C75" s="36">
        <v>20</v>
      </c>
      <c r="D75" s="36">
        <v>3200</v>
      </c>
      <c r="E75" s="36">
        <v>5775</v>
      </c>
      <c r="F75" s="36">
        <v>0</v>
      </c>
      <c r="G75" s="36">
        <v>602.8137817382812</v>
      </c>
      <c r="H75" s="36" t="s">
        <v>192</v>
      </c>
      <c r="I75" s="36">
        <v>3.35</v>
      </c>
      <c r="J75" s="36">
        <v>0.23999999463558197</v>
      </c>
      <c r="K75" s="36">
        <v>3444</v>
      </c>
      <c r="L75" s="47">
        <v>0.028166018589414032</v>
      </c>
      <c r="M75" s="36">
        <v>0.11735841341239009</v>
      </c>
      <c r="N75" s="36"/>
      <c r="O75" s="36"/>
      <c r="P75" s="36">
        <v>5775.00123227992</v>
      </c>
      <c r="Q75" s="36">
        <v>0</v>
      </c>
      <c r="R75" s="36">
        <v>0</v>
      </c>
      <c r="S75" s="36">
        <v>0</v>
      </c>
      <c r="T75" s="36">
        <v>0</v>
      </c>
      <c r="U75" s="36">
        <v>0</v>
      </c>
      <c r="V75" s="36">
        <v>5775.00123227992</v>
      </c>
      <c r="W75" s="36">
        <v>602.8137967876658</v>
      </c>
      <c r="X75" s="36">
        <v>6377.815029067586</v>
      </c>
      <c r="Y75" s="36">
        <v>0</v>
      </c>
      <c r="Z75" s="36">
        <v>0</v>
      </c>
      <c r="AA75" s="36">
        <v>131.7157440185547</v>
      </c>
      <c r="AB75" s="36">
        <v>13.748927116394043</v>
      </c>
      <c r="AC75" s="36">
        <v>145.46467714717033</v>
      </c>
      <c r="AD75" s="36">
        <v>1672.1197819818642</v>
      </c>
      <c r="AE75" s="36">
        <v>1.0757167954019886</v>
      </c>
      <c r="AF75" s="36">
        <v>0</v>
      </c>
      <c r="AG75" s="36">
        <v>1673.1467192426867</v>
      </c>
      <c r="AH75" s="36">
        <v>5775.00123227992</v>
      </c>
      <c r="AI75" s="56">
        <v>0.28972231380496916</v>
      </c>
      <c r="AJ75" s="36">
        <v>29.88102149963379</v>
      </c>
      <c r="AK75" s="36">
        <v>0</v>
      </c>
      <c r="AL75" s="36">
        <v>0</v>
      </c>
      <c r="AM75" s="36">
        <v>1703.0277099609375</v>
      </c>
      <c r="AN75" s="36">
        <v>6377.815029067586</v>
      </c>
      <c r="AO75" s="56">
        <v>0.2670236825942993</v>
      </c>
    </row>
    <row r="76" spans="1:41" ht="12.75" customHeight="1">
      <c r="A76" t="s">
        <v>430</v>
      </c>
      <c r="B76" t="s">
        <v>430</v>
      </c>
      <c r="C76" s="36">
        <v>20</v>
      </c>
      <c r="D76" s="36">
        <v>2200</v>
      </c>
      <c r="E76" s="36">
        <v>5775</v>
      </c>
      <c r="F76" s="36">
        <v>0</v>
      </c>
      <c r="G76" s="36">
        <v>602.8137817382812</v>
      </c>
      <c r="H76" s="36" t="s">
        <v>193</v>
      </c>
      <c r="I76" s="36">
        <v>2.47</v>
      </c>
      <c r="J76" s="36">
        <v>0.33000001311302185</v>
      </c>
      <c r="K76" s="36">
        <v>2367.75</v>
      </c>
      <c r="L76" s="47">
        <v>0.03611176728265937</v>
      </c>
      <c r="M76" s="36">
        <v>0.10942959347789916</v>
      </c>
      <c r="N76" s="36"/>
      <c r="O76" s="36"/>
      <c r="P76" s="36">
        <v>5775.00123227992</v>
      </c>
      <c r="Q76" s="36">
        <v>0</v>
      </c>
      <c r="R76" s="36">
        <v>0</v>
      </c>
      <c r="S76" s="36">
        <v>0</v>
      </c>
      <c r="T76" s="36">
        <v>0</v>
      </c>
      <c r="U76" s="36">
        <v>0</v>
      </c>
      <c r="V76" s="36">
        <v>5775.00123227992</v>
      </c>
      <c r="W76" s="36">
        <v>602.8137967876658</v>
      </c>
      <c r="X76" s="36">
        <v>6377.815029067586</v>
      </c>
      <c r="Y76" s="36">
        <v>0</v>
      </c>
      <c r="Z76" s="36">
        <v>0</v>
      </c>
      <c r="AA76" s="36">
        <v>191.5865478515625</v>
      </c>
      <c r="AB76" s="36">
        <v>19.99843978881836</v>
      </c>
      <c r="AC76" s="36">
        <v>211.58498494133863</v>
      </c>
      <c r="AD76" s="36">
        <v>1150.1865815678498</v>
      </c>
      <c r="AE76" s="36">
        <v>1.3791808897053228</v>
      </c>
      <c r="AF76" s="36">
        <v>0</v>
      </c>
      <c r="AG76" s="36">
        <v>1151.5032220173682</v>
      </c>
      <c r="AH76" s="36">
        <v>5775.00123227992</v>
      </c>
      <c r="AI76" s="56">
        <v>0.19939445477187626</v>
      </c>
      <c r="AJ76" s="36">
        <v>27.86223793029785</v>
      </c>
      <c r="AK76" s="36">
        <v>0</v>
      </c>
      <c r="AL76" s="36">
        <v>0</v>
      </c>
      <c r="AM76" s="36">
        <v>1179.365478515625</v>
      </c>
      <c r="AN76" s="36">
        <v>6377.815029067586</v>
      </c>
      <c r="AO76" s="56">
        <v>0.18491685390472412</v>
      </c>
    </row>
    <row r="77" spans="1:41" ht="12.75" customHeight="1">
      <c r="A77" t="s">
        <v>431</v>
      </c>
      <c r="B77" t="s">
        <v>431</v>
      </c>
      <c r="C77" s="36">
        <v>20</v>
      </c>
      <c r="D77" s="36">
        <v>2300</v>
      </c>
      <c r="E77" s="36">
        <v>5775</v>
      </c>
      <c r="F77" s="36">
        <v>0</v>
      </c>
      <c r="G77" s="36">
        <v>602.8137817382812</v>
      </c>
      <c r="H77" s="36" t="s">
        <v>194</v>
      </c>
      <c r="I77" s="36">
        <v>2.57</v>
      </c>
      <c r="J77" s="36">
        <v>0.36000001430511475</v>
      </c>
      <c r="K77" s="36">
        <v>2475.375</v>
      </c>
      <c r="L77" s="47">
        <v>0.03958277967639089</v>
      </c>
      <c r="M77" s="36">
        <v>0.10995216139864614</v>
      </c>
      <c r="N77" s="36"/>
      <c r="O77" s="36"/>
      <c r="P77" s="36">
        <v>5775.00123227992</v>
      </c>
      <c r="Q77" s="36">
        <v>0</v>
      </c>
      <c r="R77" s="36">
        <v>0</v>
      </c>
      <c r="S77" s="36">
        <v>0</v>
      </c>
      <c r="T77" s="36">
        <v>0</v>
      </c>
      <c r="U77" s="36">
        <v>0</v>
      </c>
      <c r="V77" s="36">
        <v>5775.00123227992</v>
      </c>
      <c r="W77" s="36">
        <v>602.8137967876658</v>
      </c>
      <c r="X77" s="36">
        <v>6377.815029067586</v>
      </c>
      <c r="Y77" s="36">
        <v>0</v>
      </c>
      <c r="Z77" s="36">
        <v>0</v>
      </c>
      <c r="AA77" s="36">
        <v>183.25669860839844</v>
      </c>
      <c r="AB77" s="36">
        <v>19.128942489624023</v>
      </c>
      <c r="AC77" s="36">
        <v>202.38563776997609</v>
      </c>
      <c r="AD77" s="36">
        <v>1201.8360932994672</v>
      </c>
      <c r="AE77" s="36">
        <v>1.5117458213491866</v>
      </c>
      <c r="AF77" s="36">
        <v>0</v>
      </c>
      <c r="AG77" s="36">
        <v>1203.279287381285</v>
      </c>
      <c r="AH77" s="36">
        <v>5775.00123227992</v>
      </c>
      <c r="AI77" s="56">
        <v>0.2083600053027592</v>
      </c>
      <c r="AJ77" s="36">
        <v>27.995288848876953</v>
      </c>
      <c r="AK77" s="36">
        <v>0</v>
      </c>
      <c r="AL77" s="36">
        <v>0</v>
      </c>
      <c r="AM77" s="36">
        <v>1231.2745361328125</v>
      </c>
      <c r="AN77" s="36">
        <v>6377.815029067586</v>
      </c>
      <c r="AO77" s="56">
        <v>0.19305585324764252</v>
      </c>
    </row>
    <row r="78" spans="1:41" ht="12.75" customHeight="1">
      <c r="A78" t="s">
        <v>432</v>
      </c>
      <c r="B78" t="s">
        <v>432</v>
      </c>
      <c r="C78" s="36">
        <v>20</v>
      </c>
      <c r="D78" s="36">
        <v>2600</v>
      </c>
      <c r="E78" s="36">
        <v>5775</v>
      </c>
      <c r="F78" s="36">
        <v>0</v>
      </c>
      <c r="G78" s="36">
        <v>602.8137817382812</v>
      </c>
      <c r="H78" s="36" t="s">
        <v>195</v>
      </c>
      <c r="I78" s="36">
        <v>1.8</v>
      </c>
      <c r="J78" s="36">
        <v>0.25999999046325684</v>
      </c>
      <c r="K78" s="36">
        <v>2798.25</v>
      </c>
      <c r="L78" s="47">
        <v>0.04614059952522884</v>
      </c>
      <c r="M78" s="36">
        <v>0.17746385083713848</v>
      </c>
      <c r="N78" s="36"/>
      <c r="O78" s="36"/>
      <c r="P78" s="36">
        <v>5775.00123227992</v>
      </c>
      <c r="Q78" s="36">
        <v>0</v>
      </c>
      <c r="R78" s="36">
        <v>0</v>
      </c>
      <c r="S78" s="36">
        <v>0</v>
      </c>
      <c r="T78" s="36">
        <v>0</v>
      </c>
      <c r="U78" s="36">
        <v>0</v>
      </c>
      <c r="V78" s="36">
        <v>5775.00123227992</v>
      </c>
      <c r="W78" s="36">
        <v>602.8137967876658</v>
      </c>
      <c r="X78" s="36">
        <v>6377.815029067586</v>
      </c>
      <c r="Y78" s="36">
        <v>0</v>
      </c>
      <c r="Z78" s="36">
        <v>0</v>
      </c>
      <c r="AA78" s="36">
        <v>162.1116943359375</v>
      </c>
      <c r="AB78" s="36">
        <v>16.921756744384766</v>
      </c>
      <c r="AC78" s="36">
        <v>179.03344879651732</v>
      </c>
      <c r="AD78" s="36">
        <v>1358.5973228602616</v>
      </c>
      <c r="AE78" s="36">
        <v>1.762202126709534</v>
      </c>
      <c r="AF78" s="36">
        <v>0</v>
      </c>
      <c r="AG78" s="36">
        <v>1360.27961603701</v>
      </c>
      <c r="AH78" s="36">
        <v>5775.00123227992</v>
      </c>
      <c r="AI78" s="56">
        <v>0.2355462035979486</v>
      </c>
      <c r="AJ78" s="36">
        <v>45.18466567993164</v>
      </c>
      <c r="AK78" s="36">
        <v>0</v>
      </c>
      <c r="AL78" s="36">
        <v>0</v>
      </c>
      <c r="AM78" s="36">
        <v>1405.4642333984375</v>
      </c>
      <c r="AN78" s="36">
        <v>6377.815029067586</v>
      </c>
      <c r="AO78" s="56">
        <v>0.2203676700592041</v>
      </c>
    </row>
    <row r="79" spans="1:41" ht="12.75" customHeight="1">
      <c r="A79" t="s">
        <v>433</v>
      </c>
      <c r="B79" t="s">
        <v>433</v>
      </c>
      <c r="C79" s="36">
        <v>20</v>
      </c>
      <c r="D79" s="36">
        <v>3000</v>
      </c>
      <c r="E79" s="36">
        <v>5775</v>
      </c>
      <c r="F79" s="36">
        <v>0</v>
      </c>
      <c r="G79" s="36">
        <v>602.8137817382812</v>
      </c>
      <c r="H79" s="36" t="s">
        <v>196</v>
      </c>
      <c r="I79" s="36">
        <v>2.44</v>
      </c>
      <c r="J79" s="36">
        <v>0.4099999964237213</v>
      </c>
      <c r="K79" s="36">
        <v>3228.75</v>
      </c>
      <c r="L79" s="47">
        <v>0.061933316886232596</v>
      </c>
      <c r="M79" s="36">
        <v>0.15105687177183919</v>
      </c>
      <c r="N79" s="36"/>
      <c r="O79" s="36"/>
      <c r="P79" s="36">
        <v>5775.00123227992</v>
      </c>
      <c r="Q79" s="36">
        <v>0</v>
      </c>
      <c r="R79" s="36">
        <v>0</v>
      </c>
      <c r="S79" s="36">
        <v>0</v>
      </c>
      <c r="T79" s="36">
        <v>0</v>
      </c>
      <c r="U79" s="36">
        <v>0</v>
      </c>
      <c r="V79" s="36">
        <v>5775.00123227992</v>
      </c>
      <c r="W79" s="36">
        <v>602.8137967876658</v>
      </c>
      <c r="X79" s="36">
        <v>6377.815029067586</v>
      </c>
      <c r="Y79" s="36">
        <v>0</v>
      </c>
      <c r="Z79" s="36">
        <v>0</v>
      </c>
      <c r="AA79" s="36">
        <v>140.49679565429688</v>
      </c>
      <c r="AB79" s="36">
        <v>14.665522575378418</v>
      </c>
      <c r="AC79" s="36">
        <v>155.162322290315</v>
      </c>
      <c r="AD79" s="36">
        <v>1582.9635512111736</v>
      </c>
      <c r="AE79" s="36">
        <v>2.365357707834276</v>
      </c>
      <c r="AF79" s="36">
        <v>0</v>
      </c>
      <c r="AG79" s="36">
        <v>1585.2216492307746</v>
      </c>
      <c r="AH79" s="36">
        <v>5775.00123227992</v>
      </c>
      <c r="AI79" s="56">
        <v>0.27449719670534906</v>
      </c>
      <c r="AJ79" s="36">
        <v>38.46110153198242</v>
      </c>
      <c r="AK79" s="36">
        <v>0</v>
      </c>
      <c r="AL79" s="36">
        <v>0</v>
      </c>
      <c r="AM79" s="36">
        <v>1623.6827392578125</v>
      </c>
      <c r="AN79" s="36">
        <v>6377.815029067586</v>
      </c>
      <c r="AO79" s="56">
        <v>0.2545829117298126</v>
      </c>
    </row>
    <row r="80" spans="1:41" ht="12.75" customHeight="1">
      <c r="A80" t="s">
        <v>434</v>
      </c>
      <c r="B80" t="s">
        <v>434</v>
      </c>
      <c r="C80" s="36">
        <v>20</v>
      </c>
      <c r="D80" s="36">
        <v>3200</v>
      </c>
      <c r="E80" s="36">
        <v>5775</v>
      </c>
      <c r="F80" s="36">
        <v>0</v>
      </c>
      <c r="G80" s="36">
        <v>602.8137817382812</v>
      </c>
      <c r="H80" s="36" t="s">
        <v>197</v>
      </c>
      <c r="I80" s="36">
        <v>2.56</v>
      </c>
      <c r="J80" s="36">
        <v>0.4300000071525574</v>
      </c>
      <c r="K80" s="36">
        <v>3444</v>
      </c>
      <c r="L80" s="47">
        <v>0.06603703020803935</v>
      </c>
      <c r="M80" s="36">
        <v>0.15357448630136983</v>
      </c>
      <c r="N80" s="36"/>
      <c r="O80" s="36"/>
      <c r="P80" s="36">
        <v>5775.00123227992</v>
      </c>
      <c r="Q80" s="36">
        <v>0</v>
      </c>
      <c r="R80" s="36">
        <v>0</v>
      </c>
      <c r="S80" s="36">
        <v>0</v>
      </c>
      <c r="T80" s="36">
        <v>0</v>
      </c>
      <c r="U80" s="36">
        <v>0</v>
      </c>
      <c r="V80" s="36">
        <v>5775.00123227992</v>
      </c>
      <c r="W80" s="36">
        <v>602.8137967876658</v>
      </c>
      <c r="X80" s="36">
        <v>6377.815029067586</v>
      </c>
      <c r="Y80" s="36">
        <v>0</v>
      </c>
      <c r="Z80" s="36">
        <v>0</v>
      </c>
      <c r="AA80" s="36">
        <v>131.7157440185547</v>
      </c>
      <c r="AB80" s="36">
        <v>13.748927116394043</v>
      </c>
      <c r="AC80" s="36">
        <v>145.46467714717033</v>
      </c>
      <c r="AD80" s="36">
        <v>1672.1197819818642</v>
      </c>
      <c r="AE80" s="36">
        <v>2.5220867581176387</v>
      </c>
      <c r="AF80" s="36">
        <v>0</v>
      </c>
      <c r="AG80" s="36">
        <v>1674.5275020044655</v>
      </c>
      <c r="AH80" s="36">
        <v>5775.00123227992</v>
      </c>
      <c r="AI80" s="56">
        <v>0.28996141033607653</v>
      </c>
      <c r="AJ80" s="36">
        <v>39.10212707519531</v>
      </c>
      <c r="AK80" s="36">
        <v>0</v>
      </c>
      <c r="AL80" s="36">
        <v>0</v>
      </c>
      <c r="AM80" s="36">
        <v>1713.629638671875</v>
      </c>
      <c r="AN80" s="36">
        <v>6377.815029067586</v>
      </c>
      <c r="AO80" s="56">
        <v>0.2686859965324402</v>
      </c>
    </row>
    <row r="81" spans="1:41" ht="12.75" customHeight="1">
      <c r="A81" t="s">
        <v>435</v>
      </c>
      <c r="B81" t="s">
        <v>435</v>
      </c>
      <c r="C81" s="36">
        <v>20</v>
      </c>
      <c r="D81" s="36">
        <v>2400</v>
      </c>
      <c r="E81" s="36">
        <v>7180.25</v>
      </c>
      <c r="F81" s="36">
        <v>0</v>
      </c>
      <c r="G81" s="36">
        <v>602.8137817382812</v>
      </c>
      <c r="H81" s="36" t="s">
        <v>188</v>
      </c>
      <c r="I81" s="36">
        <v>10.43</v>
      </c>
      <c r="J81" s="36">
        <v>0.5099999904632568</v>
      </c>
      <c r="K81" s="36">
        <v>2583</v>
      </c>
      <c r="L81" s="47">
        <v>0.014418037792355566</v>
      </c>
      <c r="M81" s="36">
        <v>0.02827066286659925</v>
      </c>
      <c r="N81" s="36"/>
      <c r="O81" s="36"/>
      <c r="P81" s="36">
        <v>7180.251532134701</v>
      </c>
      <c r="Q81" s="36">
        <v>0</v>
      </c>
      <c r="R81" s="36">
        <v>0</v>
      </c>
      <c r="S81" s="36">
        <v>0</v>
      </c>
      <c r="T81" s="36">
        <v>0</v>
      </c>
      <c r="U81" s="36">
        <v>0</v>
      </c>
      <c r="V81" s="36">
        <v>7180.251532134701</v>
      </c>
      <c r="W81" s="36">
        <v>602.8137967876658</v>
      </c>
      <c r="X81" s="36">
        <v>7783.0653289223665</v>
      </c>
      <c r="Y81" s="36">
        <v>0</v>
      </c>
      <c r="Z81" s="36">
        <v>0</v>
      </c>
      <c r="AA81" s="36">
        <v>218.35543823242188</v>
      </c>
      <c r="AB81" s="36">
        <v>18.3319034576416</v>
      </c>
      <c r="AC81" s="36">
        <v>236.68734618926797</v>
      </c>
      <c r="AD81" s="36">
        <v>1254.748998074017</v>
      </c>
      <c r="AE81" s="36">
        <v>0.5506538086219502</v>
      </c>
      <c r="AF81" s="36">
        <v>0</v>
      </c>
      <c r="AG81" s="36">
        <v>1255.2746818936848</v>
      </c>
      <c r="AH81" s="36">
        <v>7180.251532134701</v>
      </c>
      <c r="AI81" s="56">
        <v>0.1748232184173205</v>
      </c>
      <c r="AJ81" s="36">
        <v>7.198089122772217</v>
      </c>
      <c r="AK81" s="36">
        <v>0</v>
      </c>
      <c r="AL81" s="36">
        <v>0</v>
      </c>
      <c r="AM81" s="36">
        <v>1262.4727783203125</v>
      </c>
      <c r="AN81" s="36">
        <v>7783.0653289223665</v>
      </c>
      <c r="AO81" s="56">
        <v>0.16220764815807343</v>
      </c>
    </row>
    <row r="82" spans="1:41" ht="12.75" customHeight="1">
      <c r="A82" t="s">
        <v>436</v>
      </c>
      <c r="B82" t="s">
        <v>436</v>
      </c>
      <c r="C82" s="36">
        <v>20</v>
      </c>
      <c r="D82" s="36">
        <v>2500</v>
      </c>
      <c r="E82" s="36">
        <v>7180.25</v>
      </c>
      <c r="F82" s="36">
        <v>0</v>
      </c>
      <c r="G82" s="36">
        <v>602.8137817382812</v>
      </c>
      <c r="H82" s="36" t="s">
        <v>189</v>
      </c>
      <c r="I82" s="36">
        <v>8.44</v>
      </c>
      <c r="J82" s="36">
        <v>0.5699999928474426</v>
      </c>
      <c r="K82" s="36">
        <v>2690.6249999999995</v>
      </c>
      <c r="L82" s="47">
        <v>0.02074347300789822</v>
      </c>
      <c r="M82" s="36">
        <v>0.03639205836525351</v>
      </c>
      <c r="N82" s="36"/>
      <c r="O82" s="36"/>
      <c r="P82" s="36">
        <v>7180.251532134701</v>
      </c>
      <c r="Q82" s="36">
        <v>0</v>
      </c>
      <c r="R82" s="36">
        <v>0</v>
      </c>
      <c r="S82" s="36">
        <v>0</v>
      </c>
      <c r="T82" s="36">
        <v>0</v>
      </c>
      <c r="U82" s="36">
        <v>0</v>
      </c>
      <c r="V82" s="36">
        <v>7180.251532134701</v>
      </c>
      <c r="W82" s="36">
        <v>602.8137967876658</v>
      </c>
      <c r="X82" s="36">
        <v>7783.0653289223665</v>
      </c>
      <c r="Y82" s="36">
        <v>0</v>
      </c>
      <c r="Z82" s="36">
        <v>0</v>
      </c>
      <c r="AA82" s="36">
        <v>209.62123107910156</v>
      </c>
      <c r="AB82" s="36">
        <v>17.5986270904541</v>
      </c>
      <c r="AC82" s="36">
        <v>227.2198523416973</v>
      </c>
      <c r="AD82" s="36">
        <v>1306.3435796733315</v>
      </c>
      <c r="AE82" s="36">
        <v>0.7922348783065309</v>
      </c>
      <c r="AF82" s="36">
        <v>0</v>
      </c>
      <c r="AG82" s="36">
        <v>1307.0998898093578</v>
      </c>
      <c r="AH82" s="36">
        <v>7180.251532134701</v>
      </c>
      <c r="AI82" s="56">
        <v>0.1820409610944026</v>
      </c>
      <c r="AJ82" s="36">
        <v>9.265905380249023</v>
      </c>
      <c r="AK82" s="36">
        <v>0</v>
      </c>
      <c r="AL82" s="36">
        <v>0</v>
      </c>
      <c r="AM82" s="36">
        <v>1316.3658447265625</v>
      </c>
      <c r="AN82" s="36">
        <v>7783.0653289223665</v>
      </c>
      <c r="AO82" s="56">
        <v>0.1691320538520813</v>
      </c>
    </row>
    <row r="83" spans="1:41" ht="12.75" customHeight="1">
      <c r="A83" t="s">
        <v>437</v>
      </c>
      <c r="B83" t="s">
        <v>437</v>
      </c>
      <c r="C83" s="36">
        <v>20</v>
      </c>
      <c r="D83" s="36">
        <v>2700</v>
      </c>
      <c r="E83" s="36">
        <v>7180.25</v>
      </c>
      <c r="F83" s="36">
        <v>0</v>
      </c>
      <c r="G83" s="36">
        <v>602.8137817382812</v>
      </c>
      <c r="H83" s="36" t="s">
        <v>190</v>
      </c>
      <c r="I83" s="36">
        <v>5.08</v>
      </c>
      <c r="J83" s="36">
        <v>0.44999998807907104</v>
      </c>
      <c r="K83" s="36">
        <v>2905.8749999999995</v>
      </c>
      <c r="L83" s="47">
        <v>0.02938472376584849</v>
      </c>
      <c r="M83" s="36">
        <v>0.06529938787617301</v>
      </c>
      <c r="N83" s="36"/>
      <c r="O83" s="36"/>
      <c r="P83" s="36">
        <v>7180.251532134701</v>
      </c>
      <c r="Q83" s="36">
        <v>0</v>
      </c>
      <c r="R83" s="36">
        <v>0</v>
      </c>
      <c r="S83" s="36">
        <v>0</v>
      </c>
      <c r="T83" s="36">
        <v>0</v>
      </c>
      <c r="U83" s="36">
        <v>0</v>
      </c>
      <c r="V83" s="36">
        <v>7180.251532134701</v>
      </c>
      <c r="W83" s="36">
        <v>602.8137967876658</v>
      </c>
      <c r="X83" s="36">
        <v>7783.0653289223665</v>
      </c>
      <c r="Y83" s="36">
        <v>0</v>
      </c>
      <c r="Z83" s="36">
        <v>0</v>
      </c>
      <c r="AA83" s="36">
        <v>194.09373474121094</v>
      </c>
      <c r="AB83" s="36">
        <v>16.295024871826172</v>
      </c>
      <c r="AC83" s="36">
        <v>210.3887521682382</v>
      </c>
      <c r="AD83" s="36">
        <v>1410.8510660471961</v>
      </c>
      <c r="AE83" s="36">
        <v>1.1222615927354183</v>
      </c>
      <c r="AF83" s="36">
        <v>0</v>
      </c>
      <c r="AG83" s="36">
        <v>1411.9224374814771</v>
      </c>
      <c r="AH83" s="36">
        <v>7180.251532134701</v>
      </c>
      <c r="AI83" s="56">
        <v>0.19663969028975092</v>
      </c>
      <c r="AJ83" s="36">
        <v>16.626096725463867</v>
      </c>
      <c r="AK83" s="36">
        <v>0</v>
      </c>
      <c r="AL83" s="36">
        <v>0</v>
      </c>
      <c r="AM83" s="36">
        <v>1428.548583984375</v>
      </c>
      <c r="AN83" s="36">
        <v>7783.0653289223665</v>
      </c>
      <c r="AO83" s="56">
        <v>0.18354575335979462</v>
      </c>
    </row>
    <row r="84" spans="1:41" ht="12.75" customHeight="1">
      <c r="A84" t="s">
        <v>438</v>
      </c>
      <c r="B84" t="s">
        <v>438</v>
      </c>
      <c r="C84" s="36">
        <v>20</v>
      </c>
      <c r="D84" s="36">
        <v>3200</v>
      </c>
      <c r="E84" s="36">
        <v>7180.25</v>
      </c>
      <c r="F84" s="36">
        <v>0</v>
      </c>
      <c r="G84" s="36">
        <v>602.8137817382812</v>
      </c>
      <c r="H84" s="36" t="s">
        <v>191</v>
      </c>
      <c r="I84" s="36">
        <v>4.35</v>
      </c>
      <c r="J84" s="36">
        <v>0.30000001192092896</v>
      </c>
      <c r="K84" s="36">
        <v>3444</v>
      </c>
      <c r="L84" s="47">
        <v>0.027113841417511133</v>
      </c>
      <c r="M84" s="36">
        <v>0.09037946780034639</v>
      </c>
      <c r="N84" s="36"/>
      <c r="O84" s="36"/>
      <c r="P84" s="36">
        <v>7180.251532134701</v>
      </c>
      <c r="Q84" s="36">
        <v>0</v>
      </c>
      <c r="R84" s="36">
        <v>0</v>
      </c>
      <c r="S84" s="36">
        <v>0</v>
      </c>
      <c r="T84" s="36">
        <v>0</v>
      </c>
      <c r="U84" s="36">
        <v>0</v>
      </c>
      <c r="V84" s="36">
        <v>7180.251532134701</v>
      </c>
      <c r="W84" s="36">
        <v>602.8137967876658</v>
      </c>
      <c r="X84" s="36">
        <v>7783.0653289223665</v>
      </c>
      <c r="Y84" s="36">
        <v>0</v>
      </c>
      <c r="Z84" s="36">
        <v>0</v>
      </c>
      <c r="AA84" s="36">
        <v>163.76658630371094</v>
      </c>
      <c r="AB84" s="36">
        <v>13.748927116394043</v>
      </c>
      <c r="AC84" s="36">
        <v>177.51550964195098</v>
      </c>
      <c r="AD84" s="36">
        <v>1688.4944546252477</v>
      </c>
      <c r="AE84" s="36">
        <v>1.0355320368795355</v>
      </c>
      <c r="AF84" s="36">
        <v>0</v>
      </c>
      <c r="AG84" s="36">
        <v>1689.4830293486252</v>
      </c>
      <c r="AH84" s="36">
        <v>7180.251532134701</v>
      </c>
      <c r="AI84" s="56">
        <v>0.23529580012447546</v>
      </c>
      <c r="AJ84" s="36">
        <v>23.01181983947754</v>
      </c>
      <c r="AK84" s="36">
        <v>0</v>
      </c>
      <c r="AL84" s="36">
        <v>0</v>
      </c>
      <c r="AM84" s="36">
        <v>1712.494873046875</v>
      </c>
      <c r="AN84" s="36">
        <v>7783.0653289223665</v>
      </c>
      <c r="AO84" s="56">
        <v>0.2200283259153366</v>
      </c>
    </row>
    <row r="85" spans="1:41" ht="12.75" customHeight="1">
      <c r="A85" t="s">
        <v>439</v>
      </c>
      <c r="B85" t="s">
        <v>439</v>
      </c>
      <c r="C85" s="36">
        <v>20</v>
      </c>
      <c r="D85" s="36">
        <v>3400</v>
      </c>
      <c r="E85" s="36">
        <v>7180.25</v>
      </c>
      <c r="F85" s="36">
        <v>0</v>
      </c>
      <c r="G85" s="36">
        <v>602.8137817382812</v>
      </c>
      <c r="H85" s="36" t="s">
        <v>192</v>
      </c>
      <c r="I85" s="36">
        <v>3.35</v>
      </c>
      <c r="J85" s="36">
        <v>0.23999999463558197</v>
      </c>
      <c r="K85" s="36">
        <v>3659.25</v>
      </c>
      <c r="L85" s="47">
        <v>0.02992639475125241</v>
      </c>
      <c r="M85" s="36">
        <v>0.12469331425066447</v>
      </c>
      <c r="N85" s="36"/>
      <c r="O85" s="36"/>
      <c r="P85" s="36">
        <v>7180.251532134701</v>
      </c>
      <c r="Q85" s="36">
        <v>0</v>
      </c>
      <c r="R85" s="36">
        <v>0</v>
      </c>
      <c r="S85" s="36">
        <v>0</v>
      </c>
      <c r="T85" s="36">
        <v>0</v>
      </c>
      <c r="U85" s="36">
        <v>0</v>
      </c>
      <c r="V85" s="36">
        <v>7180.251532134701</v>
      </c>
      <c r="W85" s="36">
        <v>602.8137967876658</v>
      </c>
      <c r="X85" s="36">
        <v>7783.0653289223665</v>
      </c>
      <c r="Y85" s="36">
        <v>0</v>
      </c>
      <c r="Z85" s="36">
        <v>0</v>
      </c>
      <c r="AA85" s="36">
        <v>154.1332550048828</v>
      </c>
      <c r="AB85" s="36">
        <v>12.940166473388672</v>
      </c>
      <c r="AC85" s="36">
        <v>167.0734208394833</v>
      </c>
      <c r="AD85" s="36">
        <v>1776.6272683557281</v>
      </c>
      <c r="AE85" s="36">
        <v>1.1429490951146126</v>
      </c>
      <c r="AF85" s="36">
        <v>0</v>
      </c>
      <c r="AG85" s="36">
        <v>1777.718389195352</v>
      </c>
      <c r="AH85" s="36">
        <v>7180.251532134701</v>
      </c>
      <c r="AI85" s="56">
        <v>0.24758441695799943</v>
      </c>
      <c r="AJ85" s="36">
        <v>31.74859046936035</v>
      </c>
      <c r="AK85" s="36">
        <v>0</v>
      </c>
      <c r="AL85" s="36">
        <v>0</v>
      </c>
      <c r="AM85" s="36">
        <v>1809.4669189453125</v>
      </c>
      <c r="AN85" s="36">
        <v>7783.0653289223665</v>
      </c>
      <c r="AO85" s="56">
        <v>0.23248769342899323</v>
      </c>
    </row>
    <row r="86" spans="1:41" ht="12.75" customHeight="1">
      <c r="A86" t="s">
        <v>440</v>
      </c>
      <c r="B86" t="s">
        <v>440</v>
      </c>
      <c r="C86" s="36">
        <v>20</v>
      </c>
      <c r="D86" s="36">
        <v>2400</v>
      </c>
      <c r="E86" s="36">
        <v>7180.25</v>
      </c>
      <c r="F86" s="36">
        <v>0</v>
      </c>
      <c r="G86" s="36">
        <v>602.8137817382812</v>
      </c>
      <c r="H86" s="36" t="s">
        <v>193</v>
      </c>
      <c r="I86" s="36">
        <v>2.47</v>
      </c>
      <c r="J86" s="36">
        <v>0.33000001311302185</v>
      </c>
      <c r="K86" s="36">
        <v>2583</v>
      </c>
      <c r="L86" s="47">
        <v>0.039394655217446596</v>
      </c>
      <c r="M86" s="36">
        <v>0.11937773833952638</v>
      </c>
      <c r="N86" s="36"/>
      <c r="O86" s="36"/>
      <c r="P86" s="36">
        <v>7180.251532134701</v>
      </c>
      <c r="Q86" s="36">
        <v>0</v>
      </c>
      <c r="R86" s="36">
        <v>0</v>
      </c>
      <c r="S86" s="36">
        <v>0</v>
      </c>
      <c r="T86" s="36">
        <v>0</v>
      </c>
      <c r="U86" s="36">
        <v>0</v>
      </c>
      <c r="V86" s="36">
        <v>7180.251532134701</v>
      </c>
      <c r="W86" s="36">
        <v>602.8137967876658</v>
      </c>
      <c r="X86" s="36">
        <v>7783.0653289223665</v>
      </c>
      <c r="Y86" s="36">
        <v>0</v>
      </c>
      <c r="Z86" s="36">
        <v>0</v>
      </c>
      <c r="AA86" s="36">
        <v>218.35543823242188</v>
      </c>
      <c r="AB86" s="36">
        <v>18.3319034576416</v>
      </c>
      <c r="AC86" s="36">
        <v>236.68734618926797</v>
      </c>
      <c r="AD86" s="36">
        <v>1254.748998074017</v>
      </c>
      <c r="AE86" s="36">
        <v>1.5045609705876257</v>
      </c>
      <c r="AF86" s="36">
        <v>0</v>
      </c>
      <c r="AG86" s="36">
        <v>1256.1853331098553</v>
      </c>
      <c r="AH86" s="36">
        <v>7180.251532134701</v>
      </c>
      <c r="AI86" s="56">
        <v>0.17495004561997415</v>
      </c>
      <c r="AJ86" s="36">
        <v>30.395170211791992</v>
      </c>
      <c r="AK86" s="36">
        <v>0</v>
      </c>
      <c r="AL86" s="36">
        <v>0</v>
      </c>
      <c r="AM86" s="36">
        <v>1286.5804443359375</v>
      </c>
      <c r="AN86" s="36">
        <v>7783.0653289223665</v>
      </c>
      <c r="AO86" s="56">
        <v>0.16530510783195496</v>
      </c>
    </row>
    <row r="87" spans="1:41" ht="12.75" customHeight="1">
      <c r="A87" t="s">
        <v>441</v>
      </c>
      <c r="B87" t="s">
        <v>441</v>
      </c>
      <c r="C87" s="36">
        <v>20</v>
      </c>
      <c r="D87" s="36">
        <v>2500</v>
      </c>
      <c r="E87" s="36">
        <v>7180.25</v>
      </c>
      <c r="F87" s="36">
        <v>0</v>
      </c>
      <c r="G87" s="36">
        <v>602.8137817382812</v>
      </c>
      <c r="H87" s="36" t="s">
        <v>194</v>
      </c>
      <c r="I87" s="36">
        <v>2.57</v>
      </c>
      <c r="J87" s="36">
        <v>0.36000001430511475</v>
      </c>
      <c r="K87" s="36">
        <v>2690.6249999999995</v>
      </c>
      <c r="L87" s="47">
        <v>0.04302476051781618</v>
      </c>
      <c r="M87" s="36">
        <v>0.11951321891157186</v>
      </c>
      <c r="N87" s="36"/>
      <c r="O87" s="36"/>
      <c r="P87" s="36">
        <v>7180.251532134701</v>
      </c>
      <c r="Q87" s="36">
        <v>0</v>
      </c>
      <c r="R87" s="36">
        <v>0</v>
      </c>
      <c r="S87" s="36">
        <v>0</v>
      </c>
      <c r="T87" s="36">
        <v>0</v>
      </c>
      <c r="U87" s="36">
        <v>0</v>
      </c>
      <c r="V87" s="36">
        <v>7180.251532134701</v>
      </c>
      <c r="W87" s="36">
        <v>602.8137967876658</v>
      </c>
      <c r="X87" s="36">
        <v>7783.0653289223665</v>
      </c>
      <c r="Y87" s="36">
        <v>0</v>
      </c>
      <c r="Z87" s="36">
        <v>0</v>
      </c>
      <c r="AA87" s="36">
        <v>209.62123107910156</v>
      </c>
      <c r="AB87" s="36">
        <v>17.5986270904541</v>
      </c>
      <c r="AC87" s="36">
        <v>227.2198523416973</v>
      </c>
      <c r="AD87" s="36">
        <v>1306.3435796733315</v>
      </c>
      <c r="AE87" s="36">
        <v>1.643201979727376</v>
      </c>
      <c r="AF87" s="36">
        <v>0</v>
      </c>
      <c r="AG87" s="36">
        <v>1307.9122688926986</v>
      </c>
      <c r="AH87" s="36">
        <v>7180.251532134701</v>
      </c>
      <c r="AI87" s="56">
        <v>0.1821541018499465</v>
      </c>
      <c r="AJ87" s="36">
        <v>30.42966651916504</v>
      </c>
      <c r="AK87" s="36">
        <v>0</v>
      </c>
      <c r="AL87" s="36">
        <v>0</v>
      </c>
      <c r="AM87" s="36">
        <v>1338.3419189453125</v>
      </c>
      <c r="AN87" s="36">
        <v>7783.0653289223665</v>
      </c>
      <c r="AO87" s="56">
        <v>0.1719556301832199</v>
      </c>
    </row>
    <row r="88" spans="1:41" ht="12.75" customHeight="1">
      <c r="A88" t="s">
        <v>442</v>
      </c>
      <c r="B88" t="s">
        <v>442</v>
      </c>
      <c r="C88" s="36">
        <v>20</v>
      </c>
      <c r="D88" s="36">
        <v>2700</v>
      </c>
      <c r="E88" s="36">
        <v>7180.25</v>
      </c>
      <c r="F88" s="36">
        <v>0</v>
      </c>
      <c r="G88" s="36">
        <v>602.8137817382812</v>
      </c>
      <c r="H88" s="36" t="s">
        <v>195</v>
      </c>
      <c r="I88" s="36">
        <v>1.8</v>
      </c>
      <c r="J88" s="36">
        <v>0.25999999046325684</v>
      </c>
      <c r="K88" s="36">
        <v>2905.8749999999995</v>
      </c>
      <c r="L88" s="47">
        <v>0.04791523796850687</v>
      </c>
      <c r="M88" s="36">
        <v>0.18428938356164382</v>
      </c>
      <c r="N88" s="36"/>
      <c r="O88" s="36"/>
      <c r="P88" s="36">
        <v>7180.251532134701</v>
      </c>
      <c r="Q88" s="36">
        <v>0</v>
      </c>
      <c r="R88" s="36">
        <v>0</v>
      </c>
      <c r="S88" s="36">
        <v>0</v>
      </c>
      <c r="T88" s="36">
        <v>0</v>
      </c>
      <c r="U88" s="36">
        <v>0</v>
      </c>
      <c r="V88" s="36">
        <v>7180.251532134701</v>
      </c>
      <c r="W88" s="36">
        <v>602.8137967876658</v>
      </c>
      <c r="X88" s="36">
        <v>7783.0653289223665</v>
      </c>
      <c r="Y88" s="36">
        <v>0</v>
      </c>
      <c r="Z88" s="36">
        <v>0</v>
      </c>
      <c r="AA88" s="36">
        <v>194.09373474121094</v>
      </c>
      <c r="AB88" s="36">
        <v>16.295024871826172</v>
      </c>
      <c r="AC88" s="36">
        <v>210.3887521682382</v>
      </c>
      <c r="AD88" s="36">
        <v>1410.8510660471961</v>
      </c>
      <c r="AE88" s="36">
        <v>1.8299791315829776</v>
      </c>
      <c r="AF88" s="36">
        <v>0</v>
      </c>
      <c r="AG88" s="36">
        <v>1412.5980628076659</v>
      </c>
      <c r="AH88" s="36">
        <v>7180.251532134701</v>
      </c>
      <c r="AI88" s="56">
        <v>0.19673378522823115</v>
      </c>
      <c r="AJ88" s="36">
        <v>46.92254638671875</v>
      </c>
      <c r="AK88" s="36">
        <v>0</v>
      </c>
      <c r="AL88" s="36">
        <v>0</v>
      </c>
      <c r="AM88" s="36">
        <v>1459.5206298828125</v>
      </c>
      <c r="AN88" s="36">
        <v>7783.0653289223665</v>
      </c>
      <c r="AO88" s="56">
        <v>0.1875251680612564</v>
      </c>
    </row>
    <row r="89" spans="1:41" ht="12.75" customHeight="1">
      <c r="A89" t="s">
        <v>443</v>
      </c>
      <c r="B89" t="s">
        <v>443</v>
      </c>
      <c r="C89" s="36">
        <v>20</v>
      </c>
      <c r="D89" s="36">
        <v>3200</v>
      </c>
      <c r="E89" s="36">
        <v>7180.25</v>
      </c>
      <c r="F89" s="36">
        <v>0</v>
      </c>
      <c r="G89" s="36">
        <v>602.8137817382812</v>
      </c>
      <c r="H89" s="36" t="s">
        <v>196</v>
      </c>
      <c r="I89" s="36">
        <v>2.44</v>
      </c>
      <c r="J89" s="36">
        <v>0.4099999964237213</v>
      </c>
      <c r="K89" s="36">
        <v>3444</v>
      </c>
      <c r="L89" s="47">
        <v>0.06606220467864811</v>
      </c>
      <c r="M89" s="36">
        <v>0.1611273298899618</v>
      </c>
      <c r="N89" s="36"/>
      <c r="O89" s="36"/>
      <c r="P89" s="36">
        <v>7180.251532134701</v>
      </c>
      <c r="Q89" s="36">
        <v>0</v>
      </c>
      <c r="R89" s="36">
        <v>0</v>
      </c>
      <c r="S89" s="36">
        <v>0</v>
      </c>
      <c r="T89" s="36">
        <v>0</v>
      </c>
      <c r="U89" s="36">
        <v>0</v>
      </c>
      <c r="V89" s="36">
        <v>7180.251532134701</v>
      </c>
      <c r="W89" s="36">
        <v>602.8137967876658</v>
      </c>
      <c r="X89" s="36">
        <v>7783.0653289223665</v>
      </c>
      <c r="Y89" s="36">
        <v>0</v>
      </c>
      <c r="Z89" s="36">
        <v>0</v>
      </c>
      <c r="AA89" s="36">
        <v>163.76658630371094</v>
      </c>
      <c r="AB89" s="36">
        <v>13.748927116394043</v>
      </c>
      <c r="AC89" s="36">
        <v>177.51550964195098</v>
      </c>
      <c r="AD89" s="36">
        <v>1688.4944546252477</v>
      </c>
      <c r="AE89" s="36">
        <v>2.523048221689895</v>
      </c>
      <c r="AF89" s="36">
        <v>0</v>
      </c>
      <c r="AG89" s="36">
        <v>1690.903092512822</v>
      </c>
      <c r="AH89" s="36">
        <v>7180.251532134701</v>
      </c>
      <c r="AI89" s="56">
        <v>0.23549357358099593</v>
      </c>
      <c r="AJ89" s="36">
        <v>41.025169372558594</v>
      </c>
      <c r="AK89" s="36">
        <v>0</v>
      </c>
      <c r="AL89" s="36">
        <v>0</v>
      </c>
      <c r="AM89" s="36">
        <v>1731.92822265625</v>
      </c>
      <c r="AN89" s="36">
        <v>7783.0653289223665</v>
      </c>
      <c r="AO89" s="56">
        <v>0.2225252091884613</v>
      </c>
    </row>
    <row r="90" spans="1:41" ht="12.75" customHeight="1">
      <c r="A90" t="s">
        <v>444</v>
      </c>
      <c r="B90" t="s">
        <v>444</v>
      </c>
      <c r="C90" s="36">
        <v>20</v>
      </c>
      <c r="D90" s="36">
        <v>3400</v>
      </c>
      <c r="E90" s="36">
        <v>7180.25</v>
      </c>
      <c r="F90" s="36">
        <v>0</v>
      </c>
      <c r="G90" s="36">
        <v>602.8137817382812</v>
      </c>
      <c r="H90" s="36" t="s">
        <v>197</v>
      </c>
      <c r="I90" s="36">
        <v>2.56</v>
      </c>
      <c r="J90" s="36">
        <v>0.4300000071525574</v>
      </c>
      <c r="K90" s="36">
        <v>3659.25</v>
      </c>
      <c r="L90" s="47">
        <v>0.07016434459604182</v>
      </c>
      <c r="M90" s="36">
        <v>0.16317289169520546</v>
      </c>
      <c r="N90" s="36"/>
      <c r="O90" s="36"/>
      <c r="P90" s="36">
        <v>7180.251532134701</v>
      </c>
      <c r="Q90" s="36">
        <v>0</v>
      </c>
      <c r="R90" s="36">
        <v>0</v>
      </c>
      <c r="S90" s="36">
        <v>0</v>
      </c>
      <c r="T90" s="36">
        <v>0</v>
      </c>
      <c r="U90" s="36">
        <v>0</v>
      </c>
      <c r="V90" s="36">
        <v>7180.251532134701</v>
      </c>
      <c r="W90" s="36">
        <v>602.8137967876658</v>
      </c>
      <c r="X90" s="36">
        <v>7783.0653289223665</v>
      </c>
      <c r="Y90" s="36">
        <v>0</v>
      </c>
      <c r="Z90" s="36">
        <v>0</v>
      </c>
      <c r="AA90" s="36">
        <v>154.1332550048828</v>
      </c>
      <c r="AB90" s="36">
        <v>12.940166473388672</v>
      </c>
      <c r="AC90" s="36">
        <v>167.0734208394833</v>
      </c>
      <c r="AD90" s="36">
        <v>1776.6272683557281</v>
      </c>
      <c r="AE90" s="36">
        <v>2.679717180499992</v>
      </c>
      <c r="AF90" s="36">
        <v>0</v>
      </c>
      <c r="AG90" s="36">
        <v>1779.185470879742</v>
      </c>
      <c r="AH90" s="36">
        <v>7180.251532134701</v>
      </c>
      <c r="AI90" s="56">
        <v>0.2477887387255342</v>
      </c>
      <c r="AJ90" s="36">
        <v>41.54600524902344</v>
      </c>
      <c r="AK90" s="36">
        <v>0</v>
      </c>
      <c r="AL90" s="36">
        <v>0</v>
      </c>
      <c r="AM90" s="36">
        <v>1820.7314453125</v>
      </c>
      <c r="AN90" s="36">
        <v>7783.0653289223665</v>
      </c>
      <c r="AO90" s="56">
        <v>0.23393501341342926</v>
      </c>
    </row>
    <row r="91" spans="1:41" ht="12.75" customHeight="1">
      <c r="A91"/>
      <c r="B91"/>
      <c r="C91" s="36"/>
      <c r="D91" s="36"/>
      <c r="E91" s="36"/>
      <c r="F91" s="36"/>
      <c r="G91" s="36"/>
      <c r="H91" s="36"/>
      <c r="I91" s="36"/>
      <c r="J91" s="36"/>
      <c r="K91" s="36"/>
      <c r="L91" s="47"/>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48"/>
    </row>
    <row r="92" spans="1:41" ht="12.75" customHeight="1" thickBot="1">
      <c r="A92"/>
      <c r="B92"/>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row>
    <row r="93" spans="1:41" ht="12.75" customHeight="1" thickBot="1">
      <c r="A93" s="49" t="s">
        <v>129</v>
      </c>
      <c r="B93" s="58"/>
      <c r="C93" s="59" t="s">
        <v>101</v>
      </c>
      <c r="D93" s="50"/>
      <c r="E93" s="50"/>
      <c r="F93" s="50"/>
      <c r="G93" s="50"/>
      <c r="H93" s="50"/>
      <c r="I93" s="50"/>
      <c r="J93" s="51"/>
      <c r="K93" s="59" t="s">
        <v>45</v>
      </c>
      <c r="L93" s="50"/>
      <c r="M93" s="51"/>
      <c r="N93" s="59" t="s">
        <v>102</v>
      </c>
      <c r="O93" s="50"/>
      <c r="P93" s="50"/>
      <c r="Q93" s="50"/>
      <c r="R93" s="60" t="s">
        <v>103</v>
      </c>
      <c r="S93" s="59" t="s">
        <v>79</v>
      </c>
      <c r="T93" s="50"/>
      <c r="U93" s="50"/>
      <c r="V93" s="50"/>
      <c r="W93" s="50"/>
      <c r="X93" s="51"/>
      <c r="Y93" s="59" t="s">
        <v>80</v>
      </c>
      <c r="Z93" s="50"/>
      <c r="AA93" s="50"/>
      <c r="AB93" s="50"/>
      <c r="AC93" s="50"/>
      <c r="AD93" s="51"/>
      <c r="AE93" s="36"/>
      <c r="AF93" s="36"/>
      <c r="AG93" s="36"/>
      <c r="AH93" s="36"/>
      <c r="AI93" s="36"/>
      <c r="AJ93" s="36"/>
      <c r="AK93" s="36"/>
      <c r="AL93" s="36"/>
      <c r="AM93" s="36"/>
      <c r="AN93" s="36"/>
      <c r="AO93" s="36"/>
    </row>
    <row r="94" spans="1:41" ht="51">
      <c r="A94" s="44"/>
      <c r="B94" s="45" t="s">
        <v>51</v>
      </c>
      <c r="C94" s="46" t="s">
        <v>104</v>
      </c>
      <c r="D94" s="46" t="s">
        <v>82</v>
      </c>
      <c r="E94" s="46" t="s">
        <v>83</v>
      </c>
      <c r="F94" s="46" t="s">
        <v>84</v>
      </c>
      <c r="G94" s="46" t="s">
        <v>85</v>
      </c>
      <c r="H94" s="46" t="s">
        <v>86</v>
      </c>
      <c r="I94" s="46" t="s">
        <v>105</v>
      </c>
      <c r="J94" s="46" t="s">
        <v>106</v>
      </c>
      <c r="K94" s="46" t="s">
        <v>89</v>
      </c>
      <c r="L94" s="46" t="s">
        <v>90</v>
      </c>
      <c r="M94" s="46" t="s">
        <v>91</v>
      </c>
      <c r="N94" s="46" t="s">
        <v>46</v>
      </c>
      <c r="O94" s="46" t="s">
        <v>107</v>
      </c>
      <c r="P94" s="46" t="s">
        <v>108</v>
      </c>
      <c r="Q94" s="46" t="s">
        <v>109</v>
      </c>
      <c r="R94" s="46" t="s">
        <v>110</v>
      </c>
      <c r="S94" s="46" t="s">
        <v>92</v>
      </c>
      <c r="T94" s="46" t="s">
        <v>93</v>
      </c>
      <c r="U94" s="46" t="s">
        <v>56</v>
      </c>
      <c r="V94" s="46" t="s">
        <v>94</v>
      </c>
      <c r="W94" s="46" t="s">
        <v>95</v>
      </c>
      <c r="X94" s="46" t="s">
        <v>96</v>
      </c>
      <c r="Y94" s="46" t="s">
        <v>97</v>
      </c>
      <c r="Z94" s="46" t="s">
        <v>54</v>
      </c>
      <c r="AA94" s="46" t="s">
        <v>55</v>
      </c>
      <c r="AB94" s="46" t="s">
        <v>98</v>
      </c>
      <c r="AC94" s="46" t="s">
        <v>99</v>
      </c>
      <c r="AD94" s="46" t="s">
        <v>100</v>
      </c>
      <c r="AE94" s="36"/>
      <c r="AF94" s="36"/>
      <c r="AG94" s="36"/>
      <c r="AH94" s="36"/>
      <c r="AI94" s="36"/>
      <c r="AJ94" s="36"/>
      <c r="AK94" s="36"/>
      <c r="AL94" s="36"/>
      <c r="AM94" s="36"/>
      <c r="AN94" s="36"/>
      <c r="AO94" s="36"/>
    </row>
    <row r="95" spans="1:41" ht="12.75" customHeight="1">
      <c r="A95"/>
      <c r="B95" t="s">
        <v>454</v>
      </c>
      <c r="C95" s="36">
        <v>20</v>
      </c>
      <c r="D95" s="36">
        <v>2600</v>
      </c>
      <c r="E95" s="36">
        <v>3850</v>
      </c>
      <c r="F95" s="36">
        <v>0</v>
      </c>
      <c r="G95" s="36">
        <v>602.8137817382812</v>
      </c>
      <c r="H95" s="36"/>
      <c r="I95" s="36">
        <v>2.56</v>
      </c>
      <c r="J95" s="36">
        <v>0.4300000071525574</v>
      </c>
      <c r="K95" s="36">
        <v>2798.25</v>
      </c>
      <c r="L95" s="36">
        <v>0.05365508704403198</v>
      </c>
      <c r="M95" s="36">
        <v>0.12477926909923553</v>
      </c>
      <c r="N95" s="36">
        <v>3850.0008215199473</v>
      </c>
      <c r="O95" s="36">
        <v>0</v>
      </c>
      <c r="P95" s="36">
        <v>602.8137817382812</v>
      </c>
      <c r="Q95" s="36">
        <v>4452.814453125</v>
      </c>
      <c r="R95" s="36">
        <v>124.99621471503981</v>
      </c>
      <c r="S95" s="36">
        <v>1358.5973228602616</v>
      </c>
      <c r="T95" s="36">
        <v>2.0491955280303955</v>
      </c>
      <c r="U95" s="36">
        <v>0</v>
      </c>
      <c r="V95" s="36">
        <v>1360.5535953786252</v>
      </c>
      <c r="W95" s="36">
        <v>3850.0008215199473</v>
      </c>
      <c r="X95" s="56">
        <v>0.35339046884709246</v>
      </c>
      <c r="Y95" s="47">
        <v>31.77047348022461</v>
      </c>
      <c r="Z95" s="47">
        <v>0</v>
      </c>
      <c r="AA95" s="47">
        <v>0</v>
      </c>
      <c r="AB95" s="47">
        <v>1392.3240966796875</v>
      </c>
      <c r="AC95" s="47">
        <v>4452.814453125</v>
      </c>
      <c r="AD95" s="56">
        <v>0.3126840591430664</v>
      </c>
      <c r="AE95" s="47"/>
      <c r="AF95" s="47"/>
      <c r="AG95" s="47"/>
      <c r="AH95" s="47"/>
      <c r="AI95" s="47"/>
      <c r="AJ95" s="47"/>
      <c r="AK95" s="47"/>
      <c r="AL95" s="36"/>
      <c r="AM95" s="36"/>
      <c r="AN95" s="36"/>
      <c r="AO95" s="36"/>
    </row>
    <row r="96" spans="1:41" ht="12.75" customHeight="1">
      <c r="A96"/>
      <c r="B96" t="s">
        <v>449</v>
      </c>
      <c r="C96" s="36">
        <v>20</v>
      </c>
      <c r="D96" s="36">
        <v>2600</v>
      </c>
      <c r="E96" s="36">
        <v>3850</v>
      </c>
      <c r="F96" s="36">
        <v>0</v>
      </c>
      <c r="G96" s="36">
        <v>602.8137817382812</v>
      </c>
      <c r="H96" s="36"/>
      <c r="I96" s="36">
        <v>3.35</v>
      </c>
      <c r="J96" s="36">
        <v>0.23999999463558197</v>
      </c>
      <c r="K96" s="36">
        <v>2798.25</v>
      </c>
      <c r="L96" s="36">
        <v>0.0228848901038989</v>
      </c>
      <c r="M96" s="36">
        <v>0.09535370767116547</v>
      </c>
      <c r="N96" s="36">
        <v>3850.0008215199473</v>
      </c>
      <c r="O96" s="36">
        <v>0</v>
      </c>
      <c r="P96" s="36">
        <v>602.8137817382812</v>
      </c>
      <c r="Q96" s="36">
        <v>4452.814453125</v>
      </c>
      <c r="R96" s="36">
        <v>124.99621471503981</v>
      </c>
      <c r="S96" s="36">
        <v>1358.5973228602616</v>
      </c>
      <c r="T96" s="36">
        <v>0.8740199208259583</v>
      </c>
      <c r="U96" s="36">
        <v>0</v>
      </c>
      <c r="V96" s="36">
        <v>1359.4317093846798</v>
      </c>
      <c r="W96" s="36">
        <v>3850.0008215199473</v>
      </c>
      <c r="X96" s="56">
        <v>0.35309906994980533</v>
      </c>
      <c r="Y96" s="47">
        <v>24.278329849243164</v>
      </c>
      <c r="Z96" s="47">
        <v>0</v>
      </c>
      <c r="AA96" s="47">
        <v>0</v>
      </c>
      <c r="AB96" s="47">
        <v>1383.7100830078125</v>
      </c>
      <c r="AC96" s="47">
        <v>4452.814453125</v>
      </c>
      <c r="AD96" s="56">
        <v>0.3107495605945587</v>
      </c>
      <c r="AE96" s="47"/>
      <c r="AF96" s="47"/>
      <c r="AG96" s="47"/>
      <c r="AH96" s="47"/>
      <c r="AI96" s="47"/>
      <c r="AJ96" s="47"/>
      <c r="AK96" s="47"/>
      <c r="AL96" s="36"/>
      <c r="AM96" s="36"/>
      <c r="AN96" s="36"/>
      <c r="AO96" s="36"/>
    </row>
    <row r="97" spans="1:41" ht="12.75" customHeight="1">
      <c r="A97"/>
      <c r="B97" t="s">
        <v>453</v>
      </c>
      <c r="C97" s="36">
        <v>20</v>
      </c>
      <c r="D97" s="36">
        <v>2500</v>
      </c>
      <c r="E97" s="36">
        <v>3850</v>
      </c>
      <c r="F97" s="36">
        <v>0</v>
      </c>
      <c r="G97" s="36">
        <v>602.8137817382812</v>
      </c>
      <c r="H97" s="36"/>
      <c r="I97" s="36">
        <v>2.44</v>
      </c>
      <c r="J97" s="36">
        <v>0.4099999964237213</v>
      </c>
      <c r="K97" s="36">
        <v>2690.6249999999995</v>
      </c>
      <c r="L97" s="36">
        <v>0.051611097405193825</v>
      </c>
      <c r="M97" s="36">
        <v>0.12588073313236237</v>
      </c>
      <c r="N97" s="36">
        <v>3850.0008215199473</v>
      </c>
      <c r="O97" s="36">
        <v>0</v>
      </c>
      <c r="P97" s="36">
        <v>602.8137817382812</v>
      </c>
      <c r="Q97" s="36">
        <v>4452.814453125</v>
      </c>
      <c r="R97" s="36">
        <v>129.99606330364142</v>
      </c>
      <c r="S97" s="36">
        <v>1319.1362926759766</v>
      </c>
      <c r="T97" s="36">
        <v>1.971131443977356</v>
      </c>
      <c r="U97" s="36">
        <v>0</v>
      </c>
      <c r="V97" s="36">
        <v>1321.018041025644</v>
      </c>
      <c r="W97" s="36">
        <v>3850.0008215199473</v>
      </c>
      <c r="X97" s="56">
        <v>0.3431214958816859</v>
      </c>
      <c r="Y97" s="47">
        <v>32.05091857910156</v>
      </c>
      <c r="Z97" s="47">
        <v>0</v>
      </c>
      <c r="AA97" s="47">
        <v>0</v>
      </c>
      <c r="AB97" s="47">
        <v>1353.0689697265625</v>
      </c>
      <c r="AC97" s="47">
        <v>4452.814453125</v>
      </c>
      <c r="AD97" s="56">
        <v>0.30386826395988464</v>
      </c>
      <c r="AE97" s="47"/>
      <c r="AF97" s="47"/>
      <c r="AG97" s="47"/>
      <c r="AH97" s="47"/>
      <c r="AI97" s="47"/>
      <c r="AJ97" s="47"/>
      <c r="AK97" s="47"/>
      <c r="AL97" s="36"/>
      <c r="AM97" s="36"/>
      <c r="AN97" s="36"/>
      <c r="AO97" s="36"/>
    </row>
    <row r="98" spans="1:41" ht="12.75" customHeight="1">
      <c r="A98"/>
      <c r="B98" t="s">
        <v>424</v>
      </c>
      <c r="C98" s="36">
        <v>20</v>
      </c>
      <c r="D98" s="36">
        <v>2500</v>
      </c>
      <c r="E98" s="36">
        <v>3850</v>
      </c>
      <c r="F98" s="36">
        <v>0</v>
      </c>
      <c r="G98" s="36">
        <v>602.8137817382812</v>
      </c>
      <c r="H98" s="36"/>
      <c r="I98" s="36">
        <v>2.56</v>
      </c>
      <c r="J98" s="36">
        <v>0.4300000071525574</v>
      </c>
      <c r="K98" s="36">
        <v>2690.6249999999995</v>
      </c>
      <c r="L98" s="36">
        <v>0.05159142985003074</v>
      </c>
      <c r="M98" s="36">
        <v>0.11998006701469421</v>
      </c>
      <c r="N98" s="36">
        <v>3850.0008215199473</v>
      </c>
      <c r="O98" s="36">
        <v>0</v>
      </c>
      <c r="P98" s="36">
        <v>602.8137817382812</v>
      </c>
      <c r="Q98" s="36">
        <v>4452.814453125</v>
      </c>
      <c r="R98" s="36">
        <v>129.99606330364142</v>
      </c>
      <c r="S98" s="36">
        <v>1306.3435796733315</v>
      </c>
      <c r="T98" s="36">
        <v>1.9703803062438965</v>
      </c>
      <c r="U98" s="36">
        <v>0</v>
      </c>
      <c r="V98" s="36">
        <v>1308.224610940989</v>
      </c>
      <c r="W98" s="36">
        <v>3850.0008215199473</v>
      </c>
      <c r="X98" s="56">
        <v>0.3397985277375897</v>
      </c>
      <c r="Y98" s="47">
        <v>30.54853057861328</v>
      </c>
      <c r="Z98" s="47">
        <v>0</v>
      </c>
      <c r="AA98" s="47">
        <v>0</v>
      </c>
      <c r="AB98" s="47">
        <v>1338.773193359375</v>
      </c>
      <c r="AC98" s="47">
        <v>4452.814453125</v>
      </c>
      <c r="AD98" s="56">
        <v>0.3006577491760254</v>
      </c>
      <c r="AE98" s="47"/>
      <c r="AF98" s="47"/>
      <c r="AG98" s="47"/>
      <c r="AH98" s="47"/>
      <c r="AI98" s="47"/>
      <c r="AJ98" s="47"/>
      <c r="AK98" s="47"/>
      <c r="AL98" s="36"/>
      <c r="AM98" s="36"/>
      <c r="AN98" s="36"/>
      <c r="AO98" s="36"/>
    </row>
    <row r="99" spans="1:41" ht="12.75" customHeight="1">
      <c r="A99"/>
      <c r="B99" t="s">
        <v>448</v>
      </c>
      <c r="C99" s="36">
        <v>20</v>
      </c>
      <c r="D99" s="36">
        <v>2500</v>
      </c>
      <c r="E99" s="36">
        <v>3850</v>
      </c>
      <c r="F99" s="36">
        <v>0</v>
      </c>
      <c r="G99" s="36">
        <v>602.8137817382812</v>
      </c>
      <c r="H99" s="36"/>
      <c r="I99" s="36">
        <v>4.35</v>
      </c>
      <c r="J99" s="36">
        <v>0.30000001192092896</v>
      </c>
      <c r="K99" s="36">
        <v>2690.6249999999995</v>
      </c>
      <c r="L99" s="36">
        <v>0.021182688607430573</v>
      </c>
      <c r="M99" s="36">
        <v>0.0706089586019516</v>
      </c>
      <c r="N99" s="36">
        <v>3850.0008215199473</v>
      </c>
      <c r="O99" s="36">
        <v>0</v>
      </c>
      <c r="P99" s="36">
        <v>602.8137817382812</v>
      </c>
      <c r="Q99" s="36">
        <v>4452.814453125</v>
      </c>
      <c r="R99" s="36">
        <v>129.99606330364142</v>
      </c>
      <c r="S99" s="36">
        <v>1319.1362926759766</v>
      </c>
      <c r="T99" s="36">
        <v>0.8090094327926636</v>
      </c>
      <c r="U99" s="36">
        <v>0</v>
      </c>
      <c r="V99" s="36">
        <v>1319.9086166786153</v>
      </c>
      <c r="W99" s="36">
        <v>3850.0008215199473</v>
      </c>
      <c r="X99" s="56">
        <v>0.34283333377511505</v>
      </c>
      <c r="Y99" s="47">
        <v>17.977985382080078</v>
      </c>
      <c r="Z99" s="47">
        <v>0</v>
      </c>
      <c r="AA99" s="47">
        <v>0</v>
      </c>
      <c r="AB99" s="47">
        <v>1337.8865966796875</v>
      </c>
      <c r="AC99" s="47">
        <v>4452.814453125</v>
      </c>
      <c r="AD99" s="56">
        <v>0.3004586398601532</v>
      </c>
      <c r="AE99" s="47"/>
      <c r="AF99" s="47"/>
      <c r="AG99" s="47"/>
      <c r="AH99" s="47"/>
      <c r="AI99" s="47"/>
      <c r="AJ99" s="47"/>
      <c r="AK99" s="47"/>
      <c r="AL99" s="36"/>
      <c r="AM99" s="36"/>
      <c r="AN99" s="36"/>
      <c r="AO99" s="36"/>
    </row>
    <row r="100" spans="1:41" ht="12.75" customHeight="1">
      <c r="A100"/>
      <c r="B100" t="s">
        <v>419</v>
      </c>
      <c r="C100" s="36">
        <v>20</v>
      </c>
      <c r="D100" s="36">
        <v>2500</v>
      </c>
      <c r="E100" s="36">
        <v>3850</v>
      </c>
      <c r="F100" s="36">
        <v>0</v>
      </c>
      <c r="G100" s="36">
        <v>602.8137817382812</v>
      </c>
      <c r="H100" s="36"/>
      <c r="I100" s="36">
        <v>3.35</v>
      </c>
      <c r="J100" s="36">
        <v>0.23999999463558197</v>
      </c>
      <c r="K100" s="36">
        <v>2690.6249999999995</v>
      </c>
      <c r="L100" s="36">
        <v>0.02200470202297971</v>
      </c>
      <c r="M100" s="36">
        <v>0.09168626368045807</v>
      </c>
      <c r="N100" s="36">
        <v>3850.0008215199473</v>
      </c>
      <c r="O100" s="36">
        <v>0</v>
      </c>
      <c r="P100" s="36">
        <v>602.8137817382812</v>
      </c>
      <c r="Q100" s="36">
        <v>4452.814453125</v>
      </c>
      <c r="R100" s="36">
        <v>129.99606330364142</v>
      </c>
      <c r="S100" s="36">
        <v>1306.3435796733315</v>
      </c>
      <c r="T100" s="36">
        <v>0.8404037356376648</v>
      </c>
      <c r="U100" s="36">
        <v>0</v>
      </c>
      <c r="V100" s="36">
        <v>1307.145874408349</v>
      </c>
      <c r="W100" s="36">
        <v>3850.0008215199473</v>
      </c>
      <c r="X100" s="56">
        <v>0.33951833649019825</v>
      </c>
      <c r="Y100" s="47">
        <v>23.34455108642578</v>
      </c>
      <c r="Z100" s="47">
        <v>0</v>
      </c>
      <c r="AA100" s="47">
        <v>0</v>
      </c>
      <c r="AB100" s="47">
        <v>1330.490478515625</v>
      </c>
      <c r="AC100" s="47">
        <v>4452.814453125</v>
      </c>
      <c r="AD100" s="56">
        <v>0.2987976372241974</v>
      </c>
      <c r="AE100" s="47"/>
      <c r="AF100" s="47"/>
      <c r="AG100" s="47"/>
      <c r="AH100" s="47"/>
      <c r="AI100" s="47"/>
      <c r="AJ100" s="47"/>
      <c r="AK100" s="47"/>
      <c r="AL100" s="36"/>
      <c r="AM100" s="36"/>
      <c r="AN100" s="36"/>
      <c r="AO100" s="36"/>
    </row>
    <row r="101" spans="1:41" ht="12.75" customHeight="1">
      <c r="A101"/>
      <c r="B101" t="s">
        <v>423</v>
      </c>
      <c r="C101" s="36">
        <v>20</v>
      </c>
      <c r="D101" s="36">
        <v>2400</v>
      </c>
      <c r="E101" s="36">
        <v>3850</v>
      </c>
      <c r="F101" s="36">
        <v>0</v>
      </c>
      <c r="G101" s="36">
        <v>602.8137817382812</v>
      </c>
      <c r="H101" s="36"/>
      <c r="I101" s="36">
        <v>2.44</v>
      </c>
      <c r="J101" s="36">
        <v>0.4099999964237213</v>
      </c>
      <c r="K101" s="36">
        <v>2583</v>
      </c>
      <c r="L101" s="36">
        <v>0.04954665350898609</v>
      </c>
      <c r="M101" s="36">
        <v>0.1208454966545105</v>
      </c>
      <c r="N101" s="36">
        <v>3850.0008215199473</v>
      </c>
      <c r="O101" s="36">
        <v>0</v>
      </c>
      <c r="P101" s="36">
        <v>602.8137817382812</v>
      </c>
      <c r="Q101" s="36">
        <v>4452.814453125</v>
      </c>
      <c r="R101" s="36">
        <v>135.4125659412931</v>
      </c>
      <c r="S101" s="36">
        <v>1266.370840968936</v>
      </c>
      <c r="T101" s="36">
        <v>1.8922861814498901</v>
      </c>
      <c r="U101" s="36">
        <v>0</v>
      </c>
      <c r="V101" s="36">
        <v>1268.1773193846166</v>
      </c>
      <c r="W101" s="36">
        <v>3850.0008215199473</v>
      </c>
      <c r="X101" s="56">
        <v>0.32939663604641806</v>
      </c>
      <c r="Y101" s="47">
        <v>30.768882751464844</v>
      </c>
      <c r="Z101" s="47">
        <v>0</v>
      </c>
      <c r="AA101" s="47">
        <v>0</v>
      </c>
      <c r="AB101" s="47">
        <v>1298.9461669921875</v>
      </c>
      <c r="AC101" s="47">
        <v>4452.814453125</v>
      </c>
      <c r="AD101" s="56">
        <v>0.29171350598335266</v>
      </c>
      <c r="AE101" s="47"/>
      <c r="AF101" s="47"/>
      <c r="AG101" s="47"/>
      <c r="AH101" s="47"/>
      <c r="AI101" s="47"/>
      <c r="AJ101" s="47"/>
      <c r="AK101" s="47"/>
      <c r="AL101" s="36"/>
      <c r="AM101" s="36"/>
      <c r="AN101" s="36"/>
      <c r="AO101" s="36"/>
    </row>
    <row r="102" spans="1:41" ht="12.75" customHeight="1">
      <c r="A102"/>
      <c r="B102" t="s">
        <v>418</v>
      </c>
      <c r="C102" s="36">
        <v>20</v>
      </c>
      <c r="D102" s="36">
        <v>2400</v>
      </c>
      <c r="E102" s="36">
        <v>3850</v>
      </c>
      <c r="F102" s="36">
        <v>0</v>
      </c>
      <c r="G102" s="36">
        <v>602.8137817382812</v>
      </c>
      <c r="H102" s="36"/>
      <c r="I102" s="36">
        <v>4.35</v>
      </c>
      <c r="J102" s="36">
        <v>0.30000001192092896</v>
      </c>
      <c r="K102" s="36">
        <v>2583</v>
      </c>
      <c r="L102" s="36">
        <v>0.020335381063133352</v>
      </c>
      <c r="M102" s="36">
        <v>0.06778459995985031</v>
      </c>
      <c r="N102" s="36">
        <v>3850.0008215199473</v>
      </c>
      <c r="O102" s="36">
        <v>0</v>
      </c>
      <c r="P102" s="36">
        <v>602.8137817382812</v>
      </c>
      <c r="Q102" s="36">
        <v>4452.814453125</v>
      </c>
      <c r="R102" s="36">
        <v>135.4125659412931</v>
      </c>
      <c r="S102" s="36">
        <v>1266.370840968936</v>
      </c>
      <c r="T102" s="36">
        <v>0.776648998260498</v>
      </c>
      <c r="U102" s="36">
        <v>0</v>
      </c>
      <c r="V102" s="36">
        <v>1267.112272011469</v>
      </c>
      <c r="W102" s="36">
        <v>3850.0008215199473</v>
      </c>
      <c r="X102" s="56">
        <v>0.32912000042411005</v>
      </c>
      <c r="Y102" s="47">
        <v>17.258865356445312</v>
      </c>
      <c r="Z102" s="47">
        <v>0</v>
      </c>
      <c r="AA102" s="47">
        <v>0</v>
      </c>
      <c r="AB102" s="47">
        <v>1284.37109375</v>
      </c>
      <c r="AC102" s="47">
        <v>4452.814453125</v>
      </c>
      <c r="AD102" s="56">
        <v>0.2884402871131897</v>
      </c>
      <c r="AE102" s="47"/>
      <c r="AF102" s="47"/>
      <c r="AG102" s="47"/>
      <c r="AH102" s="47"/>
      <c r="AI102" s="47"/>
      <c r="AJ102" s="47"/>
      <c r="AK102" s="47"/>
      <c r="AL102" s="36"/>
      <c r="AM102" s="36"/>
      <c r="AN102" s="36"/>
      <c r="AO102" s="36"/>
    </row>
    <row r="103" spans="1:41" ht="12.75" customHeight="1">
      <c r="A103"/>
      <c r="B103" t="s">
        <v>434</v>
      </c>
      <c r="C103" s="36">
        <v>20</v>
      </c>
      <c r="D103" s="36">
        <v>3200</v>
      </c>
      <c r="E103" s="36">
        <v>5775</v>
      </c>
      <c r="F103" s="36">
        <v>0</v>
      </c>
      <c r="G103" s="36">
        <v>602.8137817382812</v>
      </c>
      <c r="H103" s="36"/>
      <c r="I103" s="36">
        <v>2.56</v>
      </c>
      <c r="J103" s="36">
        <v>0.4300000071525574</v>
      </c>
      <c r="K103" s="36">
        <v>3444</v>
      </c>
      <c r="L103" s="36">
        <v>0.06603703020803935</v>
      </c>
      <c r="M103" s="36">
        <v>0.15357448160648346</v>
      </c>
      <c r="N103" s="36">
        <v>5775.00123227992</v>
      </c>
      <c r="O103" s="36">
        <v>0</v>
      </c>
      <c r="P103" s="36">
        <v>602.8137817382812</v>
      </c>
      <c r="Q103" s="36">
        <v>6377.81494140625</v>
      </c>
      <c r="R103" s="36">
        <v>145.46467648419923</v>
      </c>
      <c r="S103" s="36">
        <v>1672.1197819818642</v>
      </c>
      <c r="T103" s="36">
        <v>2.5220868587493896</v>
      </c>
      <c r="U103" s="36">
        <v>0</v>
      </c>
      <c r="V103" s="36">
        <v>1674.5275020044655</v>
      </c>
      <c r="W103" s="36">
        <v>5775.00123227992</v>
      </c>
      <c r="X103" s="56">
        <v>0.28996141033607653</v>
      </c>
      <c r="Y103" s="47">
        <v>39.10212707519531</v>
      </c>
      <c r="Z103" s="47">
        <v>0</v>
      </c>
      <c r="AA103" s="47">
        <v>0</v>
      </c>
      <c r="AB103" s="47">
        <v>1713.629638671875</v>
      </c>
      <c r="AC103" s="47">
        <v>6377.81494140625</v>
      </c>
      <c r="AD103" s="56">
        <v>0.2686859965324402</v>
      </c>
      <c r="AE103" s="47"/>
      <c r="AF103" s="47"/>
      <c r="AG103" s="47"/>
      <c r="AH103" s="47"/>
      <c r="AI103" s="47"/>
      <c r="AJ103" s="47"/>
      <c r="AK103" s="47"/>
      <c r="AL103" s="36"/>
      <c r="AM103" s="36"/>
      <c r="AN103" s="36"/>
      <c r="AO103" s="36"/>
    </row>
    <row r="104" spans="1:41" ht="12.75" customHeight="1">
      <c r="A104"/>
      <c r="B104" t="s">
        <v>452</v>
      </c>
      <c r="C104" s="36">
        <v>20</v>
      </c>
      <c r="D104" s="36">
        <v>2200</v>
      </c>
      <c r="E104" s="36">
        <v>3850</v>
      </c>
      <c r="F104" s="36">
        <v>0</v>
      </c>
      <c r="G104" s="36">
        <v>602.8137817382812</v>
      </c>
      <c r="H104" s="36"/>
      <c r="I104" s="36">
        <v>1.8</v>
      </c>
      <c r="J104" s="36">
        <v>0.25999999046325684</v>
      </c>
      <c r="K104" s="36">
        <v>2367.75</v>
      </c>
      <c r="L104" s="36">
        <v>0.039042045752116714</v>
      </c>
      <c r="M104" s="36">
        <v>0.1501617133617401</v>
      </c>
      <c r="N104" s="36">
        <v>3850.0008215199473</v>
      </c>
      <c r="O104" s="36">
        <v>0</v>
      </c>
      <c r="P104" s="36">
        <v>602.8137817382812</v>
      </c>
      <c r="Q104" s="36">
        <v>4452.814453125</v>
      </c>
      <c r="R104" s="36">
        <v>147.7227992086834</v>
      </c>
      <c r="S104" s="36">
        <v>1149.582350112532</v>
      </c>
      <c r="T104" s="36">
        <v>1.4910941123962402</v>
      </c>
      <c r="U104" s="36">
        <v>0</v>
      </c>
      <c r="V104" s="36">
        <v>1151.005828954396</v>
      </c>
      <c r="W104" s="36">
        <v>3850.0008215199473</v>
      </c>
      <c r="X104" s="56">
        <v>0.2989624891820124</v>
      </c>
      <c r="Y104" s="47">
        <v>38.233184814453125</v>
      </c>
      <c r="Z104" s="47">
        <v>0</v>
      </c>
      <c r="AA104" s="47">
        <v>0</v>
      </c>
      <c r="AB104" s="47">
        <v>1189.239013671875</v>
      </c>
      <c r="AC104" s="47">
        <v>4452.814453125</v>
      </c>
      <c r="AD104" s="56">
        <v>0.2670758068561554</v>
      </c>
      <c r="AE104" s="47"/>
      <c r="AF104" s="47"/>
      <c r="AG104" s="47"/>
      <c r="AH104" s="47"/>
      <c r="AI104" s="47"/>
      <c r="AJ104" s="47"/>
      <c r="AK104" s="47"/>
      <c r="AL104" s="36"/>
      <c r="AM104" s="36"/>
      <c r="AN104" s="36"/>
      <c r="AO104" s="36"/>
    </row>
    <row r="105" spans="1:41" ht="12.75" customHeight="1">
      <c r="A105"/>
      <c r="B105" t="s">
        <v>429</v>
      </c>
      <c r="C105" s="36">
        <v>20</v>
      </c>
      <c r="D105" s="36">
        <v>3200</v>
      </c>
      <c r="E105" s="36">
        <v>5775</v>
      </c>
      <c r="F105" s="36">
        <v>0</v>
      </c>
      <c r="G105" s="36">
        <v>602.8137817382812</v>
      </c>
      <c r="H105" s="36"/>
      <c r="I105" s="36">
        <v>3.35</v>
      </c>
      <c r="J105" s="36">
        <v>0.23999999463558197</v>
      </c>
      <c r="K105" s="36">
        <v>3444</v>
      </c>
      <c r="L105" s="36">
        <v>0.028166018589414032</v>
      </c>
      <c r="M105" s="36">
        <v>0.11735841631889343</v>
      </c>
      <c r="N105" s="36">
        <v>5775.00123227992</v>
      </c>
      <c r="O105" s="36">
        <v>0</v>
      </c>
      <c r="P105" s="36">
        <v>602.8137817382812</v>
      </c>
      <c r="Q105" s="36">
        <v>6377.81494140625</v>
      </c>
      <c r="R105" s="36">
        <v>145.46467648419923</v>
      </c>
      <c r="S105" s="36">
        <v>1672.1197819818642</v>
      </c>
      <c r="T105" s="36">
        <v>1.0757168531417847</v>
      </c>
      <c r="U105" s="36">
        <v>0</v>
      </c>
      <c r="V105" s="36">
        <v>1673.1467192426867</v>
      </c>
      <c r="W105" s="36">
        <v>5775.00123227992</v>
      </c>
      <c r="X105" s="56">
        <v>0.28972231380496916</v>
      </c>
      <c r="Y105" s="47">
        <v>29.88102149963379</v>
      </c>
      <c r="Z105" s="47">
        <v>0</v>
      </c>
      <c r="AA105" s="47">
        <v>0</v>
      </c>
      <c r="AB105" s="47">
        <v>1703.0277099609375</v>
      </c>
      <c r="AC105" s="47">
        <v>6377.81494140625</v>
      </c>
      <c r="AD105" s="56">
        <v>0.2670236825942993</v>
      </c>
      <c r="AE105" s="47"/>
      <c r="AF105" s="47"/>
      <c r="AG105" s="47"/>
      <c r="AH105" s="47"/>
      <c r="AI105" s="47"/>
      <c r="AJ105" s="47"/>
      <c r="AK105" s="47"/>
      <c r="AL105" s="36"/>
      <c r="AM105" s="36"/>
      <c r="AN105" s="36"/>
      <c r="AO105" s="36"/>
    </row>
    <row r="106" spans="1:41" ht="12.75" customHeight="1">
      <c r="A106"/>
      <c r="B106" t="s">
        <v>447</v>
      </c>
      <c r="C106" s="36">
        <v>20</v>
      </c>
      <c r="D106" s="36">
        <v>2200</v>
      </c>
      <c r="E106" s="36">
        <v>3850</v>
      </c>
      <c r="F106" s="36">
        <v>0</v>
      </c>
      <c r="G106" s="36">
        <v>602.8137817382812</v>
      </c>
      <c r="H106" s="36"/>
      <c r="I106" s="36">
        <v>5.08</v>
      </c>
      <c r="J106" s="36">
        <v>0.44999998807907104</v>
      </c>
      <c r="K106" s="36">
        <v>2367.75</v>
      </c>
      <c r="L106" s="36">
        <v>0.023943108253654324</v>
      </c>
      <c r="M106" s="36">
        <v>0.0532069094479084</v>
      </c>
      <c r="N106" s="36">
        <v>3850.0008215199473</v>
      </c>
      <c r="O106" s="36">
        <v>0</v>
      </c>
      <c r="P106" s="36">
        <v>602.8137817382812</v>
      </c>
      <c r="Q106" s="36">
        <v>4452.814453125</v>
      </c>
      <c r="R106" s="36">
        <v>147.7227992086834</v>
      </c>
      <c r="S106" s="36">
        <v>1149.582350112532</v>
      </c>
      <c r="T106" s="36">
        <v>0.9144353866577148</v>
      </c>
      <c r="U106" s="36">
        <v>0</v>
      </c>
      <c r="V106" s="36">
        <v>1150.4553194293535</v>
      </c>
      <c r="W106" s="36">
        <v>3850.0008215199473</v>
      </c>
      <c r="X106" s="56">
        <v>0.2988194997254997</v>
      </c>
      <c r="Y106" s="47">
        <v>13.547192573547363</v>
      </c>
      <c r="Z106" s="47">
        <v>0</v>
      </c>
      <c r="AA106" s="47">
        <v>0</v>
      </c>
      <c r="AB106" s="47">
        <v>1164.0025634765625</v>
      </c>
      <c r="AC106" s="47">
        <v>4452.814453125</v>
      </c>
      <c r="AD106" s="56">
        <v>0.261408269405365</v>
      </c>
      <c r="AE106" s="47"/>
      <c r="AF106" s="47"/>
      <c r="AG106" s="47"/>
      <c r="AH106" s="47"/>
      <c r="AI106" s="47"/>
      <c r="AJ106" s="47"/>
      <c r="AK106" s="47"/>
      <c r="AL106" s="36"/>
      <c r="AM106" s="36"/>
      <c r="AN106" s="36"/>
      <c r="AO106" s="36"/>
    </row>
    <row r="107" spans="1:41" ht="12.75" customHeight="1">
      <c r="A107"/>
      <c r="B107" t="s">
        <v>422</v>
      </c>
      <c r="C107" s="36">
        <v>20</v>
      </c>
      <c r="D107" s="36">
        <v>2100</v>
      </c>
      <c r="E107" s="36">
        <v>3850</v>
      </c>
      <c r="F107" s="36">
        <v>0</v>
      </c>
      <c r="G107" s="36">
        <v>602.8137817382812</v>
      </c>
      <c r="H107" s="36"/>
      <c r="I107" s="36">
        <v>1.8</v>
      </c>
      <c r="J107" s="36">
        <v>0.25999999046325684</v>
      </c>
      <c r="K107" s="36">
        <v>2260.125</v>
      </c>
      <c r="L107" s="36">
        <v>0.03726740730883868</v>
      </c>
      <c r="M107" s="36">
        <v>0.1433361917734146</v>
      </c>
      <c r="N107" s="36">
        <v>3850.0008215199473</v>
      </c>
      <c r="O107" s="36">
        <v>0</v>
      </c>
      <c r="P107" s="36">
        <v>602.8137817382812</v>
      </c>
      <c r="Q107" s="36">
        <v>4452.814453125</v>
      </c>
      <c r="R107" s="36">
        <v>154.75721821862072</v>
      </c>
      <c r="S107" s="36">
        <v>1097.3286069255996</v>
      </c>
      <c r="T107" s="36">
        <v>1.4233170747756958</v>
      </c>
      <c r="U107" s="36">
        <v>0</v>
      </c>
      <c r="V107" s="36">
        <v>1098.6873821837428</v>
      </c>
      <c r="W107" s="36">
        <v>3850.0008215199473</v>
      </c>
      <c r="X107" s="56">
        <v>0.28537328512828486</v>
      </c>
      <c r="Y107" s="47">
        <v>36.49531173706055</v>
      </c>
      <c r="Z107" s="47">
        <v>0</v>
      </c>
      <c r="AA107" s="47">
        <v>0</v>
      </c>
      <c r="AB107" s="47">
        <v>1135.1827392578125</v>
      </c>
      <c r="AC107" s="47">
        <v>4452.814453125</v>
      </c>
      <c r="AD107" s="56">
        <v>0.25493600964546204</v>
      </c>
      <c r="AE107" s="47"/>
      <c r="AF107" s="47"/>
      <c r="AG107" s="47"/>
      <c r="AH107" s="47"/>
      <c r="AI107" s="47"/>
      <c r="AJ107" s="47"/>
      <c r="AK107" s="47"/>
      <c r="AL107" s="36"/>
      <c r="AM107" s="36"/>
      <c r="AN107" s="36"/>
      <c r="AO107" s="36"/>
    </row>
    <row r="108" spans="1:41" ht="12.75" customHeight="1">
      <c r="A108"/>
      <c r="B108" t="s">
        <v>433</v>
      </c>
      <c r="C108" s="36">
        <v>20</v>
      </c>
      <c r="D108" s="36">
        <v>3000</v>
      </c>
      <c r="E108" s="36">
        <v>5775</v>
      </c>
      <c r="F108" s="36">
        <v>0</v>
      </c>
      <c r="G108" s="36">
        <v>602.8137817382812</v>
      </c>
      <c r="H108" s="36"/>
      <c r="I108" s="36">
        <v>2.44</v>
      </c>
      <c r="J108" s="36">
        <v>0.4099999964237213</v>
      </c>
      <c r="K108" s="36">
        <v>3228.75</v>
      </c>
      <c r="L108" s="36">
        <v>0.061933316886232596</v>
      </c>
      <c r="M108" s="36">
        <v>0.15105687081813812</v>
      </c>
      <c r="N108" s="36">
        <v>5775.00123227992</v>
      </c>
      <c r="O108" s="36">
        <v>0</v>
      </c>
      <c r="P108" s="36">
        <v>602.8137817382812</v>
      </c>
      <c r="Q108" s="36">
        <v>6377.81494140625</v>
      </c>
      <c r="R108" s="36">
        <v>155.16232158314583</v>
      </c>
      <c r="S108" s="36">
        <v>1582.9635512111736</v>
      </c>
      <c r="T108" s="36">
        <v>2.3653576374053955</v>
      </c>
      <c r="U108" s="36">
        <v>0</v>
      </c>
      <c r="V108" s="36">
        <v>1585.2216492307746</v>
      </c>
      <c r="W108" s="36">
        <v>5775.00123227992</v>
      </c>
      <c r="X108" s="56">
        <v>0.27449719670534906</v>
      </c>
      <c r="Y108" s="47">
        <v>38.46110153198242</v>
      </c>
      <c r="Z108" s="47">
        <v>0</v>
      </c>
      <c r="AA108" s="47">
        <v>0</v>
      </c>
      <c r="AB108" s="47">
        <v>1623.6827392578125</v>
      </c>
      <c r="AC108" s="47">
        <v>6377.81494140625</v>
      </c>
      <c r="AD108" s="56">
        <v>0.2545829117298126</v>
      </c>
      <c r="AE108" s="47"/>
      <c r="AF108" s="47"/>
      <c r="AG108" s="47"/>
      <c r="AH108" s="47"/>
      <c r="AI108" s="47"/>
      <c r="AJ108" s="47"/>
      <c r="AK108" s="47"/>
      <c r="AL108" s="36"/>
      <c r="AM108" s="36"/>
      <c r="AN108" s="36"/>
      <c r="AO108" s="36"/>
    </row>
    <row r="109" spans="1:41" ht="12.75" customHeight="1">
      <c r="A109"/>
      <c r="B109" t="s">
        <v>428</v>
      </c>
      <c r="C109" s="36">
        <v>20</v>
      </c>
      <c r="D109" s="36">
        <v>3000</v>
      </c>
      <c r="E109" s="36">
        <v>5775</v>
      </c>
      <c r="F109" s="36">
        <v>0</v>
      </c>
      <c r="G109" s="36">
        <v>602.8137817382812</v>
      </c>
      <c r="H109" s="36"/>
      <c r="I109" s="36">
        <v>4.35</v>
      </c>
      <c r="J109" s="36">
        <v>0.30000001192092896</v>
      </c>
      <c r="K109" s="36">
        <v>3228.75</v>
      </c>
      <c r="L109" s="36">
        <v>0.02541922632891669</v>
      </c>
      <c r="M109" s="36">
        <v>0.08473075181245804</v>
      </c>
      <c r="N109" s="36">
        <v>5775.00123227992</v>
      </c>
      <c r="O109" s="36">
        <v>0</v>
      </c>
      <c r="P109" s="36">
        <v>602.8137817382812</v>
      </c>
      <c r="Q109" s="36">
        <v>6377.81494140625</v>
      </c>
      <c r="R109" s="36">
        <v>155.16232158314583</v>
      </c>
      <c r="S109" s="36">
        <v>1582.9635512111736</v>
      </c>
      <c r="T109" s="36">
        <v>0.9708113074302673</v>
      </c>
      <c r="U109" s="36">
        <v>0</v>
      </c>
      <c r="V109" s="36">
        <v>1583.89034001434</v>
      </c>
      <c r="W109" s="36">
        <v>5775.00123227992</v>
      </c>
      <c r="X109" s="56">
        <v>0.27426666702009234</v>
      </c>
      <c r="Y109" s="47">
        <v>21.573583602905273</v>
      </c>
      <c r="Z109" s="47">
        <v>0</v>
      </c>
      <c r="AA109" s="47">
        <v>0</v>
      </c>
      <c r="AB109" s="47">
        <v>1605.4638671875</v>
      </c>
      <c r="AC109" s="47">
        <v>6377.81494140625</v>
      </c>
      <c r="AD109" s="56">
        <v>0.25172632932662964</v>
      </c>
      <c r="AE109" s="47"/>
      <c r="AF109" s="47"/>
      <c r="AG109" s="47"/>
      <c r="AH109" s="47"/>
      <c r="AI109" s="47"/>
      <c r="AJ109" s="47"/>
      <c r="AK109" s="47"/>
      <c r="AL109" s="36"/>
      <c r="AM109" s="36"/>
      <c r="AN109" s="36"/>
      <c r="AO109" s="36"/>
    </row>
    <row r="110" spans="1:41" ht="12.75" customHeight="1">
      <c r="A110"/>
      <c r="B110" t="s">
        <v>417</v>
      </c>
      <c r="C110" s="36">
        <v>20</v>
      </c>
      <c r="D110" s="36">
        <v>2100</v>
      </c>
      <c r="E110" s="36">
        <v>3850</v>
      </c>
      <c r="F110" s="36">
        <v>0</v>
      </c>
      <c r="G110" s="36">
        <v>602.8137817382812</v>
      </c>
      <c r="H110" s="36"/>
      <c r="I110" s="36">
        <v>5.08</v>
      </c>
      <c r="J110" s="36">
        <v>0.44999998807907104</v>
      </c>
      <c r="K110" s="36">
        <v>2260.125</v>
      </c>
      <c r="L110" s="36">
        <v>0.02285478515121549</v>
      </c>
      <c r="M110" s="36">
        <v>0.05078841373324394</v>
      </c>
      <c r="N110" s="36">
        <v>3850.0008215199473</v>
      </c>
      <c r="O110" s="36">
        <v>0</v>
      </c>
      <c r="P110" s="36">
        <v>602.8137817382812</v>
      </c>
      <c r="Q110" s="36">
        <v>4452.814453125</v>
      </c>
      <c r="R110" s="36">
        <v>154.75721821862072</v>
      </c>
      <c r="S110" s="36">
        <v>1097.3286069255996</v>
      </c>
      <c r="T110" s="36">
        <v>0.872870147228241</v>
      </c>
      <c r="U110" s="36">
        <v>0</v>
      </c>
      <c r="V110" s="36">
        <v>1098.1618958189292</v>
      </c>
      <c r="W110" s="36">
        <v>3850.0008215199473</v>
      </c>
      <c r="X110" s="56">
        <v>0.28523679519252265</v>
      </c>
      <c r="Y110" s="47">
        <v>12.93140983581543</v>
      </c>
      <c r="Z110" s="47">
        <v>0</v>
      </c>
      <c r="AA110" s="47">
        <v>0</v>
      </c>
      <c r="AB110" s="47">
        <v>1111.09326171875</v>
      </c>
      <c r="AC110" s="47">
        <v>4452.814453125</v>
      </c>
      <c r="AD110" s="56">
        <v>0.24952606856822968</v>
      </c>
      <c r="AE110" s="47"/>
      <c r="AF110" s="47"/>
      <c r="AG110" s="47"/>
      <c r="AH110" s="47"/>
      <c r="AI110" s="47"/>
      <c r="AJ110" s="47"/>
      <c r="AK110" s="47"/>
      <c r="AL110" s="36"/>
      <c r="AM110" s="36"/>
      <c r="AN110" s="36"/>
      <c r="AO110" s="36"/>
    </row>
    <row r="111" spans="1:41" ht="12.75" customHeight="1">
      <c r="A111"/>
      <c r="B111" t="s">
        <v>444</v>
      </c>
      <c r="C111" s="36">
        <v>20</v>
      </c>
      <c r="D111" s="36">
        <v>3400</v>
      </c>
      <c r="E111" s="36">
        <v>7180.25</v>
      </c>
      <c r="F111" s="36">
        <v>0</v>
      </c>
      <c r="G111" s="36">
        <v>602.8137817382812</v>
      </c>
      <c r="H111" s="36"/>
      <c r="I111" s="36">
        <v>2.56</v>
      </c>
      <c r="J111" s="36">
        <v>0.4300000071525574</v>
      </c>
      <c r="K111" s="36">
        <v>3659.25</v>
      </c>
      <c r="L111" s="36">
        <v>0.07016434459604182</v>
      </c>
      <c r="M111" s="36">
        <v>0.1631728857755661</v>
      </c>
      <c r="N111" s="36">
        <v>7180.251532134701</v>
      </c>
      <c r="O111" s="36">
        <v>0</v>
      </c>
      <c r="P111" s="36">
        <v>602.8137817382812</v>
      </c>
      <c r="Q111" s="36">
        <v>7783.0654296875</v>
      </c>
      <c r="R111" s="36">
        <v>167.07342451188282</v>
      </c>
      <c r="S111" s="36">
        <v>1776.6272683557281</v>
      </c>
      <c r="T111" s="36">
        <v>2.6797170639038086</v>
      </c>
      <c r="U111" s="36">
        <v>0</v>
      </c>
      <c r="V111" s="36">
        <v>1779.185470879742</v>
      </c>
      <c r="W111" s="36">
        <v>7180.251532134701</v>
      </c>
      <c r="X111" s="56">
        <v>0.2477887387255342</v>
      </c>
      <c r="Y111" s="47">
        <v>41.54600524902344</v>
      </c>
      <c r="Z111" s="47">
        <v>0</v>
      </c>
      <c r="AA111" s="47">
        <v>0</v>
      </c>
      <c r="AB111" s="47">
        <v>1820.7314453125</v>
      </c>
      <c r="AC111" s="47">
        <v>7783.0654296875</v>
      </c>
      <c r="AD111" s="56">
        <v>0.23393499851226807</v>
      </c>
      <c r="AE111" s="47"/>
      <c r="AF111" s="47"/>
      <c r="AG111" s="47"/>
      <c r="AH111" s="47"/>
      <c r="AI111" s="47"/>
      <c r="AJ111" s="47"/>
      <c r="AK111" s="47"/>
      <c r="AL111" s="36"/>
      <c r="AM111" s="36"/>
      <c r="AN111" s="36"/>
      <c r="AO111" s="36"/>
    </row>
    <row r="112" spans="1:41" ht="12.75" customHeight="1">
      <c r="A112"/>
      <c r="B112" t="s">
        <v>439</v>
      </c>
      <c r="C112" s="36">
        <v>20</v>
      </c>
      <c r="D112" s="36">
        <v>3400</v>
      </c>
      <c r="E112" s="36">
        <v>7180.25</v>
      </c>
      <c r="F112" s="36">
        <v>0</v>
      </c>
      <c r="G112" s="36">
        <v>602.8137817382812</v>
      </c>
      <c r="H112" s="36"/>
      <c r="I112" s="36">
        <v>3.35</v>
      </c>
      <c r="J112" s="36">
        <v>0.23999999463558197</v>
      </c>
      <c r="K112" s="36">
        <v>3659.25</v>
      </c>
      <c r="L112" s="36">
        <v>0.02992639475125241</v>
      </c>
      <c r="M112" s="36">
        <v>0.12469331175088882</v>
      </c>
      <c r="N112" s="36">
        <v>7180.251532134701</v>
      </c>
      <c r="O112" s="36">
        <v>0</v>
      </c>
      <c r="P112" s="36">
        <v>602.8137817382812</v>
      </c>
      <c r="Q112" s="36">
        <v>7783.0654296875</v>
      </c>
      <c r="R112" s="36">
        <v>167.07342451188282</v>
      </c>
      <c r="S112" s="36">
        <v>1776.6272683557281</v>
      </c>
      <c r="T112" s="36">
        <v>1.142949104309082</v>
      </c>
      <c r="U112" s="36">
        <v>0</v>
      </c>
      <c r="V112" s="36">
        <v>1777.718389195352</v>
      </c>
      <c r="W112" s="36">
        <v>7180.251532134701</v>
      </c>
      <c r="X112" s="56">
        <v>0.24758441695799943</v>
      </c>
      <c r="Y112" s="47">
        <v>31.74859046936035</v>
      </c>
      <c r="Z112" s="47">
        <v>0</v>
      </c>
      <c r="AA112" s="47">
        <v>0</v>
      </c>
      <c r="AB112" s="47">
        <v>1809.4669189453125</v>
      </c>
      <c r="AC112" s="47">
        <v>7783.0654296875</v>
      </c>
      <c r="AD112" s="56">
        <v>0.23248769342899323</v>
      </c>
      <c r="AE112" s="47"/>
      <c r="AF112" s="47"/>
      <c r="AG112" s="47"/>
      <c r="AH112" s="47"/>
      <c r="AI112" s="47"/>
      <c r="AJ112" s="47"/>
      <c r="AK112" s="47"/>
      <c r="AL112" s="36"/>
      <c r="AM112" s="36"/>
      <c r="AN112" s="36"/>
      <c r="AO112" s="36"/>
    </row>
    <row r="113" spans="1:41" ht="12.75" customHeight="1">
      <c r="A113"/>
      <c r="B113" t="s">
        <v>451</v>
      </c>
      <c r="C113" s="36">
        <v>20</v>
      </c>
      <c r="D113" s="36">
        <v>1900</v>
      </c>
      <c r="E113" s="36">
        <v>3850</v>
      </c>
      <c r="F113" s="36">
        <v>0</v>
      </c>
      <c r="G113" s="36">
        <v>602.8137817382812</v>
      </c>
      <c r="H113" s="36"/>
      <c r="I113" s="36">
        <v>2.57</v>
      </c>
      <c r="J113" s="36">
        <v>0.36000001430511475</v>
      </c>
      <c r="K113" s="36">
        <v>2044.875</v>
      </c>
      <c r="L113" s="36">
        <v>0.032698817993540304</v>
      </c>
      <c r="M113" s="36">
        <v>0.09083004295825958</v>
      </c>
      <c r="N113" s="36">
        <v>3850.0008215199473</v>
      </c>
      <c r="O113" s="36">
        <v>0</v>
      </c>
      <c r="P113" s="36">
        <v>602.8137817382812</v>
      </c>
      <c r="Q113" s="36">
        <v>4452.814453125</v>
      </c>
      <c r="R113" s="36">
        <v>171.04745171531764</v>
      </c>
      <c r="S113" s="36">
        <v>992.821120551732</v>
      </c>
      <c r="T113" s="36">
        <v>1.2488335371017456</v>
      </c>
      <c r="U113" s="36">
        <v>0</v>
      </c>
      <c r="V113" s="36">
        <v>994.013324358451</v>
      </c>
      <c r="W113" s="36">
        <v>3850.0008215199473</v>
      </c>
      <c r="X113" s="56">
        <v>0.25818522396211413</v>
      </c>
      <c r="Y113" s="47">
        <v>23.126544952392578</v>
      </c>
      <c r="Z113" s="47">
        <v>0</v>
      </c>
      <c r="AA113" s="47">
        <v>0</v>
      </c>
      <c r="AB113" s="47">
        <v>1017.139892578125</v>
      </c>
      <c r="AC113" s="47">
        <v>4452.814453125</v>
      </c>
      <c r="AD113" s="56">
        <v>0.22842629253864288</v>
      </c>
      <c r="AE113" s="47"/>
      <c r="AF113" s="47"/>
      <c r="AG113" s="47"/>
      <c r="AH113" s="47"/>
      <c r="AI113" s="47"/>
      <c r="AJ113" s="47"/>
      <c r="AK113" s="47"/>
      <c r="AL113" s="36"/>
      <c r="AM113" s="36"/>
      <c r="AN113" s="36"/>
      <c r="AO113" s="36"/>
    </row>
    <row r="114" spans="1:41" ht="12.75" customHeight="1">
      <c r="A114"/>
      <c r="B114" t="s">
        <v>421</v>
      </c>
      <c r="C114" s="36">
        <v>20</v>
      </c>
      <c r="D114" s="36">
        <v>1900</v>
      </c>
      <c r="E114" s="36">
        <v>3850</v>
      </c>
      <c r="F114" s="36">
        <v>0</v>
      </c>
      <c r="G114" s="36">
        <v>602.8137817382812</v>
      </c>
      <c r="H114" s="36"/>
      <c r="I114" s="36">
        <v>2.57</v>
      </c>
      <c r="J114" s="36">
        <v>0.36000001430511475</v>
      </c>
      <c r="K114" s="36">
        <v>2044.875</v>
      </c>
      <c r="L114" s="36">
        <v>0.032698817993540304</v>
      </c>
      <c r="M114" s="36">
        <v>0.09083004295825958</v>
      </c>
      <c r="N114" s="36">
        <v>3850.0008215199473</v>
      </c>
      <c r="O114" s="36">
        <v>0</v>
      </c>
      <c r="P114" s="36">
        <v>602.8137817382812</v>
      </c>
      <c r="Q114" s="36">
        <v>4452.814453125</v>
      </c>
      <c r="R114" s="36">
        <v>171.04745171531764</v>
      </c>
      <c r="S114" s="36">
        <v>992.821120551732</v>
      </c>
      <c r="T114" s="36">
        <v>1.2488335371017456</v>
      </c>
      <c r="U114" s="36">
        <v>0</v>
      </c>
      <c r="V114" s="36">
        <v>994.013324358451</v>
      </c>
      <c r="W114" s="36">
        <v>3850.0008215199473</v>
      </c>
      <c r="X114" s="56">
        <v>0.25818522396211413</v>
      </c>
      <c r="Y114" s="47">
        <v>23.126544952392578</v>
      </c>
      <c r="Z114" s="47">
        <v>0</v>
      </c>
      <c r="AA114" s="47">
        <v>0</v>
      </c>
      <c r="AB114" s="47">
        <v>1017.139892578125</v>
      </c>
      <c r="AC114" s="47">
        <v>4452.814453125</v>
      </c>
      <c r="AD114" s="56">
        <v>0.22842629253864288</v>
      </c>
      <c r="AE114" s="47"/>
      <c r="AF114" s="47"/>
      <c r="AG114" s="47"/>
      <c r="AH114" s="47"/>
      <c r="AI114" s="47"/>
      <c r="AJ114" s="47"/>
      <c r="AK114" s="47"/>
      <c r="AL114" s="36"/>
      <c r="AM114" s="36"/>
      <c r="AN114" s="36"/>
      <c r="AO114" s="36"/>
    </row>
    <row r="115" spans="1:41" ht="12.75" customHeight="1">
      <c r="A115"/>
      <c r="B115" t="s">
        <v>446</v>
      </c>
      <c r="C115" s="36">
        <v>20</v>
      </c>
      <c r="D115" s="36">
        <v>1900</v>
      </c>
      <c r="E115" s="36">
        <v>3850</v>
      </c>
      <c r="F115" s="36">
        <v>0</v>
      </c>
      <c r="G115" s="36">
        <v>602.8137817382812</v>
      </c>
      <c r="H115" s="36"/>
      <c r="I115" s="36">
        <v>8.44</v>
      </c>
      <c r="J115" s="36">
        <v>0.5699999928474426</v>
      </c>
      <c r="K115" s="36">
        <v>2044.875</v>
      </c>
      <c r="L115" s="36">
        <v>0.015765039486002646</v>
      </c>
      <c r="M115" s="36">
        <v>0.027657965198159218</v>
      </c>
      <c r="N115" s="36">
        <v>3850.0008215199473</v>
      </c>
      <c r="O115" s="36">
        <v>0</v>
      </c>
      <c r="P115" s="36">
        <v>602.8137817382812</v>
      </c>
      <c r="Q115" s="36">
        <v>4452.814453125</v>
      </c>
      <c r="R115" s="36">
        <v>171.04745171531764</v>
      </c>
      <c r="S115" s="36">
        <v>992.821120551732</v>
      </c>
      <c r="T115" s="36">
        <v>0.6020985245704651</v>
      </c>
      <c r="U115" s="36">
        <v>0</v>
      </c>
      <c r="V115" s="36">
        <v>993.3959162551118</v>
      </c>
      <c r="W115" s="36">
        <v>3850.0008215199473</v>
      </c>
      <c r="X115" s="56">
        <v>0.2580248582552062</v>
      </c>
      <c r="Y115" s="47">
        <v>7.042087554931641</v>
      </c>
      <c r="Z115" s="47">
        <v>0</v>
      </c>
      <c r="AA115" s="47">
        <v>0</v>
      </c>
      <c r="AB115" s="47">
        <v>1000.43798828125</v>
      </c>
      <c r="AC115" s="47">
        <v>4452.814453125</v>
      </c>
      <c r="AD115" s="56">
        <v>0.22467543184757233</v>
      </c>
      <c r="AE115" s="47"/>
      <c r="AF115" s="47"/>
      <c r="AG115" s="47"/>
      <c r="AH115" s="47"/>
      <c r="AI115" s="47"/>
      <c r="AJ115" s="47"/>
      <c r="AK115" s="47"/>
      <c r="AL115" s="36"/>
      <c r="AM115" s="36"/>
      <c r="AN115" s="36"/>
      <c r="AO115" s="36"/>
    </row>
    <row r="116" spans="1:41" ht="12.75" customHeight="1">
      <c r="A116"/>
      <c r="B116" t="s">
        <v>416</v>
      </c>
      <c r="C116" s="36">
        <v>20</v>
      </c>
      <c r="D116" s="36">
        <v>1900</v>
      </c>
      <c r="E116" s="36">
        <v>3850</v>
      </c>
      <c r="F116" s="36">
        <v>0</v>
      </c>
      <c r="G116" s="36">
        <v>602.8137817382812</v>
      </c>
      <c r="H116" s="36"/>
      <c r="I116" s="36">
        <v>8.44</v>
      </c>
      <c r="J116" s="36">
        <v>0.5699999928474426</v>
      </c>
      <c r="K116" s="36">
        <v>2044.875</v>
      </c>
      <c r="L116" s="36">
        <v>0.015765039486002646</v>
      </c>
      <c r="M116" s="36">
        <v>0.027657965198159218</v>
      </c>
      <c r="N116" s="36">
        <v>3850.0008215199473</v>
      </c>
      <c r="O116" s="36">
        <v>0</v>
      </c>
      <c r="P116" s="36">
        <v>602.8137817382812</v>
      </c>
      <c r="Q116" s="36">
        <v>4452.814453125</v>
      </c>
      <c r="R116" s="36">
        <v>171.04745171531764</v>
      </c>
      <c r="S116" s="36">
        <v>992.821120551732</v>
      </c>
      <c r="T116" s="36">
        <v>0.6020985245704651</v>
      </c>
      <c r="U116" s="36">
        <v>0</v>
      </c>
      <c r="V116" s="36">
        <v>993.3959162551118</v>
      </c>
      <c r="W116" s="36">
        <v>3850.0008215199473</v>
      </c>
      <c r="X116" s="56">
        <v>0.2580248582552062</v>
      </c>
      <c r="Y116" s="47">
        <v>7.042087554931641</v>
      </c>
      <c r="Z116" s="47">
        <v>0</v>
      </c>
      <c r="AA116" s="47">
        <v>0</v>
      </c>
      <c r="AB116" s="47">
        <v>1000.43798828125</v>
      </c>
      <c r="AC116" s="47">
        <v>4452.814453125</v>
      </c>
      <c r="AD116" s="56">
        <v>0.22467543184757233</v>
      </c>
      <c r="AE116" s="47"/>
      <c r="AF116" s="47"/>
      <c r="AG116" s="47"/>
      <c r="AH116" s="47"/>
      <c r="AI116" s="47"/>
      <c r="AJ116" s="47"/>
      <c r="AK116" s="47"/>
      <c r="AL116" s="36"/>
      <c r="AM116" s="36"/>
      <c r="AN116" s="36"/>
      <c r="AO116" s="36"/>
    </row>
    <row r="117" spans="1:41" ht="12.75" customHeight="1">
      <c r="A117"/>
      <c r="B117" t="s">
        <v>443</v>
      </c>
      <c r="C117" s="36">
        <v>20</v>
      </c>
      <c r="D117" s="36">
        <v>3200</v>
      </c>
      <c r="E117" s="36">
        <v>7180.25</v>
      </c>
      <c r="F117" s="36">
        <v>0</v>
      </c>
      <c r="G117" s="36">
        <v>602.8137817382812</v>
      </c>
      <c r="H117" s="36"/>
      <c r="I117" s="36">
        <v>2.44</v>
      </c>
      <c r="J117" s="36">
        <v>0.4099999964237213</v>
      </c>
      <c r="K117" s="36">
        <v>3444</v>
      </c>
      <c r="L117" s="36">
        <v>0.06606220467864811</v>
      </c>
      <c r="M117" s="36">
        <v>0.16112732887268066</v>
      </c>
      <c r="N117" s="36">
        <v>7180.251532134701</v>
      </c>
      <c r="O117" s="36">
        <v>0</v>
      </c>
      <c r="P117" s="36">
        <v>602.8137817382812</v>
      </c>
      <c r="Q117" s="36">
        <v>7783.0654296875</v>
      </c>
      <c r="R117" s="36">
        <v>177.5155135438755</v>
      </c>
      <c r="S117" s="36">
        <v>1688.4944546252477</v>
      </c>
      <c r="T117" s="36">
        <v>2.523048162460327</v>
      </c>
      <c r="U117" s="36">
        <v>0</v>
      </c>
      <c r="V117" s="36">
        <v>1690.903092512822</v>
      </c>
      <c r="W117" s="36">
        <v>7180.251532134701</v>
      </c>
      <c r="X117" s="56">
        <v>0.23549357358099593</v>
      </c>
      <c r="Y117" s="47">
        <v>41.025169372558594</v>
      </c>
      <c r="Z117" s="47">
        <v>0</v>
      </c>
      <c r="AA117" s="47">
        <v>0</v>
      </c>
      <c r="AB117" s="47">
        <v>1731.92822265625</v>
      </c>
      <c r="AC117" s="47">
        <v>7783.0654296875</v>
      </c>
      <c r="AD117" s="56">
        <v>0.2225252091884613</v>
      </c>
      <c r="AE117" s="47"/>
      <c r="AF117" s="47"/>
      <c r="AG117" s="47"/>
      <c r="AH117" s="47"/>
      <c r="AI117" s="47"/>
      <c r="AJ117" s="47"/>
      <c r="AK117" s="47"/>
      <c r="AL117" s="36"/>
      <c r="AM117" s="36"/>
      <c r="AN117" s="36"/>
      <c r="AO117" s="36"/>
    </row>
    <row r="118" spans="1:41" ht="12.75" customHeight="1">
      <c r="A118"/>
      <c r="B118" t="s">
        <v>432</v>
      </c>
      <c r="C118" s="36">
        <v>20</v>
      </c>
      <c r="D118" s="36">
        <v>2600</v>
      </c>
      <c r="E118" s="36">
        <v>5775</v>
      </c>
      <c r="F118" s="36">
        <v>0</v>
      </c>
      <c r="G118" s="36">
        <v>602.8137817382812</v>
      </c>
      <c r="H118" s="36"/>
      <c r="I118" s="36">
        <v>1.8</v>
      </c>
      <c r="J118" s="36">
        <v>0.25999999046325684</v>
      </c>
      <c r="K118" s="36">
        <v>2798.25</v>
      </c>
      <c r="L118" s="36">
        <v>0.04614059952522884</v>
      </c>
      <c r="M118" s="36">
        <v>0.1774638444185257</v>
      </c>
      <c r="N118" s="36">
        <v>5775.00123227992</v>
      </c>
      <c r="O118" s="36">
        <v>0</v>
      </c>
      <c r="P118" s="36">
        <v>602.8137817382812</v>
      </c>
      <c r="Q118" s="36">
        <v>6377.81494140625</v>
      </c>
      <c r="R118" s="36">
        <v>179.0334479805529</v>
      </c>
      <c r="S118" s="36">
        <v>1358.5973228602616</v>
      </c>
      <c r="T118" s="36">
        <v>1.7622021436691284</v>
      </c>
      <c r="U118" s="36">
        <v>0</v>
      </c>
      <c r="V118" s="36">
        <v>1360.27961603701</v>
      </c>
      <c r="W118" s="36">
        <v>5775.00123227992</v>
      </c>
      <c r="X118" s="56">
        <v>0.2355462035979486</v>
      </c>
      <c r="Y118" s="47">
        <v>45.18466567993164</v>
      </c>
      <c r="Z118" s="47">
        <v>0</v>
      </c>
      <c r="AA118" s="47">
        <v>0</v>
      </c>
      <c r="AB118" s="47">
        <v>1405.4642333984375</v>
      </c>
      <c r="AC118" s="47">
        <v>6377.81494140625</v>
      </c>
      <c r="AD118" s="56">
        <v>0.2203676700592041</v>
      </c>
      <c r="AE118" s="47"/>
      <c r="AF118" s="47"/>
      <c r="AG118" s="47"/>
      <c r="AH118" s="47"/>
      <c r="AI118" s="47"/>
      <c r="AJ118" s="47"/>
      <c r="AK118" s="47"/>
      <c r="AL118" s="36"/>
      <c r="AM118" s="36"/>
      <c r="AN118" s="36"/>
      <c r="AO118" s="36"/>
    </row>
    <row r="119" spans="1:41" ht="12.75" customHeight="1">
      <c r="A119"/>
      <c r="B119" t="s">
        <v>438</v>
      </c>
      <c r="C119" s="36">
        <v>20</v>
      </c>
      <c r="D119" s="36">
        <v>3200</v>
      </c>
      <c r="E119" s="36">
        <v>7180.25</v>
      </c>
      <c r="F119" s="36">
        <v>0</v>
      </c>
      <c r="G119" s="36">
        <v>602.8137817382812</v>
      </c>
      <c r="H119" s="36"/>
      <c r="I119" s="36">
        <v>4.35</v>
      </c>
      <c r="J119" s="36">
        <v>0.30000001192092896</v>
      </c>
      <c r="K119" s="36">
        <v>3444</v>
      </c>
      <c r="L119" s="36">
        <v>0.027113841417511133</v>
      </c>
      <c r="M119" s="36">
        <v>0.09037946909666061</v>
      </c>
      <c r="N119" s="36">
        <v>7180.251532134701</v>
      </c>
      <c r="O119" s="36">
        <v>0</v>
      </c>
      <c r="P119" s="36">
        <v>602.8137817382812</v>
      </c>
      <c r="Q119" s="36">
        <v>7783.0654296875</v>
      </c>
      <c r="R119" s="36">
        <v>177.5155135438755</v>
      </c>
      <c r="S119" s="36">
        <v>1688.4944546252477</v>
      </c>
      <c r="T119" s="36">
        <v>1.035531997680664</v>
      </c>
      <c r="U119" s="36">
        <v>0</v>
      </c>
      <c r="V119" s="36">
        <v>1689.4830293486252</v>
      </c>
      <c r="W119" s="36">
        <v>7180.251532134701</v>
      </c>
      <c r="X119" s="56">
        <v>0.23529580012447546</v>
      </c>
      <c r="Y119" s="47">
        <v>23.01181983947754</v>
      </c>
      <c r="Z119" s="47">
        <v>0</v>
      </c>
      <c r="AA119" s="47">
        <v>0</v>
      </c>
      <c r="AB119" s="47">
        <v>1712.494873046875</v>
      </c>
      <c r="AC119" s="47">
        <v>7783.0654296875</v>
      </c>
      <c r="AD119" s="56">
        <v>0.2200283259153366</v>
      </c>
      <c r="AE119" s="47"/>
      <c r="AF119" s="47"/>
      <c r="AG119" s="47"/>
      <c r="AH119" s="47"/>
      <c r="AI119" s="47"/>
      <c r="AJ119" s="47"/>
      <c r="AK119" s="47"/>
      <c r="AL119" s="36"/>
      <c r="AM119" s="36"/>
      <c r="AN119" s="36"/>
      <c r="AO119" s="36"/>
    </row>
    <row r="120" spans="1:41" ht="12.75" customHeight="1">
      <c r="A120"/>
      <c r="B120" t="s">
        <v>450</v>
      </c>
      <c r="C120" s="36">
        <v>20</v>
      </c>
      <c r="D120" s="36">
        <v>1800</v>
      </c>
      <c r="E120" s="36">
        <v>3850</v>
      </c>
      <c r="F120" s="36">
        <v>0</v>
      </c>
      <c r="G120" s="36">
        <v>602.8137817382812</v>
      </c>
      <c r="H120" s="36"/>
      <c r="I120" s="36">
        <v>2.47</v>
      </c>
      <c r="J120" s="36">
        <v>0.33000001311302185</v>
      </c>
      <c r="K120" s="36">
        <v>1937.25</v>
      </c>
      <c r="L120" s="36">
        <v>0.02954599141308494</v>
      </c>
      <c r="M120" s="36">
        <v>0.08953330665826797</v>
      </c>
      <c r="N120" s="36">
        <v>3850.0008215199473</v>
      </c>
      <c r="O120" s="36">
        <v>0</v>
      </c>
      <c r="P120" s="36">
        <v>602.8137817382812</v>
      </c>
      <c r="Q120" s="36">
        <v>4452.814453125</v>
      </c>
      <c r="R120" s="36">
        <v>180.55008792172416</v>
      </c>
      <c r="S120" s="36">
        <v>941.061748555513</v>
      </c>
      <c r="T120" s="36">
        <v>1.1284207105636597</v>
      </c>
      <c r="U120" s="36">
        <v>0</v>
      </c>
      <c r="V120" s="36">
        <v>942.1389998323917</v>
      </c>
      <c r="W120" s="36">
        <v>3850.0008215199473</v>
      </c>
      <c r="X120" s="56">
        <v>0.2447113763109389</v>
      </c>
      <c r="Y120" s="47">
        <v>22.796375274658203</v>
      </c>
      <c r="Z120" s="47">
        <v>0</v>
      </c>
      <c r="AA120" s="47">
        <v>0</v>
      </c>
      <c r="AB120" s="47">
        <v>964.9353637695312</v>
      </c>
      <c r="AC120" s="47">
        <v>4452.814453125</v>
      </c>
      <c r="AD120" s="56">
        <v>0.21670235693454742</v>
      </c>
      <c r="AE120" s="47"/>
      <c r="AF120" s="47"/>
      <c r="AG120" s="47"/>
      <c r="AH120" s="47"/>
      <c r="AI120" s="47"/>
      <c r="AJ120" s="47"/>
      <c r="AK120" s="47"/>
      <c r="AL120" s="36"/>
      <c r="AM120" s="36"/>
      <c r="AN120" s="36"/>
      <c r="AO120" s="36"/>
    </row>
    <row r="121" spans="1:41" ht="12.75" customHeight="1">
      <c r="A121"/>
      <c r="B121" t="s">
        <v>420</v>
      </c>
      <c r="C121" s="36">
        <v>20</v>
      </c>
      <c r="D121" s="36">
        <v>1800</v>
      </c>
      <c r="E121" s="36">
        <v>3850</v>
      </c>
      <c r="F121" s="36">
        <v>0</v>
      </c>
      <c r="G121" s="36">
        <v>602.8137817382812</v>
      </c>
      <c r="H121" s="36"/>
      <c r="I121" s="36">
        <v>2.47</v>
      </c>
      <c r="J121" s="36">
        <v>0.33000001311302185</v>
      </c>
      <c r="K121" s="36">
        <v>1937.25</v>
      </c>
      <c r="L121" s="36">
        <v>0.02954599141308494</v>
      </c>
      <c r="M121" s="36">
        <v>0.08953330665826797</v>
      </c>
      <c r="N121" s="36">
        <v>3850.0008215199473</v>
      </c>
      <c r="O121" s="36">
        <v>0</v>
      </c>
      <c r="P121" s="36">
        <v>602.8137817382812</v>
      </c>
      <c r="Q121" s="36">
        <v>4452.814453125</v>
      </c>
      <c r="R121" s="36">
        <v>180.55008792172416</v>
      </c>
      <c r="S121" s="36">
        <v>941.061748555513</v>
      </c>
      <c r="T121" s="36">
        <v>1.1284207105636597</v>
      </c>
      <c r="U121" s="36">
        <v>0</v>
      </c>
      <c r="V121" s="36">
        <v>942.1389998323917</v>
      </c>
      <c r="W121" s="36">
        <v>3850.0008215199473</v>
      </c>
      <c r="X121" s="56">
        <v>0.2447113763109389</v>
      </c>
      <c r="Y121" s="47">
        <v>22.796375274658203</v>
      </c>
      <c r="Z121" s="47">
        <v>0</v>
      </c>
      <c r="AA121" s="47">
        <v>0</v>
      </c>
      <c r="AB121" s="47">
        <v>964.9353637695312</v>
      </c>
      <c r="AC121" s="47">
        <v>4452.814453125</v>
      </c>
      <c r="AD121" s="56">
        <v>0.21670235693454742</v>
      </c>
      <c r="AE121" s="47"/>
      <c r="AF121" s="47"/>
      <c r="AG121" s="47"/>
      <c r="AH121" s="47"/>
      <c r="AI121" s="47"/>
      <c r="AJ121" s="47"/>
      <c r="AK121" s="47"/>
      <c r="AL121" s="36"/>
      <c r="AM121" s="36"/>
      <c r="AN121" s="36"/>
      <c r="AO121" s="36"/>
    </row>
    <row r="122" spans="1:41" ht="12.75" customHeight="1">
      <c r="A122"/>
      <c r="B122" t="s">
        <v>427</v>
      </c>
      <c r="C122" s="36">
        <v>20</v>
      </c>
      <c r="D122" s="36">
        <v>2600</v>
      </c>
      <c r="E122" s="36">
        <v>5775</v>
      </c>
      <c r="F122" s="36">
        <v>0</v>
      </c>
      <c r="G122" s="36">
        <v>602.8137817382812</v>
      </c>
      <c r="H122" s="36"/>
      <c r="I122" s="36">
        <v>5.08</v>
      </c>
      <c r="J122" s="36">
        <v>0.44999998807907104</v>
      </c>
      <c r="K122" s="36">
        <v>2798.25</v>
      </c>
      <c r="L122" s="36">
        <v>0.028296400663409653</v>
      </c>
      <c r="M122" s="36">
        <v>0.06288088858127594</v>
      </c>
      <c r="N122" s="36">
        <v>5775.00123227992</v>
      </c>
      <c r="O122" s="36">
        <v>0</v>
      </c>
      <c r="P122" s="36">
        <v>602.8137817382812</v>
      </c>
      <c r="Q122" s="36">
        <v>6377.81494140625</v>
      </c>
      <c r="R122" s="36">
        <v>179.0334479805529</v>
      </c>
      <c r="S122" s="36">
        <v>1358.5973228602616</v>
      </c>
      <c r="T122" s="36">
        <v>1.0806963443756104</v>
      </c>
      <c r="U122" s="36">
        <v>0</v>
      </c>
      <c r="V122" s="36">
        <v>1359.6290138710506</v>
      </c>
      <c r="W122" s="36">
        <v>5775.00123227992</v>
      </c>
      <c r="X122" s="56">
        <v>0.2354335452382719</v>
      </c>
      <c r="Y122" s="47">
        <v>16.01031494140625</v>
      </c>
      <c r="Z122" s="47">
        <v>0</v>
      </c>
      <c r="AA122" s="47">
        <v>0</v>
      </c>
      <c r="AB122" s="47">
        <v>1375.6392822265625</v>
      </c>
      <c r="AC122" s="47">
        <v>6377.81494140625</v>
      </c>
      <c r="AD122" s="56">
        <v>0.21569131314754486</v>
      </c>
      <c r="AE122" s="47"/>
      <c r="AF122" s="47"/>
      <c r="AG122" s="47"/>
      <c r="AH122" s="47"/>
      <c r="AI122" s="47"/>
      <c r="AJ122" s="47"/>
      <c r="AK122" s="47"/>
      <c r="AL122" s="36"/>
      <c r="AM122" s="36"/>
      <c r="AN122" s="36"/>
      <c r="AO122" s="36"/>
    </row>
    <row r="123" spans="1:41" ht="12.75" customHeight="1">
      <c r="A123"/>
      <c r="B123" t="s">
        <v>445</v>
      </c>
      <c r="C123" s="36">
        <v>20</v>
      </c>
      <c r="D123" s="36">
        <v>1800</v>
      </c>
      <c r="E123" s="36">
        <v>3850</v>
      </c>
      <c r="F123" s="36">
        <v>0</v>
      </c>
      <c r="G123" s="36">
        <v>602.8137817382812</v>
      </c>
      <c r="H123" s="36"/>
      <c r="I123" s="36">
        <v>10.43</v>
      </c>
      <c r="J123" s="36">
        <v>0.5099999904632568</v>
      </c>
      <c r="K123" s="36">
        <v>1937.25</v>
      </c>
      <c r="L123" s="36">
        <v>0.010813528344266672</v>
      </c>
      <c r="M123" s="36">
        <v>0.021202996373176575</v>
      </c>
      <c r="N123" s="36">
        <v>3850.0008215199473</v>
      </c>
      <c r="O123" s="36">
        <v>0</v>
      </c>
      <c r="P123" s="36">
        <v>602.8137817382812</v>
      </c>
      <c r="Q123" s="36">
        <v>4452.814453125</v>
      </c>
      <c r="R123" s="36">
        <v>180.55008792172416</v>
      </c>
      <c r="S123" s="36">
        <v>941.061748555513</v>
      </c>
      <c r="T123" s="36">
        <v>0.41299036145210266</v>
      </c>
      <c r="U123" s="36">
        <v>0</v>
      </c>
      <c r="V123" s="36">
        <v>941.4560114202637</v>
      </c>
      <c r="W123" s="36">
        <v>3850.0008215199473</v>
      </c>
      <c r="X123" s="56">
        <v>0.244533976761227</v>
      </c>
      <c r="Y123" s="47">
        <v>5.398566246032715</v>
      </c>
      <c r="Z123" s="47">
        <v>0</v>
      </c>
      <c r="AA123" s="47">
        <v>0</v>
      </c>
      <c r="AB123" s="47">
        <v>946.8545532226562</v>
      </c>
      <c r="AC123" s="47">
        <v>4452.814453125</v>
      </c>
      <c r="AD123" s="56">
        <v>0.21264182031154633</v>
      </c>
      <c r="AE123" s="47"/>
      <c r="AF123" s="47"/>
      <c r="AG123" s="47"/>
      <c r="AH123" s="47"/>
      <c r="AI123" s="47"/>
      <c r="AJ123" s="47"/>
      <c r="AK123" s="47"/>
      <c r="AL123" s="36"/>
      <c r="AM123" s="36"/>
      <c r="AN123" s="36"/>
      <c r="AO123" s="36"/>
    </row>
    <row r="124" spans="1:41" ht="12.75" customHeight="1">
      <c r="A124"/>
      <c r="B124" t="s">
        <v>415</v>
      </c>
      <c r="C124" s="36">
        <v>20</v>
      </c>
      <c r="D124" s="36">
        <v>1800</v>
      </c>
      <c r="E124" s="36">
        <v>3850</v>
      </c>
      <c r="F124" s="36">
        <v>0</v>
      </c>
      <c r="G124" s="36">
        <v>602.8137817382812</v>
      </c>
      <c r="H124" s="36"/>
      <c r="I124" s="36">
        <v>10.43</v>
      </c>
      <c r="J124" s="36">
        <v>0.5099999904632568</v>
      </c>
      <c r="K124" s="36">
        <v>1937.25</v>
      </c>
      <c r="L124" s="36">
        <v>0.010813528344266672</v>
      </c>
      <c r="M124" s="36">
        <v>0.021202996373176575</v>
      </c>
      <c r="N124" s="36">
        <v>3850.0008215199473</v>
      </c>
      <c r="O124" s="36">
        <v>0</v>
      </c>
      <c r="P124" s="36">
        <v>602.8137817382812</v>
      </c>
      <c r="Q124" s="36">
        <v>4452.814453125</v>
      </c>
      <c r="R124" s="36">
        <v>180.55008792172416</v>
      </c>
      <c r="S124" s="36">
        <v>941.061748555513</v>
      </c>
      <c r="T124" s="36">
        <v>0.41299036145210266</v>
      </c>
      <c r="U124" s="36">
        <v>0</v>
      </c>
      <c r="V124" s="36">
        <v>941.4560114202637</v>
      </c>
      <c r="W124" s="36">
        <v>3850.0008215199473</v>
      </c>
      <c r="X124" s="56">
        <v>0.244533976761227</v>
      </c>
      <c r="Y124" s="47">
        <v>5.398566246032715</v>
      </c>
      <c r="Z124" s="47">
        <v>0</v>
      </c>
      <c r="AA124" s="47">
        <v>0</v>
      </c>
      <c r="AB124" s="47">
        <v>946.8545532226562</v>
      </c>
      <c r="AC124" s="47">
        <v>4452.814453125</v>
      </c>
      <c r="AD124" s="56">
        <v>0.21264182031154633</v>
      </c>
      <c r="AE124" s="47"/>
      <c r="AF124" s="47"/>
      <c r="AG124" s="47"/>
      <c r="AH124" s="47"/>
      <c r="AI124" s="47"/>
      <c r="AJ124" s="47"/>
      <c r="AK124" s="47"/>
      <c r="AL124" s="36"/>
      <c r="AM124" s="36"/>
      <c r="AN124" s="36"/>
      <c r="AO124" s="36"/>
    </row>
    <row r="125" spans="1:41" ht="12.75" customHeight="1">
      <c r="A125"/>
      <c r="B125" t="s">
        <v>431</v>
      </c>
      <c r="C125" s="36">
        <v>20</v>
      </c>
      <c r="D125" s="36">
        <v>2300</v>
      </c>
      <c r="E125" s="36">
        <v>5775</v>
      </c>
      <c r="F125" s="36">
        <v>0</v>
      </c>
      <c r="G125" s="36">
        <v>602.8137817382812</v>
      </c>
      <c r="H125" s="36"/>
      <c r="I125" s="36">
        <v>2.57</v>
      </c>
      <c r="J125" s="36">
        <v>0.36000001430511475</v>
      </c>
      <c r="K125" s="36">
        <v>2475.375</v>
      </c>
      <c r="L125" s="36">
        <v>0.03958277967639089</v>
      </c>
      <c r="M125" s="36">
        <v>0.1099521592259407</v>
      </c>
      <c r="N125" s="36">
        <v>5775.00123227992</v>
      </c>
      <c r="O125" s="36">
        <v>0</v>
      </c>
      <c r="P125" s="36">
        <v>602.8137817382812</v>
      </c>
      <c r="Q125" s="36">
        <v>6377.81494140625</v>
      </c>
      <c r="R125" s="36">
        <v>202.3856368475815</v>
      </c>
      <c r="S125" s="36">
        <v>1201.8360932994672</v>
      </c>
      <c r="T125" s="36">
        <v>1.511745810508728</v>
      </c>
      <c r="U125" s="36">
        <v>0</v>
      </c>
      <c r="V125" s="36">
        <v>1203.279287381285</v>
      </c>
      <c r="W125" s="36">
        <v>5775.00123227992</v>
      </c>
      <c r="X125" s="56">
        <v>0.2083600053027592</v>
      </c>
      <c r="Y125" s="47">
        <v>27.995288848876953</v>
      </c>
      <c r="Z125" s="47">
        <v>0</v>
      </c>
      <c r="AA125" s="47">
        <v>0</v>
      </c>
      <c r="AB125" s="47">
        <v>1231.2745361328125</v>
      </c>
      <c r="AC125" s="47">
        <v>6377.81494140625</v>
      </c>
      <c r="AD125" s="56">
        <v>0.19305585324764252</v>
      </c>
      <c r="AE125" s="47"/>
      <c r="AF125" s="47"/>
      <c r="AG125" s="47"/>
      <c r="AH125" s="47"/>
      <c r="AI125" s="47"/>
      <c r="AJ125" s="47"/>
      <c r="AK125" s="47"/>
      <c r="AL125" s="36"/>
      <c r="AM125" s="36"/>
      <c r="AN125" s="36"/>
      <c r="AO125" s="36"/>
    </row>
    <row r="126" spans="1:41" ht="12.75" customHeight="1">
      <c r="A126"/>
      <c r="B126" t="s">
        <v>426</v>
      </c>
      <c r="C126" s="36">
        <v>20</v>
      </c>
      <c r="D126" s="36">
        <v>2300</v>
      </c>
      <c r="E126" s="36">
        <v>5775</v>
      </c>
      <c r="F126" s="36">
        <v>0</v>
      </c>
      <c r="G126" s="36">
        <v>602.8137817382812</v>
      </c>
      <c r="H126" s="36"/>
      <c r="I126" s="36">
        <v>8.44</v>
      </c>
      <c r="J126" s="36">
        <v>0.5699999928474426</v>
      </c>
      <c r="K126" s="36">
        <v>2475.375</v>
      </c>
      <c r="L126" s="36">
        <v>0.019083995167266367</v>
      </c>
      <c r="M126" s="36">
        <v>0.0334806926548481</v>
      </c>
      <c r="N126" s="36">
        <v>5775.00123227992</v>
      </c>
      <c r="O126" s="36">
        <v>0</v>
      </c>
      <c r="P126" s="36">
        <v>602.8137817382812</v>
      </c>
      <c r="Q126" s="36">
        <v>6377.81494140625</v>
      </c>
      <c r="R126" s="36">
        <v>202.3856368475815</v>
      </c>
      <c r="S126" s="36">
        <v>1201.8360932994672</v>
      </c>
      <c r="T126" s="36">
        <v>0.728856086730957</v>
      </c>
      <c r="U126" s="36">
        <v>0</v>
      </c>
      <c r="V126" s="36">
        <v>1202.5318986246114</v>
      </c>
      <c r="W126" s="36">
        <v>5775.00123227992</v>
      </c>
      <c r="X126" s="56">
        <v>0.20823058736385106</v>
      </c>
      <c r="Y126" s="47">
        <v>8.524632453918457</v>
      </c>
      <c r="Z126" s="47">
        <v>0</v>
      </c>
      <c r="AA126" s="47">
        <v>0</v>
      </c>
      <c r="AB126" s="47">
        <v>1211.0565185546875</v>
      </c>
      <c r="AC126" s="47">
        <v>6377.81494140625</v>
      </c>
      <c r="AD126" s="56">
        <v>0.18988581001758575</v>
      </c>
      <c r="AE126" s="47"/>
      <c r="AF126" s="47"/>
      <c r="AG126" s="47"/>
      <c r="AH126" s="47"/>
      <c r="AI126" s="47"/>
      <c r="AJ126" s="47"/>
      <c r="AK126" s="47"/>
      <c r="AL126" s="36"/>
      <c r="AM126" s="36"/>
      <c r="AN126" s="36"/>
      <c r="AO126" s="36"/>
    </row>
    <row r="127" spans="1:41" ht="12.75" customHeight="1">
      <c r="A127"/>
      <c r="B127" t="s">
        <v>442</v>
      </c>
      <c r="C127" s="36">
        <v>20</v>
      </c>
      <c r="D127" s="36">
        <v>2700</v>
      </c>
      <c r="E127" s="36">
        <v>7180.25</v>
      </c>
      <c r="F127" s="36">
        <v>0</v>
      </c>
      <c r="G127" s="36">
        <v>602.8137817382812</v>
      </c>
      <c r="H127" s="36"/>
      <c r="I127" s="36">
        <v>1.8</v>
      </c>
      <c r="J127" s="36">
        <v>0.25999999046325684</v>
      </c>
      <c r="K127" s="36">
        <v>2905.8749999999995</v>
      </c>
      <c r="L127" s="36">
        <v>0.04791523796850687</v>
      </c>
      <c r="M127" s="36">
        <v>0.1842893809080124</v>
      </c>
      <c r="N127" s="36">
        <v>7180.251532134701</v>
      </c>
      <c r="O127" s="36">
        <v>0</v>
      </c>
      <c r="P127" s="36">
        <v>602.8137817382812</v>
      </c>
      <c r="Q127" s="36">
        <v>7783.0654296875</v>
      </c>
      <c r="R127" s="36">
        <v>210.3887567927413</v>
      </c>
      <c r="S127" s="36">
        <v>1410.8510660471961</v>
      </c>
      <c r="T127" s="36">
        <v>1.8299791812896729</v>
      </c>
      <c r="U127" s="36">
        <v>0</v>
      </c>
      <c r="V127" s="36">
        <v>1412.5980628076659</v>
      </c>
      <c r="W127" s="36">
        <v>7180.251532134701</v>
      </c>
      <c r="X127" s="56">
        <v>0.19673378522823115</v>
      </c>
      <c r="Y127" s="47">
        <v>46.92254638671875</v>
      </c>
      <c r="Z127" s="47">
        <v>0</v>
      </c>
      <c r="AA127" s="47">
        <v>0</v>
      </c>
      <c r="AB127" s="47">
        <v>1459.5206298828125</v>
      </c>
      <c r="AC127" s="47">
        <v>7783.0654296875</v>
      </c>
      <c r="AD127" s="56">
        <v>0.1875251680612564</v>
      </c>
      <c r="AE127" s="47"/>
      <c r="AF127" s="47"/>
      <c r="AG127" s="47"/>
      <c r="AH127" s="47"/>
      <c r="AI127" s="47"/>
      <c r="AJ127" s="47"/>
      <c r="AK127" s="47"/>
      <c r="AL127" s="36"/>
      <c r="AM127" s="36"/>
      <c r="AN127" s="36"/>
      <c r="AO127" s="36"/>
    </row>
    <row r="128" spans="1:41" ht="12.75" customHeight="1">
      <c r="A128"/>
      <c r="B128" t="s">
        <v>430</v>
      </c>
      <c r="C128" s="36">
        <v>20</v>
      </c>
      <c r="D128" s="36">
        <v>2200</v>
      </c>
      <c r="E128" s="36">
        <v>5775</v>
      </c>
      <c r="F128" s="36">
        <v>0</v>
      </c>
      <c r="G128" s="36">
        <v>602.8137817382812</v>
      </c>
      <c r="H128" s="36"/>
      <c r="I128" s="36">
        <v>2.47</v>
      </c>
      <c r="J128" s="36">
        <v>0.33000001311302185</v>
      </c>
      <c r="K128" s="36">
        <v>2367.75</v>
      </c>
      <c r="L128" s="36">
        <v>0.03611176728265937</v>
      </c>
      <c r="M128" s="36">
        <v>0.10942959040403366</v>
      </c>
      <c r="N128" s="36">
        <v>5775.00123227992</v>
      </c>
      <c r="O128" s="36">
        <v>0</v>
      </c>
      <c r="P128" s="36">
        <v>602.8137817382812</v>
      </c>
      <c r="Q128" s="36">
        <v>6377.81494140625</v>
      </c>
      <c r="R128" s="36">
        <v>211.58498397701703</v>
      </c>
      <c r="S128" s="36">
        <v>1150.1865815678498</v>
      </c>
      <c r="T128" s="36">
        <v>1.379180908203125</v>
      </c>
      <c r="U128" s="36">
        <v>0</v>
      </c>
      <c r="V128" s="36">
        <v>1151.5032220173682</v>
      </c>
      <c r="W128" s="36">
        <v>5775.00123227992</v>
      </c>
      <c r="X128" s="56">
        <v>0.19939445477187626</v>
      </c>
      <c r="Y128" s="47">
        <v>27.86223793029785</v>
      </c>
      <c r="Z128" s="47">
        <v>0</v>
      </c>
      <c r="AA128" s="47">
        <v>0</v>
      </c>
      <c r="AB128" s="47">
        <v>1179.365478515625</v>
      </c>
      <c r="AC128" s="47">
        <v>6377.81494140625</v>
      </c>
      <c r="AD128" s="56">
        <v>0.18491685390472412</v>
      </c>
      <c r="AE128" s="47"/>
      <c r="AF128" s="47"/>
      <c r="AG128" s="47"/>
      <c r="AH128" s="47"/>
      <c r="AI128" s="47"/>
      <c r="AJ128" s="47"/>
      <c r="AK128" s="47"/>
      <c r="AL128" s="36"/>
      <c r="AM128" s="36"/>
      <c r="AN128" s="36"/>
      <c r="AO128" s="36"/>
    </row>
    <row r="129" spans="1:41" ht="12.75" customHeight="1">
      <c r="A129"/>
      <c r="B129" t="s">
        <v>437</v>
      </c>
      <c r="C129" s="36">
        <v>20</v>
      </c>
      <c r="D129" s="36">
        <v>2700</v>
      </c>
      <c r="E129" s="36">
        <v>7180.25</v>
      </c>
      <c r="F129" s="36">
        <v>0</v>
      </c>
      <c r="G129" s="36">
        <v>602.8137817382812</v>
      </c>
      <c r="H129" s="36"/>
      <c r="I129" s="36">
        <v>5.08</v>
      </c>
      <c r="J129" s="36">
        <v>0.44999998807907104</v>
      </c>
      <c r="K129" s="36">
        <v>2905.8749999999995</v>
      </c>
      <c r="L129" s="36">
        <v>0.02938472376584849</v>
      </c>
      <c r="M129" s="36">
        <v>0.0652993842959404</v>
      </c>
      <c r="N129" s="36">
        <v>7180.251532134701</v>
      </c>
      <c r="O129" s="36">
        <v>0</v>
      </c>
      <c r="P129" s="36">
        <v>602.8137817382812</v>
      </c>
      <c r="Q129" s="36">
        <v>7783.0654296875</v>
      </c>
      <c r="R129" s="36">
        <v>210.3887567927413</v>
      </c>
      <c r="S129" s="36">
        <v>1410.8510660471961</v>
      </c>
      <c r="T129" s="36">
        <v>1.122261643409729</v>
      </c>
      <c r="U129" s="36">
        <v>0</v>
      </c>
      <c r="V129" s="36">
        <v>1411.9224374814771</v>
      </c>
      <c r="W129" s="36">
        <v>7180.251532134701</v>
      </c>
      <c r="X129" s="56">
        <v>0.19663969028975092</v>
      </c>
      <c r="Y129" s="47">
        <v>16.626096725463867</v>
      </c>
      <c r="Z129" s="47">
        <v>0</v>
      </c>
      <c r="AA129" s="47">
        <v>0</v>
      </c>
      <c r="AB129" s="47">
        <v>1428.548583984375</v>
      </c>
      <c r="AC129" s="47">
        <v>7783.0654296875</v>
      </c>
      <c r="AD129" s="56">
        <v>0.18354575335979462</v>
      </c>
      <c r="AE129" s="47"/>
      <c r="AF129" s="47"/>
      <c r="AG129" s="47"/>
      <c r="AH129" s="47"/>
      <c r="AI129" s="47"/>
      <c r="AJ129" s="47"/>
      <c r="AK129" s="47"/>
      <c r="AL129" s="36"/>
      <c r="AM129" s="36"/>
      <c r="AN129" s="36"/>
      <c r="AO129" s="36"/>
    </row>
    <row r="130" spans="1:41" ht="12.75" customHeight="1">
      <c r="A130"/>
      <c r="B130" t="s">
        <v>425</v>
      </c>
      <c r="C130" s="36">
        <v>20</v>
      </c>
      <c r="D130" s="36">
        <v>2200</v>
      </c>
      <c r="E130" s="36">
        <v>5775</v>
      </c>
      <c r="F130" s="36">
        <v>0</v>
      </c>
      <c r="G130" s="36">
        <v>602.8137817382812</v>
      </c>
      <c r="H130" s="36"/>
      <c r="I130" s="36">
        <v>10.43</v>
      </c>
      <c r="J130" s="36">
        <v>0.5099999904632568</v>
      </c>
      <c r="K130" s="36">
        <v>2367.75</v>
      </c>
      <c r="L130" s="36">
        <v>0.0132165346429926</v>
      </c>
      <c r="M130" s="36">
        <v>0.02591477520763874</v>
      </c>
      <c r="N130" s="36">
        <v>5775.00123227992</v>
      </c>
      <c r="O130" s="36">
        <v>0</v>
      </c>
      <c r="P130" s="36">
        <v>602.8137817382812</v>
      </c>
      <c r="Q130" s="36">
        <v>6377.81494140625</v>
      </c>
      <c r="R130" s="36">
        <v>211.58498397701703</v>
      </c>
      <c r="S130" s="36">
        <v>1150.1865815678498</v>
      </c>
      <c r="T130" s="36">
        <v>0.5047659873962402</v>
      </c>
      <c r="U130" s="36">
        <v>0</v>
      </c>
      <c r="V130" s="36">
        <v>1150.6684584025452</v>
      </c>
      <c r="W130" s="36">
        <v>5775.00123227992</v>
      </c>
      <c r="X130" s="56">
        <v>0.19924990699062956</v>
      </c>
      <c r="Y130" s="47">
        <v>6.598248481750488</v>
      </c>
      <c r="Z130" s="47">
        <v>0</v>
      </c>
      <c r="AA130" s="47">
        <v>0</v>
      </c>
      <c r="AB130" s="47">
        <v>1157.2667236328125</v>
      </c>
      <c r="AC130" s="47">
        <v>6377.81494140625</v>
      </c>
      <c r="AD130" s="56">
        <v>0.1814519166946411</v>
      </c>
      <c r="AE130" s="47"/>
      <c r="AF130" s="47"/>
      <c r="AG130" s="47"/>
      <c r="AH130" s="47"/>
      <c r="AI130" s="47"/>
      <c r="AJ130" s="47"/>
      <c r="AK130" s="47"/>
      <c r="AL130" s="36"/>
      <c r="AM130" s="36"/>
      <c r="AN130" s="36"/>
      <c r="AO130" s="36"/>
    </row>
    <row r="131" spans="1:41" ht="12.75" customHeight="1">
      <c r="A131"/>
      <c r="B131" t="s">
        <v>441</v>
      </c>
      <c r="C131" s="36">
        <v>20</v>
      </c>
      <c r="D131" s="36">
        <v>2500</v>
      </c>
      <c r="E131" s="36">
        <v>7180.25</v>
      </c>
      <c r="F131" s="36">
        <v>0</v>
      </c>
      <c r="G131" s="36">
        <v>602.8137817382812</v>
      </c>
      <c r="H131" s="36"/>
      <c r="I131" s="36">
        <v>2.57</v>
      </c>
      <c r="J131" s="36">
        <v>0.36000001430511475</v>
      </c>
      <c r="K131" s="36">
        <v>2690.6249999999995</v>
      </c>
      <c r="L131" s="36">
        <v>0.04302476051781618</v>
      </c>
      <c r="M131" s="36">
        <v>0.11951322108507156</v>
      </c>
      <c r="N131" s="36">
        <v>7180.251532134701</v>
      </c>
      <c r="O131" s="36">
        <v>0</v>
      </c>
      <c r="P131" s="36">
        <v>602.8137817382812</v>
      </c>
      <c r="Q131" s="36">
        <v>7783.0654296875</v>
      </c>
      <c r="R131" s="36">
        <v>227.21985733616066</v>
      </c>
      <c r="S131" s="36">
        <v>1306.3435796733315</v>
      </c>
      <c r="T131" s="36">
        <v>1.6432019472122192</v>
      </c>
      <c r="U131" s="36">
        <v>0</v>
      </c>
      <c r="V131" s="36">
        <v>1307.9122688926986</v>
      </c>
      <c r="W131" s="36">
        <v>7180.251532134701</v>
      </c>
      <c r="X131" s="56">
        <v>0.1821541018499465</v>
      </c>
      <c r="Y131" s="47">
        <v>30.42966651916504</v>
      </c>
      <c r="Z131" s="47">
        <v>0</v>
      </c>
      <c r="AA131" s="47">
        <v>0</v>
      </c>
      <c r="AB131" s="47">
        <v>1338.3419189453125</v>
      </c>
      <c r="AC131" s="47">
        <v>7783.0654296875</v>
      </c>
      <c r="AD131" s="56">
        <v>0.1719556301832199</v>
      </c>
      <c r="AE131" s="47"/>
      <c r="AF131" s="47"/>
      <c r="AG131" s="47"/>
      <c r="AH131" s="47"/>
      <c r="AI131" s="47"/>
      <c r="AJ131" s="47"/>
      <c r="AK131" s="47"/>
      <c r="AL131" s="36"/>
      <c r="AM131" s="36"/>
      <c r="AN131" s="36"/>
      <c r="AO131" s="36"/>
    </row>
    <row r="132" spans="1:41" ht="12.75" customHeight="1">
      <c r="A132"/>
      <c r="B132" t="s">
        <v>436</v>
      </c>
      <c r="C132" s="36">
        <v>20</v>
      </c>
      <c r="D132" s="36">
        <v>2500</v>
      </c>
      <c r="E132" s="36">
        <v>7180.25</v>
      </c>
      <c r="F132" s="36">
        <v>0</v>
      </c>
      <c r="G132" s="36">
        <v>602.8137817382812</v>
      </c>
      <c r="H132" s="36"/>
      <c r="I132" s="36">
        <v>8.44</v>
      </c>
      <c r="J132" s="36">
        <v>0.5699999928474426</v>
      </c>
      <c r="K132" s="36">
        <v>2690.6249999999995</v>
      </c>
      <c r="L132" s="36">
        <v>0.02074347300789822</v>
      </c>
      <c r="M132" s="36">
        <v>0.03639205917716026</v>
      </c>
      <c r="N132" s="36">
        <v>7180.251532134701</v>
      </c>
      <c r="O132" s="36">
        <v>0</v>
      </c>
      <c r="P132" s="36">
        <v>602.8137817382812</v>
      </c>
      <c r="Q132" s="36">
        <v>7783.0654296875</v>
      </c>
      <c r="R132" s="36">
        <v>227.21985733616066</v>
      </c>
      <c r="S132" s="36">
        <v>1306.3435796733315</v>
      </c>
      <c r="T132" s="36">
        <v>0.7922348976135254</v>
      </c>
      <c r="U132" s="36">
        <v>0</v>
      </c>
      <c r="V132" s="36">
        <v>1307.0998898093578</v>
      </c>
      <c r="W132" s="36">
        <v>7180.251532134701</v>
      </c>
      <c r="X132" s="56">
        <v>0.1820409610944026</v>
      </c>
      <c r="Y132" s="47">
        <v>9.265905380249023</v>
      </c>
      <c r="Z132" s="47">
        <v>0</v>
      </c>
      <c r="AA132" s="47">
        <v>0</v>
      </c>
      <c r="AB132" s="47">
        <v>1316.3658447265625</v>
      </c>
      <c r="AC132" s="47">
        <v>7783.0654296875</v>
      </c>
      <c r="AD132" s="56">
        <v>0.1691320538520813</v>
      </c>
      <c r="AE132" s="47"/>
      <c r="AF132" s="47"/>
      <c r="AG132" s="47"/>
      <c r="AH132" s="47"/>
      <c r="AI132" s="47"/>
      <c r="AJ132" s="47"/>
      <c r="AK132" s="47"/>
      <c r="AL132" s="36"/>
      <c r="AM132" s="36"/>
      <c r="AN132" s="36"/>
      <c r="AO132" s="36"/>
    </row>
    <row r="133" spans="1:41" ht="12.75" customHeight="1">
      <c r="A133"/>
      <c r="B133" t="s">
        <v>440</v>
      </c>
      <c r="C133" s="36">
        <v>20</v>
      </c>
      <c r="D133" s="36">
        <v>2400</v>
      </c>
      <c r="E133" s="36">
        <v>7180.25</v>
      </c>
      <c r="F133" s="36">
        <v>0</v>
      </c>
      <c r="G133" s="36">
        <v>602.8137817382812</v>
      </c>
      <c r="H133" s="36"/>
      <c r="I133" s="36">
        <v>2.47</v>
      </c>
      <c r="J133" s="36">
        <v>0.33000001311302185</v>
      </c>
      <c r="K133" s="36">
        <v>2583</v>
      </c>
      <c r="L133" s="36">
        <v>0.039394655217446596</v>
      </c>
      <c r="M133" s="36">
        <v>0.1193777397274971</v>
      </c>
      <c r="N133" s="36">
        <v>7180.251532134701</v>
      </c>
      <c r="O133" s="36">
        <v>0</v>
      </c>
      <c r="P133" s="36">
        <v>602.8137817382812</v>
      </c>
      <c r="Q133" s="36">
        <v>7783.0654296875</v>
      </c>
      <c r="R133" s="36">
        <v>236.68735139183397</v>
      </c>
      <c r="S133" s="36">
        <v>1254.748998074017</v>
      </c>
      <c r="T133" s="36">
        <v>1.504560947418213</v>
      </c>
      <c r="U133" s="36">
        <v>0</v>
      </c>
      <c r="V133" s="36">
        <v>1256.1853331098553</v>
      </c>
      <c r="W133" s="36">
        <v>7180.251532134701</v>
      </c>
      <c r="X133" s="56">
        <v>0.17495004561997415</v>
      </c>
      <c r="Y133" s="47">
        <v>30.395170211791992</v>
      </c>
      <c r="Z133" s="47">
        <v>0</v>
      </c>
      <c r="AA133" s="47">
        <v>0</v>
      </c>
      <c r="AB133" s="47">
        <v>1286.5804443359375</v>
      </c>
      <c r="AC133" s="47">
        <v>7783.0654296875</v>
      </c>
      <c r="AD133" s="56">
        <v>0.16530510783195496</v>
      </c>
      <c r="AE133" s="47"/>
      <c r="AF133" s="47"/>
      <c r="AG133" s="47"/>
      <c r="AH133" s="47"/>
      <c r="AI133" s="47"/>
      <c r="AJ133" s="47"/>
      <c r="AK133" s="47"/>
      <c r="AL133" s="36"/>
      <c r="AM133" s="36"/>
      <c r="AN133" s="36"/>
      <c r="AO133" s="36"/>
    </row>
    <row r="134" spans="1:41" ht="12.75" customHeight="1">
      <c r="A134"/>
      <c r="B134" t="s">
        <v>435</v>
      </c>
      <c r="C134" s="36">
        <v>20</v>
      </c>
      <c r="D134" s="36">
        <v>2400</v>
      </c>
      <c r="E134" s="36">
        <v>7180.25</v>
      </c>
      <c r="F134" s="36">
        <v>0</v>
      </c>
      <c r="G134" s="36">
        <v>602.8137817382812</v>
      </c>
      <c r="H134" s="36"/>
      <c r="I134" s="36">
        <v>10.43</v>
      </c>
      <c r="J134" s="36">
        <v>0.5099999904632568</v>
      </c>
      <c r="K134" s="36">
        <v>2583</v>
      </c>
      <c r="L134" s="36">
        <v>0.014418037792355566</v>
      </c>
      <c r="M134" s="36">
        <v>0.02827066369354725</v>
      </c>
      <c r="N134" s="36">
        <v>7180.251532134701</v>
      </c>
      <c r="O134" s="36">
        <v>0</v>
      </c>
      <c r="P134" s="36">
        <v>602.8137817382812</v>
      </c>
      <c r="Q134" s="36">
        <v>7783.0654296875</v>
      </c>
      <c r="R134" s="36">
        <v>236.68735139183397</v>
      </c>
      <c r="S134" s="36">
        <v>1254.748998074017</v>
      </c>
      <c r="T134" s="36">
        <v>0.5506538152694702</v>
      </c>
      <c r="U134" s="36">
        <v>0</v>
      </c>
      <c r="V134" s="36">
        <v>1255.2746818936848</v>
      </c>
      <c r="W134" s="36">
        <v>7180.251532134701</v>
      </c>
      <c r="X134" s="56">
        <v>0.1748232184173205</v>
      </c>
      <c r="Y134" s="47">
        <v>7.198089122772217</v>
      </c>
      <c r="Z134" s="47">
        <v>0</v>
      </c>
      <c r="AA134" s="47">
        <v>0</v>
      </c>
      <c r="AB134" s="47">
        <v>1262.4727783203125</v>
      </c>
      <c r="AC134" s="47">
        <v>7783.0654296875</v>
      </c>
      <c r="AD134" s="56">
        <v>0.16220764815807343</v>
      </c>
      <c r="AE134" s="47"/>
      <c r="AF134" s="47"/>
      <c r="AG134" s="47"/>
      <c r="AH134" s="47"/>
      <c r="AI134" s="47"/>
      <c r="AJ134" s="47"/>
      <c r="AK134" s="47"/>
      <c r="AL134" s="36"/>
      <c r="AM134" s="36"/>
      <c r="AN134" s="36"/>
      <c r="AO134" s="36"/>
    </row>
    <row r="135" spans="1:41" ht="12.75" customHeight="1">
      <c r="A135"/>
      <c r="B135"/>
      <c r="C135" s="36"/>
      <c r="D135" s="36"/>
      <c r="E135" s="36"/>
      <c r="F135" s="36"/>
      <c r="G135" s="36"/>
      <c r="H135" s="36"/>
      <c r="I135" s="36"/>
      <c r="J135" s="36"/>
      <c r="K135" s="36"/>
      <c r="L135" s="36"/>
      <c r="M135" s="36"/>
      <c r="N135" s="36"/>
      <c r="O135" s="36"/>
      <c r="P135" s="36"/>
      <c r="Q135" s="36"/>
      <c r="R135" s="36"/>
      <c r="S135" s="36"/>
      <c r="T135" s="36"/>
      <c r="U135" s="36"/>
      <c r="V135" s="36"/>
      <c r="W135" s="36"/>
      <c r="X135" s="47"/>
      <c r="Y135" s="47"/>
      <c r="Z135" s="47"/>
      <c r="AA135" s="47"/>
      <c r="AB135" s="47"/>
      <c r="AC135" s="47"/>
      <c r="AD135" s="47"/>
      <c r="AE135" s="47"/>
      <c r="AF135" s="47"/>
      <c r="AG135" s="47"/>
      <c r="AH135" s="47"/>
      <c r="AI135" s="47"/>
      <c r="AJ135" s="47"/>
      <c r="AK135" s="47"/>
      <c r="AL135" s="36"/>
      <c r="AM135" s="36"/>
      <c r="AN135" s="36"/>
      <c r="AO135" s="36"/>
    </row>
    <row r="136" spans="1:41" ht="12.75" customHeight="1" thickBot="1">
      <c r="A136"/>
      <c r="B1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row>
    <row r="137" spans="1:41" ht="12.75" customHeight="1" thickBot="1">
      <c r="A137" s="52" t="s">
        <v>62</v>
      </c>
      <c r="B137" s="53"/>
      <c r="C137" s="54"/>
      <c r="D137" s="54"/>
      <c r="E137" s="54"/>
      <c r="F137" s="54"/>
      <c r="G137" s="54"/>
      <c r="H137" s="54"/>
      <c r="I137" s="54"/>
      <c r="J137" s="54"/>
      <c r="K137" s="55"/>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row>
    <row r="138" spans="1:41" ht="25.5">
      <c r="A138" s="44"/>
      <c r="B138" s="45" t="s">
        <v>63</v>
      </c>
      <c r="C138" s="46" t="s">
        <v>59</v>
      </c>
      <c r="D138" s="46" t="s">
        <v>60</v>
      </c>
      <c r="E138" s="46" t="s">
        <v>64</v>
      </c>
      <c r="F138" s="46" t="s">
        <v>65</v>
      </c>
      <c r="G138" s="46" t="s">
        <v>66</v>
      </c>
      <c r="H138" s="46" t="s">
        <v>67</v>
      </c>
      <c r="I138" s="46" t="s">
        <v>61</v>
      </c>
      <c r="J138" s="46" t="s">
        <v>50</v>
      </c>
      <c r="K138" s="46" t="s">
        <v>58</v>
      </c>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row>
    <row r="139" spans="1:41" ht="12.75" customHeight="1">
      <c r="A139"/>
      <c r="B139" t="s">
        <v>68</v>
      </c>
      <c r="C139" s="36">
        <v>0</v>
      </c>
      <c r="D139" s="36">
        <v>0</v>
      </c>
      <c r="E139" s="36">
        <v>0</v>
      </c>
      <c r="F139" s="36">
        <v>0</v>
      </c>
      <c r="G139" s="36">
        <v>0</v>
      </c>
      <c r="H139" s="36">
        <v>0</v>
      </c>
      <c r="I139" s="36">
        <v>0</v>
      </c>
      <c r="J139" s="36">
        <v>0</v>
      </c>
      <c r="K139" s="56">
        <v>0</v>
      </c>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row>
    <row r="140" spans="1:41" ht="12.75" customHeight="1">
      <c r="A140"/>
      <c r="B140" t="s">
        <v>69</v>
      </c>
      <c r="C140" s="36">
        <v>0</v>
      </c>
      <c r="D140" s="36">
        <v>0</v>
      </c>
      <c r="E140" s="36">
        <v>0</v>
      </c>
      <c r="F140" s="36">
        <v>0</v>
      </c>
      <c r="G140" s="36">
        <v>0</v>
      </c>
      <c r="H140" s="36">
        <v>0</v>
      </c>
      <c r="I140" s="36">
        <v>0</v>
      </c>
      <c r="J140" s="36">
        <v>51535.7868582545</v>
      </c>
      <c r="K140" s="56">
        <v>0</v>
      </c>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row>
    <row r="141" spans="1:41" ht="12.75" customHeight="1">
      <c r="A141"/>
      <c r="B141" t="s">
        <v>70</v>
      </c>
      <c r="C141" s="36">
        <v>128.96628166553654</v>
      </c>
      <c r="D141" s="36">
        <v>36132.984375</v>
      </c>
      <c r="E141" s="36">
        <v>32212.696530135476</v>
      </c>
      <c r="F141" s="36">
        <v>6442.539306027095</v>
      </c>
      <c r="G141" s="36">
        <v>42575.523681027094</v>
      </c>
      <c r="H141" s="36">
        <v>2891931</v>
      </c>
      <c r="I141" s="36">
        <v>25931.795651255383</v>
      </c>
      <c r="J141" s="36">
        <v>62.800957933114766</v>
      </c>
      <c r="K141" s="56">
        <v>0.001475048396435831</v>
      </c>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row>
    <row r="142" spans="1:41" ht="12.75" customHeight="1">
      <c r="A142"/>
      <c r="B142" t="s">
        <v>71</v>
      </c>
      <c r="C142" s="36">
        <v>0</v>
      </c>
      <c r="D142" s="36">
        <v>0</v>
      </c>
      <c r="E142" s="36">
        <v>0</v>
      </c>
      <c r="F142" s="36">
        <v>0</v>
      </c>
      <c r="G142" s="36">
        <v>0</v>
      </c>
      <c r="H142" s="36">
        <v>0</v>
      </c>
      <c r="I142" s="36">
        <v>0</v>
      </c>
      <c r="J142" s="36">
        <v>0</v>
      </c>
      <c r="K142" s="56">
        <v>0</v>
      </c>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row>
    <row r="143" spans="1:41" ht="12.75" customHeight="1">
      <c r="A143"/>
      <c r="B143" t="s">
        <v>72</v>
      </c>
      <c r="C143" s="36">
        <v>0</v>
      </c>
      <c r="D143" s="36">
        <v>0</v>
      </c>
      <c r="E143" s="36">
        <v>0</v>
      </c>
      <c r="F143" s="36">
        <v>0</v>
      </c>
      <c r="G143" s="36">
        <v>0</v>
      </c>
      <c r="H143" s="36">
        <v>0</v>
      </c>
      <c r="I143" s="36">
        <v>0</v>
      </c>
      <c r="J143" s="36">
        <v>0</v>
      </c>
      <c r="K143" s="57">
        <v>0</v>
      </c>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row>
    <row r="144" spans="1:41" ht="12.75" customHeight="1">
      <c r="A144"/>
      <c r="B144" t="s">
        <v>73</v>
      </c>
      <c r="C144" s="36">
        <v>0</v>
      </c>
      <c r="D144" s="36">
        <v>0</v>
      </c>
      <c r="E144" s="36">
        <v>0</v>
      </c>
      <c r="F144" s="36">
        <v>0</v>
      </c>
      <c r="G144" s="36">
        <v>0</v>
      </c>
      <c r="H144" s="36">
        <v>0</v>
      </c>
      <c r="I144" s="36">
        <v>0</v>
      </c>
      <c r="J144" s="36">
        <v>0</v>
      </c>
      <c r="K144" s="57">
        <v>0</v>
      </c>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row>
    <row r="145" spans="1:41" ht="12.75" customHeight="1">
      <c r="A145"/>
      <c r="B145" t="s">
        <v>74</v>
      </c>
      <c r="C145" s="36">
        <v>0</v>
      </c>
      <c r="D145" s="36">
        <v>0</v>
      </c>
      <c r="E145" s="36">
        <v>0</v>
      </c>
      <c r="F145" s="36">
        <v>0</v>
      </c>
      <c r="G145" s="36">
        <v>0</v>
      </c>
      <c r="H145" s="36">
        <v>0</v>
      </c>
      <c r="I145" s="36">
        <v>0</v>
      </c>
      <c r="J145" s="36">
        <v>0</v>
      </c>
      <c r="K145" s="57">
        <v>0</v>
      </c>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row>
    <row r="146" spans="1:41" ht="12.75" customHeight="1">
      <c r="A146"/>
      <c r="B146" t="s">
        <v>75</v>
      </c>
      <c r="C146" s="36">
        <v>0</v>
      </c>
      <c r="D146" s="36">
        <v>0</v>
      </c>
      <c r="E146" s="36">
        <v>0</v>
      </c>
      <c r="F146" s="36">
        <v>0</v>
      </c>
      <c r="G146" s="36">
        <v>0</v>
      </c>
      <c r="H146" s="36">
        <v>0</v>
      </c>
      <c r="I146" s="36">
        <v>0</v>
      </c>
      <c r="J146" s="36">
        <v>0</v>
      </c>
      <c r="K146" s="57">
        <v>0</v>
      </c>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row>
    <row r="147" spans="1:41" ht="12.75" customHeight="1">
      <c r="A147"/>
      <c r="B147" t="s">
        <v>76</v>
      </c>
      <c r="C147" s="36">
        <v>0</v>
      </c>
      <c r="D147" s="36">
        <v>0</v>
      </c>
      <c r="E147" s="36">
        <v>0</v>
      </c>
      <c r="F147" s="36">
        <v>0</v>
      </c>
      <c r="G147" s="36">
        <v>0</v>
      </c>
      <c r="H147" s="36">
        <v>0</v>
      </c>
      <c r="I147" s="36">
        <v>0</v>
      </c>
      <c r="J147" s="36">
        <v>0</v>
      </c>
      <c r="K147" s="57">
        <v>0</v>
      </c>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row>
    <row r="148" spans="1:41" ht="12.75" customHeight="1">
      <c r="A148"/>
      <c r="B148" t="s">
        <v>77</v>
      </c>
      <c r="C148" s="36">
        <v>105903</v>
      </c>
      <c r="D148" s="36">
        <v>230665.09594605176</v>
      </c>
      <c r="E148" s="36">
        <v>206552.5</v>
      </c>
      <c r="F148" s="36">
        <v>41310.5</v>
      </c>
      <c r="G148" s="36">
        <v>271975.59594605176</v>
      </c>
      <c r="H148" s="36">
        <v>22497.060546875</v>
      </c>
      <c r="I148" s="36">
        <v>201.72997966746226</v>
      </c>
      <c r="J148" s="36">
        <v>51535.7868582545</v>
      </c>
      <c r="K148" s="57">
        <v>0.1894868055311734</v>
      </c>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row>
    <row r="149" spans="1:41" ht="12.75" customHeight="1">
      <c r="A149"/>
      <c r="B149"/>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row>
    <row r="150" spans="1:41" ht="12.75" customHeight="1">
      <c r="A150"/>
      <c r="B150"/>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row>
    <row r="151" spans="1:41" ht="12.75" customHeight="1">
      <c r="A151"/>
      <c r="B15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row>
    <row r="152" spans="1:41" ht="12.75" customHeight="1">
      <c r="A152"/>
      <c r="B152"/>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row>
    <row r="153" spans="1:41" ht="12.75" customHeight="1">
      <c r="A153"/>
      <c r="B153"/>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row>
    <row r="154" spans="1:41" ht="12.75" customHeight="1">
      <c r="A154"/>
      <c r="B154"/>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row>
    <row r="155" spans="1:41" ht="12.75" customHeight="1">
      <c r="A155"/>
      <c r="B15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row>
    <row r="156" spans="1:41" ht="12.75" customHeight="1">
      <c r="A156"/>
      <c r="B15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row>
    <row r="157" spans="1:41" ht="12.75" customHeight="1">
      <c r="A157"/>
      <c r="B157"/>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row>
    <row r="158" spans="1:41" ht="12.75" customHeight="1">
      <c r="A158"/>
      <c r="B158"/>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row>
    <row r="159" spans="1:41" ht="12.75" customHeight="1">
      <c r="A159"/>
      <c r="B159"/>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row>
    <row r="160" spans="1:41" ht="12.75" customHeight="1">
      <c r="A160"/>
      <c r="B160"/>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row>
    <row r="161" spans="1:41" ht="12.75" customHeight="1">
      <c r="A161"/>
      <c r="B161"/>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row>
    <row r="162" spans="1:41" ht="12.75" customHeight="1">
      <c r="A162"/>
      <c r="B162"/>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row>
    <row r="163" spans="1:41" ht="12.75" customHeight="1">
      <c r="A163"/>
      <c r="B163"/>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row>
    <row r="164" spans="1:41" ht="12.75" customHeight="1">
      <c r="A164"/>
      <c r="B164"/>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row>
    <row r="165" spans="1:41" ht="12.75" customHeight="1">
      <c r="A165"/>
      <c r="B165"/>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row>
    <row r="166" spans="1:41" ht="12.75" customHeight="1">
      <c r="A166"/>
      <c r="B16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row>
    <row r="167" spans="1:41" ht="12.75" customHeight="1">
      <c r="A167"/>
      <c r="B167"/>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row>
    <row r="168" spans="1:41" ht="12.75" customHeight="1">
      <c r="A168"/>
      <c r="B168"/>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1:41" ht="12.75" customHeight="1">
      <c r="A169"/>
      <c r="B169"/>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row>
    <row r="170" spans="1:41" ht="12.75" customHeight="1">
      <c r="A170"/>
      <c r="B170"/>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row>
    <row r="171" spans="1:41" ht="12.75" customHeight="1">
      <c r="A171"/>
      <c r="B171"/>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row>
    <row r="172" spans="1:41" ht="12.75" customHeight="1">
      <c r="A172"/>
      <c r="B172"/>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row>
    <row r="173" spans="1:41" ht="12.75" customHeight="1">
      <c r="A173"/>
      <c r="B173"/>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row>
    <row r="174" spans="1:41" ht="12.75" customHeight="1">
      <c r="A174"/>
      <c r="B17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row>
    <row r="175" spans="1:41" ht="12.75" customHeight="1">
      <c r="A175"/>
      <c r="B175"/>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row>
    <row r="176" spans="1:41" ht="12.75" customHeight="1">
      <c r="A176"/>
      <c r="B17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row>
    <row r="177" spans="1:41" ht="12.75" customHeight="1">
      <c r="A177"/>
      <c r="B177"/>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row>
    <row r="178" spans="1:41" ht="12.75" customHeight="1">
      <c r="A178"/>
      <c r="B178"/>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row>
    <row r="179" spans="1:41" ht="12.75" customHeight="1">
      <c r="A179"/>
      <c r="B179"/>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row>
    <row r="180" spans="1:41" ht="12.75" customHeight="1">
      <c r="A180"/>
      <c r="B180"/>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row>
    <row r="181" spans="1:41" ht="12.75" customHeight="1">
      <c r="A181"/>
      <c r="B181"/>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row>
    <row r="182" spans="1:41" ht="12.75" customHeight="1">
      <c r="A182"/>
      <c r="B182"/>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row>
    <row r="183" spans="1:41" ht="12.75" customHeight="1">
      <c r="A183"/>
      <c r="B183"/>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row>
    <row r="184" spans="1:41" ht="12.75" customHeight="1">
      <c r="A184"/>
      <c r="B18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row>
    <row r="185" spans="1:41" ht="12.75" customHeight="1">
      <c r="A185"/>
      <c r="B185"/>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row>
    <row r="186" spans="1:41" ht="12.75" customHeight="1">
      <c r="A186"/>
      <c r="B18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row>
    <row r="187" spans="1:41" ht="12.75" customHeight="1">
      <c r="A187"/>
      <c r="B187"/>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row>
    <row r="188" spans="1:41" ht="12.75" customHeight="1">
      <c r="A188"/>
      <c r="B188"/>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row>
    <row r="189" spans="1:41" ht="12.75" customHeight="1">
      <c r="A189"/>
      <c r="B189"/>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row>
    <row r="190" spans="1:41" ht="12.75" customHeight="1">
      <c r="A190"/>
      <c r="B190"/>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row>
    <row r="191" spans="1:41" ht="12.75" customHeight="1">
      <c r="A191"/>
      <c r="B191"/>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row>
    <row r="192" spans="1:41" ht="12.75" customHeight="1">
      <c r="A192"/>
      <c r="B192"/>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row>
    <row r="193" spans="1:41" ht="12.75" customHeight="1">
      <c r="A193"/>
      <c r="B193"/>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row>
    <row r="194" spans="1:41" ht="12.75" customHeight="1">
      <c r="A194"/>
      <c r="B194"/>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row>
    <row r="195" spans="1:41" ht="12.75" customHeight="1">
      <c r="A195"/>
      <c r="B195"/>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row>
    <row r="196" spans="1:41" ht="12.75" customHeight="1">
      <c r="A196"/>
      <c r="B19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row>
    <row r="197" spans="1:41" ht="12.75" customHeight="1">
      <c r="A197"/>
      <c r="B197"/>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row>
    <row r="198" spans="1:41" ht="12.75" customHeight="1">
      <c r="A198"/>
      <c r="B198"/>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row>
    <row r="199" spans="1:41" ht="12.75" customHeight="1">
      <c r="A199"/>
      <c r="B199"/>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row>
    <row r="200" spans="1:41" ht="12.75" customHeight="1">
      <c r="A200"/>
      <c r="B200"/>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row>
    <row r="201" spans="1:41" ht="12.75" customHeight="1">
      <c r="A201"/>
      <c r="B201"/>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row>
    <row r="202" spans="1:41" ht="12.75" customHeight="1">
      <c r="A202"/>
      <c r="B202"/>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row>
    <row r="203" spans="1:41" ht="12.75" customHeight="1">
      <c r="A203"/>
      <c r="B203"/>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row>
    <row r="204" spans="1:41" ht="12.75" customHeight="1">
      <c r="A204"/>
      <c r="B204"/>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row>
    <row r="205" spans="1:41" ht="12.75" customHeight="1">
      <c r="A205"/>
      <c r="B205"/>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row>
    <row r="206" spans="1:41" ht="12.75" customHeight="1">
      <c r="A206"/>
      <c r="B20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row>
    <row r="207" spans="1:41" ht="12.75" customHeight="1">
      <c r="A207"/>
      <c r="B207"/>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row>
    <row r="208" spans="1:41" ht="12.75" customHeight="1">
      <c r="A208"/>
      <c r="B208"/>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row>
    <row r="209" spans="1:41" ht="12.75" customHeight="1">
      <c r="A209"/>
      <c r="B209"/>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row>
    <row r="210" spans="1:41" ht="12.75" customHeight="1">
      <c r="A210"/>
      <c r="B210"/>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row>
    <row r="211" spans="1:41" ht="12.75" customHeight="1">
      <c r="A211"/>
      <c r="B211"/>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row>
    <row r="212" spans="1:41" ht="12.75" customHeight="1">
      <c r="A212"/>
      <c r="B212"/>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row>
    <row r="213" spans="1:41" ht="12.75" customHeight="1">
      <c r="A213"/>
      <c r="B213"/>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row>
    <row r="214" spans="1:41" ht="12.75" customHeight="1">
      <c r="A214"/>
      <c r="B214"/>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row>
    <row r="215" spans="1:41" ht="12.75" customHeight="1">
      <c r="A215"/>
      <c r="B215"/>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row>
    <row r="216" spans="1:41" ht="12.75" customHeight="1">
      <c r="A216"/>
      <c r="B21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row>
    <row r="217" spans="1:41" ht="12.75" customHeight="1">
      <c r="A217"/>
      <c r="B217"/>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row>
    <row r="218" spans="1:41" ht="12.75" customHeight="1">
      <c r="A218"/>
      <c r="B218"/>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row>
    <row r="219" spans="1:41" ht="12.75" customHeight="1">
      <c r="A219"/>
      <c r="B219"/>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row>
    <row r="220" spans="1:41" ht="12.75" customHeight="1">
      <c r="A220"/>
      <c r="B220"/>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row>
    <row r="221" spans="1:41" ht="12.75" customHeight="1">
      <c r="A221"/>
      <c r="B221"/>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row>
    <row r="222" spans="1:41" ht="12.75" customHeight="1">
      <c r="A222"/>
      <c r="B222"/>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row>
    <row r="223" spans="1:41" ht="12.75" customHeight="1">
      <c r="A223"/>
      <c r="B223"/>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row>
    <row r="224" spans="1:41" ht="12.75" customHeight="1">
      <c r="A224"/>
      <c r="B224"/>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row>
    <row r="225" spans="1:41" ht="12.75" customHeight="1">
      <c r="A225"/>
      <c r="B225"/>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row>
    <row r="226" spans="1:41" ht="12.75" customHeight="1">
      <c r="A226"/>
      <c r="B22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row>
    <row r="227" spans="1:41" ht="12.75" customHeight="1">
      <c r="A227"/>
      <c r="B227"/>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row>
    <row r="228" spans="1:41" ht="12.75" customHeight="1">
      <c r="A228"/>
      <c r="B228"/>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row>
    <row r="229" spans="1:41" ht="12.75" customHeight="1">
      <c r="A229"/>
      <c r="B229"/>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row>
    <row r="230" spans="1:41" ht="12.75" customHeight="1">
      <c r="A230"/>
      <c r="B230"/>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row>
    <row r="231" spans="1:41" ht="12.75" customHeight="1">
      <c r="A231"/>
      <c r="B231"/>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row>
    <row r="232" spans="1:41" ht="12.75" customHeight="1">
      <c r="A232"/>
      <c r="B232"/>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row>
    <row r="233" spans="1:41" ht="12.75" customHeight="1">
      <c r="A233"/>
      <c r="B233"/>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row>
    <row r="234" spans="1:41" ht="12.75" customHeight="1">
      <c r="A234"/>
      <c r="B234"/>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row>
    <row r="235" spans="1:41" ht="12.75" customHeight="1">
      <c r="A235"/>
      <c r="B235"/>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row>
    <row r="236" spans="1:41" ht="12.75" customHeight="1">
      <c r="A236"/>
      <c r="B2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row>
    <row r="237" spans="1:41" ht="12.75" customHeight="1">
      <c r="A237"/>
      <c r="B237"/>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row>
    <row r="238" spans="1:41" ht="12.75" customHeight="1">
      <c r="A238"/>
      <c r="B238"/>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row>
    <row r="239" spans="1:41" ht="12.75" customHeight="1">
      <c r="A239"/>
      <c r="B239"/>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row>
    <row r="240" spans="1:41" ht="12.75" customHeight="1">
      <c r="A240"/>
      <c r="B240"/>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row>
    <row r="241" spans="1:41" ht="12.75" customHeight="1">
      <c r="A241"/>
      <c r="B241"/>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row>
    <row r="242" spans="1:41" ht="12.75" customHeight="1">
      <c r="A242"/>
      <c r="B242"/>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row>
    <row r="243" spans="1:41" ht="12.75" customHeight="1">
      <c r="A243"/>
      <c r="B243"/>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row>
    <row r="244" spans="1:41" ht="12.75" customHeight="1">
      <c r="A244"/>
      <c r="B244"/>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row>
    <row r="245" spans="1:41" ht="12.75" customHeight="1">
      <c r="A245"/>
      <c r="B245"/>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row>
    <row r="246" spans="1:41" ht="12.75" customHeight="1">
      <c r="A246"/>
      <c r="B24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row>
    <row r="247" spans="1:41" ht="12.75" customHeight="1">
      <c r="A247"/>
      <c r="B247"/>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row>
    <row r="248" spans="1:41" ht="12.75" customHeight="1">
      <c r="A248"/>
      <c r="B248"/>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row>
    <row r="249" spans="1:41" ht="12.75" customHeight="1">
      <c r="A249"/>
      <c r="B249"/>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row>
    <row r="250" spans="1:41" ht="12.75" customHeight="1">
      <c r="A250"/>
      <c r="B250"/>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row>
    <row r="251" spans="1:41" ht="12.75" customHeight="1">
      <c r="A251"/>
      <c r="B251"/>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row>
    <row r="252" spans="1:41" ht="12.75" customHeight="1">
      <c r="A252"/>
      <c r="B252"/>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row>
    <row r="253" spans="1:41" ht="12.75" customHeight="1">
      <c r="A253"/>
      <c r="B253"/>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row>
    <row r="254" spans="1:41" ht="12.75" customHeight="1">
      <c r="A254"/>
      <c r="B254"/>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row>
    <row r="255" spans="1:41" ht="12.75" customHeight="1">
      <c r="A255"/>
      <c r="B255"/>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row>
    <row r="256" spans="1:41" ht="12.75" customHeight="1">
      <c r="A256"/>
      <c r="B25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row>
    <row r="257" spans="1:41" ht="12.75" customHeight="1">
      <c r="A257"/>
      <c r="B257"/>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row>
    <row r="258" spans="1:41" ht="12.75" customHeight="1">
      <c r="A258"/>
      <c r="B258"/>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row>
    <row r="259" spans="1:41" ht="12.75" customHeight="1">
      <c r="A259"/>
      <c r="B259"/>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row>
    <row r="260" spans="1:41" ht="12.75" customHeight="1">
      <c r="A260"/>
      <c r="B260"/>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row>
    <row r="261" spans="1:41" ht="12.75" customHeight="1">
      <c r="A261"/>
      <c r="B261"/>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row>
    <row r="262" spans="1:41" ht="12.75" customHeight="1">
      <c r="A262"/>
      <c r="B262"/>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row>
    <row r="263" spans="1:41" ht="12.75" customHeight="1">
      <c r="A263"/>
      <c r="B263"/>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row>
    <row r="264" spans="1:41" ht="12.75" customHeight="1">
      <c r="A264"/>
      <c r="B264"/>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row>
    <row r="265" spans="1:41" ht="12.75" customHeight="1">
      <c r="A265"/>
      <c r="B265"/>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row>
    <row r="266" spans="1:41" ht="12.75" customHeight="1">
      <c r="A266"/>
      <c r="B26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row>
    <row r="267" spans="1:41" ht="12.75" customHeight="1">
      <c r="A267"/>
      <c r="B267"/>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row>
    <row r="268" spans="1:41" ht="12.75" customHeight="1">
      <c r="A268"/>
      <c r="B268"/>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row>
    <row r="269" spans="1:41" ht="12.75" customHeight="1">
      <c r="A269"/>
      <c r="B269"/>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row>
    <row r="270" spans="1:41" ht="12.75" customHeight="1">
      <c r="A270"/>
      <c r="B270"/>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row>
    <row r="271" spans="1:41" ht="12.75" customHeight="1">
      <c r="A271"/>
      <c r="B271"/>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row>
    <row r="272" spans="1:41" ht="12.75" customHeight="1">
      <c r="A272"/>
      <c r="B272"/>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row>
    <row r="273" spans="1:41" ht="12.75" customHeight="1">
      <c r="A273"/>
      <c r="B273"/>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row>
    <row r="274" spans="1:41" ht="12.75" customHeight="1">
      <c r="A274"/>
      <c r="B274"/>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row>
    <row r="275" spans="1:41" ht="12.75" customHeight="1">
      <c r="A275"/>
      <c r="B275"/>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row>
    <row r="276" spans="1:41" ht="12.75" customHeight="1">
      <c r="A276"/>
      <c r="B27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row>
    <row r="277" spans="1:41" ht="12.75" customHeight="1">
      <c r="A277"/>
      <c r="B277"/>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row>
    <row r="278" spans="1:41" ht="12.75" customHeight="1">
      <c r="A278"/>
      <c r="B278"/>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row>
    <row r="279" spans="1:41" ht="12.75" customHeight="1">
      <c r="A279"/>
      <c r="B279"/>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row>
    <row r="280" spans="1:41" ht="12.75" customHeight="1">
      <c r="A280"/>
      <c r="B280"/>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row>
    <row r="281" spans="1:41" ht="12.75" customHeight="1">
      <c r="A281"/>
      <c r="B281"/>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row>
    <row r="282" spans="1:41" ht="12.75" customHeight="1">
      <c r="A282"/>
      <c r="B282"/>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row>
    <row r="283" spans="1:41" ht="12.75" customHeight="1">
      <c r="A283"/>
      <c r="B283"/>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row>
    <row r="284" spans="1:41" ht="12.75" customHeight="1">
      <c r="A284"/>
      <c r="B284"/>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row>
    <row r="285" spans="1:41" ht="12.75" customHeight="1">
      <c r="A285"/>
      <c r="B285"/>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row>
    <row r="286" spans="1:41" ht="12.75" customHeight="1">
      <c r="A286"/>
      <c r="B28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row>
    <row r="287" spans="1:41" ht="12.75" customHeight="1">
      <c r="A287"/>
      <c r="B287"/>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row>
    <row r="288" spans="1:41" ht="12.75" customHeight="1">
      <c r="A288"/>
      <c r="B288"/>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row>
    <row r="289" spans="1:41" ht="12.75" customHeight="1">
      <c r="A289"/>
      <c r="B289"/>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row>
    <row r="290" spans="1:41" ht="12.75" customHeight="1">
      <c r="A290"/>
      <c r="B290"/>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row>
    <row r="291" spans="1:41" ht="12.75" customHeight="1">
      <c r="A291"/>
      <c r="B291"/>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row>
    <row r="292" spans="1:41" ht="12.75" customHeight="1">
      <c r="A292"/>
      <c r="B292"/>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row>
    <row r="293" spans="1:41" ht="12.75" customHeight="1">
      <c r="A293"/>
      <c r="B293"/>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row>
    <row r="294" spans="1:41" ht="12.75" customHeight="1">
      <c r="A294"/>
      <c r="B294"/>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row>
    <row r="295" spans="1:41" ht="12.75" customHeight="1">
      <c r="A295"/>
      <c r="B295"/>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row>
    <row r="296" spans="1:41" ht="12.75" customHeight="1">
      <c r="A296"/>
      <c r="B29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row>
    <row r="297" spans="1:41" ht="12.75" customHeight="1">
      <c r="A297"/>
      <c r="B297"/>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row>
    <row r="298" spans="1:41" ht="12.75" customHeight="1">
      <c r="A298"/>
      <c r="B298"/>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row>
    <row r="299" spans="1:41" ht="12.75" customHeight="1">
      <c r="A299"/>
      <c r="B299"/>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row>
    <row r="300" spans="1:41" ht="12.75" customHeight="1">
      <c r="A300"/>
      <c r="B300"/>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row>
    <row r="301" spans="1:41" ht="12.75" customHeight="1">
      <c r="A301"/>
      <c r="B301"/>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row>
    <row r="302" spans="1:41" ht="12.75" customHeight="1">
      <c r="A302"/>
      <c r="B302"/>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row>
    <row r="303" spans="1:41" ht="12.75" customHeight="1">
      <c r="A303"/>
      <c r="B303"/>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row>
    <row r="304" spans="1:41" ht="12.75" customHeight="1">
      <c r="A304"/>
      <c r="B304"/>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row>
    <row r="305" spans="1:41" ht="12.75" customHeight="1">
      <c r="A305"/>
      <c r="B305"/>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row>
    <row r="306" spans="1:41" ht="12.75" customHeight="1">
      <c r="A306"/>
      <c r="B30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row>
    <row r="307" spans="1:41" ht="12.75" customHeight="1">
      <c r="A307"/>
      <c r="B307"/>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row>
    <row r="308" spans="1:41" ht="12.75" customHeight="1">
      <c r="A308"/>
      <c r="B308"/>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row>
    <row r="309" spans="1:41" ht="12.75" customHeight="1">
      <c r="A309"/>
      <c r="B309"/>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row>
    <row r="310" spans="1:41" ht="12.75" customHeight="1">
      <c r="A310"/>
      <c r="B310"/>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row>
    <row r="311" spans="1:41" ht="12.75" customHeight="1">
      <c r="A311"/>
      <c r="B311"/>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row>
    <row r="312" spans="1:41" ht="12.75" customHeight="1">
      <c r="A312"/>
      <c r="B312"/>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row>
    <row r="313" spans="1:41" ht="12.75" customHeight="1">
      <c r="A313"/>
      <c r="B313"/>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row>
    <row r="314" spans="1:41" ht="12.75" customHeight="1">
      <c r="A314"/>
      <c r="B314"/>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row>
    <row r="315" spans="1:41" ht="12.75" customHeight="1">
      <c r="A315"/>
      <c r="B315"/>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row>
    <row r="316" spans="1:41" ht="12.75" customHeight="1">
      <c r="A316"/>
      <c r="B31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row>
    <row r="317" spans="1:41" ht="12.75" customHeight="1">
      <c r="A317"/>
      <c r="B317"/>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row>
    <row r="318" spans="1:41" ht="12.75" customHeight="1">
      <c r="A318"/>
      <c r="B318"/>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row>
    <row r="319" spans="1:41" ht="12.75" customHeight="1">
      <c r="A319"/>
      <c r="B319"/>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row>
    <row r="320" spans="1:41" ht="12.75" customHeight="1">
      <c r="A320"/>
      <c r="B320"/>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row>
    <row r="321" spans="1:41" ht="12.75" customHeight="1">
      <c r="A321"/>
      <c r="B321"/>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row>
    <row r="322" spans="1:41" ht="12.75" customHeight="1">
      <c r="A322"/>
      <c r="B322"/>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row>
    <row r="323" spans="1:41" ht="12.75" customHeight="1">
      <c r="A323"/>
      <c r="B323"/>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row>
    <row r="324" spans="1:41" ht="12.75" customHeight="1">
      <c r="A324"/>
      <c r="B324"/>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row>
    <row r="325" spans="1:41" ht="12.75" customHeight="1">
      <c r="A325"/>
      <c r="B325"/>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row>
    <row r="326" spans="1:41" ht="12.75" customHeight="1">
      <c r="A326"/>
      <c r="B32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row>
    <row r="327" spans="1:41" ht="12.75" customHeight="1">
      <c r="A327"/>
      <c r="B327"/>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row>
    <row r="328" spans="1:41" ht="12.75" customHeight="1">
      <c r="A328"/>
      <c r="B328"/>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row>
    <row r="329" spans="1:41" ht="12.75" customHeight="1">
      <c r="A329"/>
      <c r="B329"/>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row>
    <row r="330" spans="1:41" ht="12.75" customHeight="1">
      <c r="A330"/>
      <c r="B330"/>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row>
    <row r="331" spans="1:41" ht="12.75" customHeight="1">
      <c r="A331"/>
      <c r="B331"/>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row>
    <row r="332" spans="1:41" ht="12.75" customHeight="1">
      <c r="A332"/>
      <c r="B332"/>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row>
    <row r="333" spans="1:41" ht="12.75" customHeight="1">
      <c r="A333"/>
      <c r="B333"/>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row>
    <row r="334" spans="1:41" ht="12.75" customHeight="1">
      <c r="A334"/>
      <c r="B334"/>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row>
    <row r="335" spans="1:41" ht="12.75" customHeight="1">
      <c r="A335"/>
      <c r="B335"/>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row>
    <row r="336" spans="1:41" ht="12.75" customHeight="1">
      <c r="A336"/>
      <c r="B3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row>
    <row r="337" spans="1:41" ht="12.75" customHeight="1">
      <c r="A337"/>
      <c r="B337"/>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row>
    <row r="338" spans="1:41" ht="12.75" customHeight="1">
      <c r="A338"/>
      <c r="B338"/>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row>
    <row r="339" spans="1:41" ht="12.75" customHeight="1">
      <c r="A339"/>
      <c r="B339"/>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row>
    <row r="340" spans="1:41" ht="12.75" customHeight="1">
      <c r="A340"/>
      <c r="B340"/>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row>
    <row r="341" spans="1:41" ht="12.75" customHeight="1">
      <c r="A341"/>
      <c r="B341"/>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row>
    <row r="342" spans="1:41" ht="12.75" customHeight="1">
      <c r="A342"/>
      <c r="B342"/>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row>
    <row r="343" spans="1:41" ht="12.75" customHeight="1">
      <c r="A343"/>
      <c r="B343"/>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row>
    <row r="344" spans="1:41" ht="12.75" customHeight="1">
      <c r="A344"/>
      <c r="B344"/>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row>
    <row r="345" spans="1:41" ht="12.75" customHeight="1">
      <c r="A345"/>
      <c r="B345"/>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row>
    <row r="346" spans="1:41" ht="12.75" customHeight="1">
      <c r="A346"/>
      <c r="B34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row>
    <row r="347" spans="1:41" ht="12.75" customHeight="1">
      <c r="A347"/>
      <c r="B347"/>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row>
    <row r="348" spans="1:41" ht="12.75" customHeight="1">
      <c r="A348"/>
      <c r="B348"/>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row>
    <row r="349" spans="1:41" ht="12.75" customHeight="1">
      <c r="A349"/>
      <c r="B349"/>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row>
    <row r="350" spans="1:41" ht="12.75" customHeight="1">
      <c r="A350"/>
      <c r="B350"/>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row>
    <row r="351" spans="1:41" ht="12.75" customHeight="1">
      <c r="A351"/>
      <c r="B351"/>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row>
    <row r="352" spans="1:41" ht="12.75" customHeight="1">
      <c r="A352"/>
      <c r="B352"/>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row>
    <row r="353" spans="1:41" ht="12.75" customHeight="1">
      <c r="A353"/>
      <c r="B353"/>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row>
    <row r="354" spans="1:41" ht="12.75" customHeight="1">
      <c r="A354"/>
      <c r="B354"/>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row>
    <row r="355" spans="1:41" ht="12.75" customHeight="1">
      <c r="A355"/>
      <c r="B35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row>
    <row r="356" spans="1:41" ht="12.75" customHeight="1">
      <c r="A356"/>
      <c r="B35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row>
    <row r="357" spans="1:41" ht="12.75" customHeight="1">
      <c r="A357"/>
      <c r="B357"/>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row>
    <row r="358" spans="1:41" ht="12.75" customHeight="1">
      <c r="A358"/>
      <c r="B358"/>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row>
    <row r="359" spans="1:41" ht="12.75" customHeight="1">
      <c r="A359"/>
      <c r="B359"/>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row>
    <row r="360" spans="1:41" ht="12.75" customHeight="1">
      <c r="A360"/>
      <c r="B360"/>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row>
    <row r="361" spans="1:41" ht="12.75" customHeight="1">
      <c r="A361"/>
      <c r="B361"/>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row>
    <row r="362" spans="1:41" ht="12.75" customHeight="1">
      <c r="A362"/>
      <c r="B362"/>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row>
    <row r="363" spans="1:41" ht="12.75" customHeight="1">
      <c r="A363"/>
      <c r="B363"/>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row>
    <row r="364" spans="1:41" ht="12.75" customHeight="1">
      <c r="A364"/>
      <c r="B364"/>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row>
    <row r="365" spans="1:41" ht="12.75" customHeight="1">
      <c r="A365"/>
      <c r="B365"/>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row>
    <row r="366" spans="1:41" ht="12.75" customHeight="1">
      <c r="A366"/>
      <c r="B36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row>
    <row r="367" spans="1:41" ht="12.75" customHeight="1">
      <c r="A367"/>
      <c r="B367"/>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row>
    <row r="368" spans="1:41" ht="12.75" customHeight="1">
      <c r="A368"/>
      <c r="B368"/>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row>
    <row r="369" spans="1:41" ht="12.75" customHeight="1">
      <c r="A369"/>
      <c r="B369"/>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row>
    <row r="370" spans="1:41" ht="12.75" customHeight="1">
      <c r="A370"/>
      <c r="B370"/>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row>
    <row r="371" spans="1:41" ht="12.75" customHeight="1">
      <c r="A371"/>
      <c r="B371"/>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row>
    <row r="372" spans="1:41" ht="12.75" customHeight="1">
      <c r="A372"/>
      <c r="B372"/>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row>
    <row r="373" spans="1:41" ht="12.75" customHeight="1">
      <c r="A373"/>
      <c r="B373"/>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row>
    <row r="374" spans="1:41" ht="12.75" customHeight="1">
      <c r="A374"/>
      <c r="B374"/>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row>
    <row r="375" spans="1:41" ht="12.75" customHeight="1">
      <c r="A375"/>
      <c r="B375"/>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row>
    <row r="376" spans="1:41" ht="12.75" customHeight="1">
      <c r="A376"/>
      <c r="B37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row>
    <row r="377" spans="1:41" ht="12.75" customHeight="1">
      <c r="A377"/>
      <c r="B377"/>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row>
    <row r="378" spans="1:41" ht="12.75" customHeight="1">
      <c r="A378"/>
      <c r="B378"/>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row>
    <row r="379" spans="1:41" ht="12.75" customHeight="1">
      <c r="A379"/>
      <c r="B379"/>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row>
    <row r="380" spans="1:41" ht="12.75" customHeight="1">
      <c r="A380"/>
      <c r="B380"/>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row>
    <row r="381" spans="1:41" ht="12.75" customHeight="1">
      <c r="A381"/>
      <c r="B381"/>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row>
    <row r="382" spans="1:41" ht="12.75" customHeight="1">
      <c r="A382"/>
      <c r="B382"/>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row>
    <row r="383" spans="1:41" ht="12.75" customHeight="1">
      <c r="A383"/>
      <c r="B383"/>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row>
    <row r="384" spans="1:41" ht="12.75" customHeight="1">
      <c r="A384"/>
      <c r="B384"/>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row>
    <row r="385" spans="1:41" ht="12.75" customHeight="1">
      <c r="A385"/>
      <c r="B385"/>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row>
    <row r="386" spans="1:41" ht="12.75" customHeight="1">
      <c r="A386"/>
      <c r="B38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row>
    <row r="387" spans="1:41" ht="12.75" customHeight="1">
      <c r="A387"/>
      <c r="B387"/>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row>
    <row r="388" spans="1:41" ht="12.75" customHeight="1">
      <c r="A388"/>
      <c r="B388"/>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row>
    <row r="389" spans="1:41" ht="12.75" customHeight="1">
      <c r="A389"/>
      <c r="B389"/>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row>
    <row r="390" spans="1:41" ht="12.75" customHeight="1">
      <c r="A390"/>
      <c r="B390"/>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row>
    <row r="391" spans="1:41" ht="12.75" customHeight="1">
      <c r="A391"/>
      <c r="B391"/>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row>
    <row r="392" spans="1:41" ht="12.75" customHeight="1">
      <c r="A392"/>
      <c r="B392"/>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row>
    <row r="393" spans="1:41" ht="12.75" customHeight="1">
      <c r="A393"/>
      <c r="B393"/>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row>
    <row r="394" spans="1:41" ht="12.75" customHeight="1">
      <c r="A394"/>
      <c r="B394"/>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row>
    <row r="395" spans="1:41" ht="12.75" customHeight="1">
      <c r="A395"/>
      <c r="B395"/>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row>
    <row r="396" spans="1:41" ht="12.75" customHeight="1">
      <c r="A396"/>
      <c r="B39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row>
    <row r="397" spans="1:41" ht="12.75" customHeight="1">
      <c r="A397"/>
      <c r="B397"/>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row>
    <row r="398" spans="1:41" ht="12.75" customHeight="1">
      <c r="A398"/>
      <c r="B398"/>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row>
    <row r="399" spans="1:41" ht="12.75" customHeight="1">
      <c r="A399"/>
      <c r="B399"/>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row>
    <row r="400" spans="1:41" ht="12.75" customHeight="1">
      <c r="A400"/>
      <c r="B400"/>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row>
    <row r="401" spans="1:41" ht="12.75" customHeight="1">
      <c r="A401"/>
      <c r="B401"/>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row>
    <row r="402" spans="1:41" ht="12.75" customHeight="1">
      <c r="A402"/>
      <c r="B402"/>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row>
    <row r="403" spans="1:41" ht="12.75" customHeight="1">
      <c r="A403"/>
      <c r="B403"/>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row>
    <row r="404" spans="1:41" ht="12.75" customHeight="1">
      <c r="A404"/>
      <c r="B404"/>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row>
    <row r="405" spans="1:41" ht="12.75" customHeight="1">
      <c r="A405"/>
      <c r="B405"/>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row>
    <row r="406" spans="1:41" ht="12.75" customHeight="1">
      <c r="A406"/>
      <c r="B40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row>
    <row r="407" spans="1:41" ht="12.75" customHeight="1">
      <c r="A407"/>
      <c r="B407"/>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row>
    <row r="408" spans="1:41" ht="12.75" customHeight="1">
      <c r="A408"/>
      <c r="B408"/>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row>
    <row r="409" spans="1:41" ht="12.75" customHeight="1">
      <c r="A409"/>
      <c r="B409"/>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row>
    <row r="410" spans="1:41" ht="12.75" customHeight="1">
      <c r="A410"/>
      <c r="B410"/>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row>
    <row r="411" spans="1:41" ht="12.75" customHeight="1">
      <c r="A411"/>
      <c r="B411"/>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row>
    <row r="412" spans="1:41" ht="12.75" customHeight="1">
      <c r="A412"/>
      <c r="B412"/>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row>
    <row r="413" spans="1:41" ht="12.75" customHeight="1">
      <c r="A413"/>
      <c r="B413"/>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row>
    <row r="414" spans="1:41" ht="12.75" customHeight="1">
      <c r="A414"/>
      <c r="B414"/>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row>
    <row r="415" spans="1:41" ht="12.75" customHeight="1">
      <c r="A415"/>
      <c r="B41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row>
    <row r="416" spans="1:41" ht="12.75" customHeight="1">
      <c r="A416"/>
      <c r="B41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row>
    <row r="417" spans="1:41" ht="12.75" customHeight="1">
      <c r="A417"/>
      <c r="B417"/>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row>
    <row r="418" spans="1:41" ht="12.75" customHeight="1">
      <c r="A418"/>
      <c r="B418"/>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row>
    <row r="419" spans="1:41" ht="12.75" customHeight="1">
      <c r="A419"/>
      <c r="B419"/>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row>
    <row r="420" spans="1:41" ht="12.75" customHeight="1">
      <c r="A420"/>
      <c r="B420"/>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row>
    <row r="421" spans="1:41" ht="12.75" customHeight="1">
      <c r="A421"/>
      <c r="B421"/>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row>
    <row r="422" spans="1:41" ht="12.75" customHeight="1">
      <c r="A422"/>
      <c r="B422"/>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row>
    <row r="423" spans="1:41" ht="12.75" customHeight="1">
      <c r="A423"/>
      <c r="B423"/>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row>
    <row r="424" spans="1:41" ht="12.75" customHeight="1">
      <c r="A424"/>
      <c r="B424"/>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row>
    <row r="425" spans="1:41" ht="12.75" customHeight="1">
      <c r="A425"/>
      <c r="B42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row>
    <row r="426" spans="1:41" ht="12.75" customHeight="1">
      <c r="A426"/>
      <c r="B42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row>
    <row r="427" spans="1:41" ht="12.75" customHeight="1">
      <c r="A427"/>
      <c r="B427"/>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row>
    <row r="428" spans="1:41" ht="12.75" customHeight="1">
      <c r="A428"/>
      <c r="B428"/>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row>
    <row r="429" spans="1:41" ht="12.75" customHeight="1">
      <c r="A429"/>
      <c r="B429"/>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row>
    <row r="430" spans="1:41" ht="12.75" customHeight="1">
      <c r="A430"/>
      <c r="B430"/>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row>
    <row r="431" spans="1:41" ht="12.75" customHeight="1">
      <c r="A431"/>
      <c r="B431"/>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row>
    <row r="432" spans="1:41" ht="12.75" customHeight="1">
      <c r="A432"/>
      <c r="B432"/>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row>
    <row r="433" spans="1:41" ht="12.75" customHeight="1">
      <c r="A433"/>
      <c r="B433"/>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row>
    <row r="434" spans="1:41" ht="12.75" customHeight="1">
      <c r="A434"/>
      <c r="B434"/>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row>
    <row r="435" spans="1:41" ht="12.75" customHeight="1">
      <c r="A435"/>
      <c r="B435"/>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row>
    <row r="436" spans="1:41" ht="12.75" customHeight="1">
      <c r="A436"/>
      <c r="B4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row>
    <row r="437" spans="1:41" ht="12.75" customHeight="1">
      <c r="A437"/>
      <c r="B437"/>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row>
    <row r="438" spans="1:41" ht="12.75" customHeight="1">
      <c r="A438"/>
      <c r="B438"/>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row>
    <row r="439" spans="1:41" ht="12.75" customHeight="1">
      <c r="A439"/>
      <c r="B439"/>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row>
    <row r="440" spans="1:41" ht="12.75" customHeight="1">
      <c r="A440"/>
      <c r="B440"/>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row>
    <row r="441" spans="1:41" ht="12.75" customHeight="1">
      <c r="A441"/>
      <c r="B441"/>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row>
    <row r="442" spans="1:41" ht="12.75" customHeight="1">
      <c r="A442"/>
      <c r="B442"/>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row>
    <row r="443" spans="1:41" ht="12.75" customHeight="1">
      <c r="A443"/>
      <c r="B443"/>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row>
    <row r="444" spans="1:41" ht="12.75" customHeight="1">
      <c r="A444"/>
      <c r="B444"/>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row>
    <row r="445" spans="1:41" ht="12.75" customHeight="1">
      <c r="A445"/>
      <c r="B445"/>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row>
    <row r="446" spans="1:41" ht="12.75" customHeight="1">
      <c r="A446"/>
      <c r="B44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row>
    <row r="447" spans="1:41" ht="12.75" customHeight="1">
      <c r="A447"/>
      <c r="B447"/>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row>
    <row r="448" spans="1:41" ht="12.75" customHeight="1">
      <c r="A448"/>
      <c r="B448"/>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row>
    <row r="449" spans="1:41" ht="12.75" customHeight="1">
      <c r="A449"/>
      <c r="B449"/>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row>
    <row r="450" spans="1:41" ht="12.75" customHeight="1">
      <c r="A450"/>
      <c r="B450"/>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row>
    <row r="451" spans="1:41" ht="12.75" customHeight="1">
      <c r="A451"/>
      <c r="B451"/>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row>
    <row r="452" spans="1:41" ht="12.75" customHeight="1">
      <c r="A452"/>
      <c r="B452"/>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row>
    <row r="453" spans="1:41" ht="12.75" customHeight="1">
      <c r="A453"/>
      <c r="B453"/>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row>
    <row r="454" spans="1:41" ht="12.75" customHeight="1">
      <c r="A454"/>
      <c r="B454"/>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row>
    <row r="455" spans="1:41" ht="12.75" customHeight="1">
      <c r="A455"/>
      <c r="B45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row>
    <row r="456" spans="1:41" ht="12.75" customHeight="1">
      <c r="A456"/>
      <c r="B45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row>
    <row r="457" spans="1:41" ht="12.75" customHeight="1">
      <c r="A457"/>
      <c r="B457"/>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row>
    <row r="458" spans="1:41" ht="12.75" customHeight="1">
      <c r="A458"/>
      <c r="B458"/>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row>
    <row r="459" spans="1:41" ht="12.75" customHeight="1">
      <c r="A459"/>
      <c r="B459"/>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row>
    <row r="460" spans="1:41" ht="12.75" customHeight="1">
      <c r="A460"/>
      <c r="B460"/>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row>
    <row r="461" spans="1:41" ht="12.75" customHeight="1">
      <c r="A461"/>
      <c r="B461"/>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row>
    <row r="462" spans="1:41" ht="12.75" customHeight="1">
      <c r="A462"/>
      <c r="B462"/>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row>
    <row r="463" spans="1:41" ht="12.75" customHeight="1">
      <c r="A463"/>
      <c r="B463"/>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row>
    <row r="464" spans="1:41" ht="12.75" customHeight="1">
      <c r="A464"/>
      <c r="B464"/>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row>
    <row r="465" spans="1:41" ht="12.75" customHeight="1">
      <c r="A465"/>
      <c r="B46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row>
    <row r="466" spans="1:41" ht="12.75" customHeight="1">
      <c r="A466"/>
      <c r="B46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row>
    <row r="467" spans="1:41" ht="12.75" customHeight="1">
      <c r="A467"/>
      <c r="B467"/>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row>
    <row r="468" spans="1:41" ht="12.75" customHeight="1">
      <c r="A468"/>
      <c r="B468"/>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row>
    <row r="469" spans="1:41" ht="12.75" customHeight="1">
      <c r="A469"/>
      <c r="B469"/>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row>
    <row r="470" spans="1:41" ht="12.75" customHeight="1">
      <c r="A470"/>
      <c r="B470"/>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row>
    <row r="471" spans="1:41" ht="12.75" customHeight="1">
      <c r="A471"/>
      <c r="B471"/>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row>
    <row r="472" spans="1:41" ht="12.75" customHeight="1">
      <c r="A472"/>
      <c r="B472"/>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row>
    <row r="473" spans="1:41" ht="12.75" customHeight="1">
      <c r="A473"/>
      <c r="B473"/>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row>
    <row r="474" spans="1:41" ht="12.75" customHeight="1">
      <c r="A474"/>
      <c r="B474"/>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row>
    <row r="475" spans="1:41" ht="12.75" customHeight="1">
      <c r="A475"/>
      <c r="B475"/>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row>
    <row r="476" spans="1:41" ht="12.75" customHeight="1">
      <c r="A476"/>
      <c r="B47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row>
    <row r="477" spans="1:41" ht="12.75" customHeight="1">
      <c r="A477"/>
      <c r="B477"/>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row>
    <row r="478" spans="1:41" ht="12.75" customHeight="1">
      <c r="A478"/>
      <c r="B478"/>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row>
    <row r="479" spans="1:41" ht="12.75" customHeight="1">
      <c r="A479"/>
      <c r="B479"/>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row>
    <row r="480" spans="1:41" ht="12.75" customHeight="1">
      <c r="A480"/>
      <c r="B480"/>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row>
    <row r="481" spans="1:41" ht="12.75" customHeight="1">
      <c r="A481"/>
      <c r="B481"/>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row>
    <row r="482" spans="1:41" ht="12.75" customHeight="1">
      <c r="A482"/>
      <c r="B482"/>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row>
    <row r="483" spans="1:41" ht="12.75" customHeight="1">
      <c r="A483"/>
      <c r="B483"/>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row>
    <row r="484" spans="1:41" ht="12.75" customHeight="1">
      <c r="A484"/>
      <c r="B484"/>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row>
    <row r="485" spans="1:41" ht="12.75" customHeight="1">
      <c r="A485"/>
      <c r="B48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row>
    <row r="486" spans="1:41" ht="12.75" customHeight="1">
      <c r="A486"/>
      <c r="B48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row>
    <row r="487" spans="1:41" ht="12.75" customHeight="1">
      <c r="A487"/>
      <c r="B487"/>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row>
    <row r="488" spans="1:41" ht="12.75" customHeight="1">
      <c r="A488"/>
      <c r="B488"/>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row>
    <row r="489" spans="1:41" ht="12.75" customHeight="1">
      <c r="A489"/>
      <c r="B489"/>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row>
    <row r="490" spans="1:41" ht="12.75" customHeight="1">
      <c r="A490"/>
      <c r="B490"/>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row>
    <row r="491" spans="1:41" ht="12.75" customHeight="1">
      <c r="A491"/>
      <c r="B491"/>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row>
    <row r="492" spans="1:41" ht="12.75" customHeight="1">
      <c r="A492"/>
      <c r="B492"/>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row>
    <row r="493" spans="1:41" ht="12.75" customHeight="1">
      <c r="A493"/>
      <c r="B493"/>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row>
    <row r="494" spans="1:41" ht="12.75" customHeight="1">
      <c r="A494"/>
      <c r="B494"/>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row>
    <row r="495" spans="1:41" ht="12.75" customHeight="1">
      <c r="A495"/>
      <c r="B49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row>
    <row r="496" spans="1:41" ht="12.75" customHeight="1">
      <c r="A496"/>
      <c r="B49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row>
    <row r="497" spans="1:41" ht="12.75" customHeight="1">
      <c r="A497"/>
      <c r="B497"/>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row>
    <row r="498" spans="1:41" ht="12.75" customHeight="1">
      <c r="A498"/>
      <c r="B498"/>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row>
    <row r="499" spans="1:41" ht="12.75" customHeight="1">
      <c r="A499"/>
      <c r="B499"/>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row>
    <row r="500" spans="1:41" ht="12.75" customHeight="1">
      <c r="A500"/>
      <c r="B500"/>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row>
    <row r="501" spans="1:41" ht="12.75" customHeight="1">
      <c r="A501"/>
      <c r="B501"/>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row>
    <row r="502" spans="1:41" ht="12.75" customHeight="1">
      <c r="A502"/>
      <c r="B502"/>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row>
    <row r="503" spans="1:41" ht="12.75" customHeight="1">
      <c r="A503"/>
      <c r="B503"/>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row>
    <row r="504" spans="1:41" ht="12.75" customHeight="1">
      <c r="A504"/>
      <c r="B504"/>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row>
    <row r="505" spans="1:41" ht="12.75" customHeight="1">
      <c r="A505"/>
      <c r="B505"/>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row>
    <row r="506" spans="1:41" ht="12.75" customHeight="1">
      <c r="A506"/>
      <c r="B50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row>
    <row r="507" spans="1:41" ht="12.75" customHeight="1">
      <c r="A507"/>
      <c r="B507"/>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row>
    <row r="508" spans="1:41" ht="12.75" customHeight="1">
      <c r="A508"/>
      <c r="B508"/>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row>
    <row r="509" spans="1:41" ht="12.75" customHeight="1">
      <c r="A509"/>
      <c r="B509"/>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row>
    <row r="510" spans="1:41" ht="12.75" customHeight="1">
      <c r="A510"/>
      <c r="B510"/>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row>
    <row r="511" spans="1:41" ht="12.75" customHeight="1">
      <c r="A511"/>
      <c r="B511"/>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row>
    <row r="512" spans="1:41" ht="12.75" customHeight="1">
      <c r="A512"/>
      <c r="B512"/>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row>
    <row r="513" spans="1:41" ht="12.75" customHeight="1">
      <c r="A513"/>
      <c r="B513"/>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row>
    <row r="514" spans="1:41" ht="12.75" customHeight="1">
      <c r="A514"/>
      <c r="B514"/>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row>
    <row r="515" spans="1:41" ht="12.75" customHeight="1">
      <c r="A515"/>
      <c r="B51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row>
    <row r="516" spans="1:41" ht="12.75" customHeight="1">
      <c r="A516"/>
      <c r="B51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row>
    <row r="517" spans="1:41" ht="12.75" customHeight="1">
      <c r="A517"/>
      <c r="B517"/>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row>
    <row r="518" spans="1:41" ht="12.75" customHeight="1">
      <c r="A518"/>
      <c r="B518"/>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row>
    <row r="519" spans="1:41" ht="12.75" customHeight="1">
      <c r="A519"/>
      <c r="B519"/>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row>
    <row r="520" spans="1:41" ht="12.75" customHeight="1">
      <c r="A520"/>
      <c r="B520"/>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row>
    <row r="521" spans="1:41" ht="12.75" customHeight="1">
      <c r="A521"/>
      <c r="B521"/>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row>
    <row r="522" spans="1:41" ht="12.75" customHeight="1">
      <c r="A522"/>
      <c r="B522"/>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row>
    <row r="523" spans="1:41" ht="12.75" customHeight="1">
      <c r="A523"/>
      <c r="B523"/>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row>
    <row r="524" spans="1:41" ht="12.75" customHeight="1">
      <c r="A524"/>
      <c r="B524"/>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row>
    <row r="525" spans="1:41" ht="12.75" customHeight="1">
      <c r="A525"/>
      <c r="B52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row>
    <row r="526" spans="1:41" ht="12.75" customHeight="1">
      <c r="A526"/>
      <c r="B52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row>
    <row r="527" spans="1:41" ht="12.75" customHeight="1">
      <c r="A527"/>
      <c r="B527"/>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row>
    <row r="528" spans="1:41" ht="12.75" customHeight="1">
      <c r="A528"/>
      <c r="B528"/>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row>
    <row r="529" spans="1:41" ht="12.75" customHeight="1">
      <c r="A529"/>
      <c r="B529"/>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row>
    <row r="530" spans="1:41" ht="12.75" customHeight="1">
      <c r="A530"/>
      <c r="B530"/>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row>
    <row r="531" spans="1:41" ht="12.75" customHeight="1">
      <c r="A531"/>
      <c r="B531"/>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row>
    <row r="532" spans="1:41" ht="12.75" customHeight="1">
      <c r="A532"/>
      <c r="B532"/>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row>
    <row r="533" spans="1:41" ht="12.75" customHeight="1">
      <c r="A533"/>
      <c r="B533"/>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row>
    <row r="534" spans="1:41" ht="12.75" customHeight="1">
      <c r="A534"/>
      <c r="B534"/>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row>
    <row r="535" spans="1:41" ht="12.75" customHeight="1">
      <c r="A535"/>
      <c r="B535"/>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row>
    <row r="536" spans="1:41" ht="12.75" customHeight="1">
      <c r="A536"/>
      <c r="B5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row>
    <row r="537" spans="1:41" ht="12.75" customHeight="1">
      <c r="A537"/>
      <c r="B537"/>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row>
    <row r="538" spans="1:41" ht="12.75" customHeight="1">
      <c r="A538"/>
      <c r="B538"/>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row>
    <row r="539" spans="1:41" ht="12.75" customHeight="1">
      <c r="A539"/>
      <c r="B539"/>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row>
    <row r="540" spans="1:41" ht="12.75" customHeight="1">
      <c r="A540"/>
      <c r="B540"/>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row>
    <row r="541" spans="1:41" ht="12.75" customHeight="1">
      <c r="A541"/>
      <c r="B541"/>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row>
    <row r="542" spans="1:41" ht="12.75" customHeight="1">
      <c r="A542"/>
      <c r="B542"/>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row>
    <row r="543" spans="1:41" ht="12.75" customHeight="1">
      <c r="A543"/>
      <c r="B543"/>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row>
    <row r="544" spans="1:41" ht="12.75" customHeight="1">
      <c r="A544"/>
      <c r="B544"/>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row>
    <row r="545" spans="1:41" ht="12.75" customHeight="1">
      <c r="A545"/>
      <c r="B545"/>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row>
    <row r="546" spans="1:41" ht="12.75" customHeight="1">
      <c r="A546"/>
      <c r="B54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row>
    <row r="547" spans="1:41" ht="12.75" customHeight="1">
      <c r="A547"/>
      <c r="B547"/>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row>
    <row r="548" spans="1:41" ht="12.75" customHeight="1">
      <c r="A548"/>
      <c r="B548"/>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row>
    <row r="549" spans="1:41" ht="12.75" customHeight="1">
      <c r="A549"/>
      <c r="B549"/>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row>
    <row r="550" spans="1:41" ht="12.75" customHeight="1">
      <c r="A550"/>
      <c r="B550"/>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row>
    <row r="551" spans="1:41" ht="12.75" customHeight="1">
      <c r="A551"/>
      <c r="B551"/>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row>
    <row r="552" spans="1:41" ht="12.75" customHeight="1">
      <c r="A552"/>
      <c r="B552"/>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row>
    <row r="553" spans="1:41" ht="12.75" customHeight="1">
      <c r="A553"/>
      <c r="B553"/>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row>
    <row r="554" spans="1:41" ht="12.75" customHeight="1">
      <c r="A554"/>
      <c r="B554"/>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row>
    <row r="555" spans="1:41" ht="12.75" customHeight="1">
      <c r="A555"/>
      <c r="B555"/>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row>
    <row r="556" spans="1:41" ht="12.75" customHeight="1">
      <c r="A556"/>
      <c r="B55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row>
    <row r="557" spans="1:41" ht="12.75" customHeight="1">
      <c r="A557"/>
      <c r="B557"/>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row>
    <row r="558" spans="1:41" ht="12.75" customHeight="1">
      <c r="A558"/>
      <c r="B558"/>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row>
    <row r="559" spans="1:41" ht="12.75" customHeight="1">
      <c r="A559"/>
      <c r="B559"/>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row>
    <row r="560" spans="1:41" ht="12.75" customHeight="1">
      <c r="A560"/>
      <c r="B560"/>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row>
    <row r="561" spans="1:41" ht="12.75" customHeight="1">
      <c r="A561"/>
      <c r="B561"/>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row>
    <row r="562" spans="1:41" ht="12.75" customHeight="1">
      <c r="A562"/>
      <c r="B562"/>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row>
    <row r="563" spans="1:41" ht="12.75" customHeight="1">
      <c r="A563"/>
      <c r="B563"/>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row>
    <row r="564" spans="1:41" ht="12.75" customHeight="1">
      <c r="A564"/>
      <c r="B564"/>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row>
    <row r="565" spans="1:41" ht="12.75" customHeight="1">
      <c r="A565"/>
      <c r="B565"/>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row>
    <row r="566" spans="1:41" ht="12.75" customHeight="1">
      <c r="A566"/>
      <c r="B56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row>
    <row r="567" spans="1:41" ht="12.75" customHeight="1">
      <c r="A567"/>
      <c r="B567"/>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row>
    <row r="568" spans="1:41" ht="12.75" customHeight="1">
      <c r="A568"/>
      <c r="B568"/>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row>
    <row r="569" spans="1:41" ht="12.75" customHeight="1">
      <c r="A569"/>
      <c r="B569"/>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row>
    <row r="570" spans="1:41" ht="12.75" customHeight="1">
      <c r="A570"/>
      <c r="B570"/>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row>
    <row r="571" spans="1:41" ht="12.75" customHeight="1">
      <c r="A571"/>
      <c r="B571"/>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row>
    <row r="572" spans="1:41" ht="12.75" customHeight="1">
      <c r="A572"/>
      <c r="B572"/>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row>
    <row r="573" spans="1:41" ht="12.75" customHeight="1">
      <c r="A573"/>
      <c r="B573"/>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row>
    <row r="574" spans="1:41" ht="12.75" customHeight="1">
      <c r="A574"/>
      <c r="B574"/>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row>
    <row r="575" spans="1:41" ht="12.75" customHeight="1">
      <c r="A575"/>
      <c r="B575"/>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row>
    <row r="576" spans="1:41" ht="12.75" customHeight="1">
      <c r="A576"/>
      <c r="B57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row>
    <row r="577" spans="1:41" ht="12.75" customHeight="1">
      <c r="A577"/>
      <c r="B577"/>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row>
    <row r="578" spans="1:41" ht="12.75" customHeight="1">
      <c r="A578"/>
      <c r="B578"/>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row>
    <row r="579" spans="1:41" ht="12.75" customHeight="1">
      <c r="A579"/>
      <c r="B579"/>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row>
    <row r="580" spans="1:41" ht="12.75" customHeight="1">
      <c r="A580"/>
      <c r="B580"/>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row>
    <row r="581" spans="1:41" ht="12.75" customHeight="1">
      <c r="A581"/>
      <c r="B581"/>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102"/>
      <c r="AF581" s="102"/>
      <c r="AG581" s="102"/>
      <c r="AH581" s="102"/>
      <c r="AI581" s="102"/>
      <c r="AJ581" s="102"/>
      <c r="AK581" s="102"/>
      <c r="AL581" s="102"/>
      <c r="AM581" s="102"/>
      <c r="AN581" s="102"/>
      <c r="AO581" s="102"/>
    </row>
    <row r="582" spans="1:41" ht="12.75" customHeight="1">
      <c r="A582"/>
      <c r="B582"/>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102"/>
      <c r="AF582" s="102"/>
      <c r="AG582" s="102"/>
      <c r="AH582" s="102"/>
      <c r="AI582" s="102"/>
      <c r="AJ582" s="102"/>
      <c r="AK582" s="102"/>
      <c r="AL582" s="102"/>
      <c r="AM582" s="102"/>
      <c r="AN582" s="102"/>
      <c r="AO582" s="102"/>
    </row>
    <row r="583" spans="1:41" ht="12.75" customHeight="1">
      <c r="A583"/>
      <c r="B583"/>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102"/>
      <c r="AF583" s="102"/>
      <c r="AG583" s="102"/>
      <c r="AH583" s="102"/>
      <c r="AI583" s="102"/>
      <c r="AJ583" s="102"/>
      <c r="AK583" s="102"/>
      <c r="AL583" s="102"/>
      <c r="AM583" s="102"/>
      <c r="AN583" s="102"/>
      <c r="AO583" s="102"/>
    </row>
    <row r="584" spans="1:41" ht="12.75" customHeight="1">
      <c r="A584"/>
      <c r="B584"/>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102"/>
      <c r="AF584" s="102"/>
      <c r="AG584" s="102"/>
      <c r="AH584" s="102"/>
      <c r="AI584" s="102"/>
      <c r="AJ584" s="102"/>
      <c r="AK584" s="102"/>
      <c r="AL584" s="102"/>
      <c r="AM584" s="102"/>
      <c r="AN584" s="102"/>
      <c r="AO584" s="102"/>
    </row>
    <row r="585" spans="1:30" ht="12.75" customHeight="1">
      <c r="A585"/>
      <c r="B585"/>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row>
    <row r="586" spans="1:30" ht="12.75" customHeight="1">
      <c r="A586"/>
      <c r="B58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row>
    <row r="587" spans="1:30" ht="12.75" customHeight="1">
      <c r="A587"/>
      <c r="B587"/>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row>
    <row r="588" spans="1:30" ht="12.75" customHeight="1">
      <c r="A588"/>
      <c r="B588"/>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row>
    <row r="589" spans="1:30" ht="12.75" customHeight="1">
      <c r="A589"/>
      <c r="B589"/>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row>
    <row r="590" spans="1:30" ht="12.75" customHeight="1">
      <c r="A590"/>
      <c r="B590"/>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row>
    <row r="591" spans="1:30" ht="12.75" customHeight="1">
      <c r="A591"/>
      <c r="B591"/>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row>
    <row r="592" spans="1:30" ht="12.75" customHeight="1">
      <c r="A592"/>
      <c r="B592"/>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row>
    <row r="593" spans="1:30" ht="12.75" customHeight="1">
      <c r="A593"/>
      <c r="B593"/>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row>
    <row r="594" spans="1:30" ht="12.75" customHeight="1">
      <c r="A594"/>
      <c r="B594"/>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row>
    <row r="595" spans="1:30" ht="12.75" customHeight="1">
      <c r="A595"/>
      <c r="B595"/>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row>
    <row r="596" spans="3:30" ht="12.75">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c r="AD596" s="102"/>
    </row>
    <row r="597" spans="3:30" ht="12.75">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c r="AD597" s="102"/>
    </row>
    <row r="598" spans="3:30" ht="12.75">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c r="AD598" s="102"/>
    </row>
    <row r="599" spans="3:30" ht="12.75">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c r="AD599" s="102"/>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2:I66"/>
  <sheetViews>
    <sheetView workbookViewId="0" topLeftCell="A1">
      <selection activeCell="A17" sqref="A17"/>
    </sheetView>
  </sheetViews>
  <sheetFormatPr defaultColWidth="9.140625" defaultRowHeight="12.75"/>
  <cols>
    <col min="1" max="1" width="94.7109375" style="0" customWidth="1"/>
    <col min="2" max="2" width="12.8515625" style="0" customWidth="1"/>
    <col min="3" max="3" width="10.57421875" style="0" customWidth="1"/>
    <col min="4" max="4" width="10.7109375" style="0" customWidth="1"/>
    <col min="5" max="5" width="9.421875" style="0" customWidth="1"/>
    <col min="6" max="6" width="11.7109375" style="0" bestFit="1" customWidth="1"/>
    <col min="7" max="7" width="10.28125" style="0" bestFit="1" customWidth="1"/>
    <col min="9" max="9" width="9.28125" style="0" bestFit="1" customWidth="1"/>
  </cols>
  <sheetData>
    <row r="1" ht="13.5" thickBot="1"/>
    <row r="2" spans="1:9" ht="39" thickBot="1">
      <c r="A2" s="110" t="s">
        <v>198</v>
      </c>
      <c r="B2" s="111"/>
      <c r="C2" s="111" t="s">
        <v>199</v>
      </c>
      <c r="D2" s="111" t="s">
        <v>200</v>
      </c>
      <c r="E2" s="111" t="s">
        <v>164</v>
      </c>
      <c r="F2" s="111" t="s">
        <v>223</v>
      </c>
      <c r="G2" s="112" t="s">
        <v>201</v>
      </c>
      <c r="H2" s="112" t="s">
        <v>23</v>
      </c>
      <c r="I2" s="113" t="s">
        <v>202</v>
      </c>
    </row>
    <row r="3" spans="1:9" ht="13.5" thickBot="1">
      <c r="A3" s="114" t="s">
        <v>203</v>
      </c>
      <c r="B3" s="115" t="s">
        <v>204</v>
      </c>
      <c r="C3" s="116">
        <v>4960</v>
      </c>
      <c r="D3" s="117">
        <v>0.53</v>
      </c>
      <c r="E3" s="118">
        <f aca="true" t="shared" si="0" ref="E3:E9">C3*D3</f>
        <v>2628.8</v>
      </c>
      <c r="F3" s="117">
        <v>1</v>
      </c>
      <c r="G3" s="118">
        <f>SUM('PNW Solar Zones by State'!I136:I138)</f>
        <v>39802</v>
      </c>
      <c r="H3" s="119">
        <f>F3</f>
        <v>1</v>
      </c>
      <c r="I3" s="120">
        <f>E3*F3</f>
        <v>2628.8</v>
      </c>
    </row>
    <row r="4" spans="1:9" ht="12.75">
      <c r="A4" s="121" t="s">
        <v>205</v>
      </c>
      <c r="B4" s="122" t="s">
        <v>206</v>
      </c>
      <c r="C4" s="123">
        <v>5077</v>
      </c>
      <c r="D4" s="124">
        <v>0.5</v>
      </c>
      <c r="E4" s="123">
        <f t="shared" si="0"/>
        <v>2538.5</v>
      </c>
      <c r="F4" s="123">
        <f>SUM('PNW Solar Zones by State'!I107:I129)</f>
        <v>755288</v>
      </c>
      <c r="G4" s="122"/>
      <c r="H4" s="124">
        <f>F4/G5</f>
        <v>0.7836514817297257</v>
      </c>
      <c r="I4" s="125">
        <f>SUMPRODUCT(E4:E5,H4:H5)</f>
        <v>2505.571755519264</v>
      </c>
    </row>
    <row r="5" spans="1:9" ht="13.5" thickBot="1">
      <c r="A5" s="126" t="s">
        <v>205</v>
      </c>
      <c r="B5" s="127" t="s">
        <v>207</v>
      </c>
      <c r="C5" s="128">
        <v>4870</v>
      </c>
      <c r="D5" s="129">
        <v>0.49</v>
      </c>
      <c r="E5" s="128">
        <f t="shared" si="0"/>
        <v>2386.3</v>
      </c>
      <c r="F5" s="128">
        <f>SUM('PNW Solar Zones by State'!I130:I135)</f>
        <v>208518</v>
      </c>
      <c r="G5" s="130">
        <f>SUM(F4:F5)</f>
        <v>963806</v>
      </c>
      <c r="H5" s="129">
        <f>F5/G5</f>
        <v>0.21634851827027432</v>
      </c>
      <c r="I5" s="131"/>
    </row>
    <row r="6" spans="1:9" ht="13.5" thickBot="1">
      <c r="A6" s="132" t="s">
        <v>208</v>
      </c>
      <c r="B6" s="133" t="s">
        <v>162</v>
      </c>
      <c r="C6" s="134">
        <v>5038</v>
      </c>
      <c r="D6" s="135">
        <v>0.43</v>
      </c>
      <c r="E6" s="134">
        <f t="shared" si="0"/>
        <v>2166.34</v>
      </c>
      <c r="F6" s="135">
        <v>1</v>
      </c>
      <c r="G6" s="133"/>
      <c r="H6" s="136">
        <f>F6</f>
        <v>1</v>
      </c>
      <c r="I6" s="137">
        <f>E6*F6</f>
        <v>2166.34</v>
      </c>
    </row>
    <row r="7" spans="1:9" ht="13.5" thickBot="1">
      <c r="A7" s="138" t="s">
        <v>209</v>
      </c>
      <c r="B7" s="139" t="s">
        <v>160</v>
      </c>
      <c r="C7" s="140">
        <v>4803</v>
      </c>
      <c r="D7" s="141">
        <v>0.4</v>
      </c>
      <c r="E7" s="140">
        <f t="shared" si="0"/>
        <v>1921.2</v>
      </c>
      <c r="F7" s="141">
        <v>1</v>
      </c>
      <c r="G7" s="139"/>
      <c r="H7" s="142">
        <f>F7</f>
        <v>1</v>
      </c>
      <c r="I7" s="143">
        <f>E7*F7</f>
        <v>1921.2</v>
      </c>
    </row>
    <row r="8" spans="1:9" ht="12.75">
      <c r="A8" s="144" t="s">
        <v>210</v>
      </c>
      <c r="B8" s="145" t="s">
        <v>161</v>
      </c>
      <c r="C8" s="146">
        <v>4888</v>
      </c>
      <c r="D8" s="147">
        <v>0.38</v>
      </c>
      <c r="E8" s="146">
        <f t="shared" si="0"/>
        <v>1857.44</v>
      </c>
      <c r="F8" s="146">
        <f>SUM('PNW Solar Zones by State'!I10:I19)</f>
        <v>3037753</v>
      </c>
      <c r="G8" s="145"/>
      <c r="H8" s="147">
        <f>F8/G9</f>
        <v>0.9566261668292665</v>
      </c>
      <c r="I8" s="148">
        <f>SUMPRODUCT(E8:E9,H8:H9)</f>
        <v>1861.9157458448883</v>
      </c>
    </row>
    <row r="9" spans="1:9" ht="13.5" thickBot="1">
      <c r="A9" s="149" t="s">
        <v>210</v>
      </c>
      <c r="B9" s="150" t="s">
        <v>163</v>
      </c>
      <c r="C9" s="151">
        <v>5299</v>
      </c>
      <c r="D9" s="152">
        <v>0.37</v>
      </c>
      <c r="E9" s="151">
        <f t="shared" si="0"/>
        <v>1960.6299999999999</v>
      </c>
      <c r="F9" s="151">
        <f>SUM('PNW Solar Zones by State'!I20:I24)</f>
        <v>137733</v>
      </c>
      <c r="G9" s="153">
        <f>SUM(F8:F9)</f>
        <v>3175486</v>
      </c>
      <c r="H9" s="152">
        <f>F9/G9</f>
        <v>0.04337383317073355</v>
      </c>
      <c r="I9" s="154"/>
    </row>
    <row r="10" ht="13.5" thickBot="1">
      <c r="A10" s="149"/>
    </row>
    <row r="11" spans="1:2" ht="12.75">
      <c r="A11" t="s">
        <v>211</v>
      </c>
      <c r="B11" t="s">
        <v>868</v>
      </c>
    </row>
    <row r="12" spans="2:4" ht="12.75">
      <c r="B12" t="s">
        <v>490</v>
      </c>
      <c r="C12" s="296">
        <f>ROUND((-0.00216*(D12^3)+0.18818*(D12^2)+17.19644*(D12)+966.95779),-2)</f>
        <v>1800</v>
      </c>
      <c r="D12">
        <v>40</v>
      </c>
    </row>
    <row r="13" spans="2:4" ht="12.75">
      <c r="B13" t="s">
        <v>491</v>
      </c>
      <c r="C13" s="296">
        <f>ROUND(0.00263*(D13^3)-0.72266*(D13^2)+73.03877*(D13)-3.24391,-2)</f>
        <v>1900</v>
      </c>
      <c r="D13">
        <v>40</v>
      </c>
    </row>
    <row r="14" spans="2:4" ht="12.75">
      <c r="B14" t="s">
        <v>492</v>
      </c>
      <c r="C14" s="296">
        <f>ROUND(-0.00222*(D14^3)+0.07651*(D14^2)+30.46593*(D14)+962.07613,-2)</f>
        <v>2200</v>
      </c>
      <c r="D14">
        <v>40</v>
      </c>
    </row>
    <row r="15" spans="2:5" ht="12.75">
      <c r="B15" t="s">
        <v>866</v>
      </c>
      <c r="C15" s="296">
        <f>ROUND((0.0039*(D15^3)-1.00686*(D15^2)+95.84303*(D15)-81.10697)*1.04781352358994,-2)</f>
        <v>2500</v>
      </c>
      <c r="D15">
        <v>40</v>
      </c>
      <c r="E15" s="47">
        <v>1.04781352358994</v>
      </c>
    </row>
    <row r="16" spans="2:5" ht="12.75">
      <c r="B16" t="s">
        <v>867</v>
      </c>
      <c r="C16" s="296">
        <f>ROUND((0.0039*(D16^3)-1.00686*(D16^2)+95.84303*(D16)-81.10697)*1.09934675977475,-2)</f>
        <v>2600</v>
      </c>
      <c r="D16">
        <v>40</v>
      </c>
      <c r="E16" s="47">
        <v>1.09934675977475</v>
      </c>
    </row>
    <row r="18" ht="18">
      <c r="A18" s="155" t="s">
        <v>212</v>
      </c>
    </row>
    <row r="21" spans="1:2" ht="12.75">
      <c r="A21" s="156">
        <v>36746</v>
      </c>
      <c r="B21" t="s">
        <v>213</v>
      </c>
    </row>
    <row r="22" spans="1:2" ht="12.75">
      <c r="A22" s="156">
        <v>36746</v>
      </c>
      <c r="B22" t="s">
        <v>214</v>
      </c>
    </row>
    <row r="23" spans="1:2" ht="12.75">
      <c r="A23" s="156">
        <v>36746</v>
      </c>
      <c r="B23" t="s">
        <v>215</v>
      </c>
    </row>
    <row r="26" spans="1:3" ht="38.25">
      <c r="A26" s="297" t="s">
        <v>35</v>
      </c>
      <c r="B26" s="297" t="s">
        <v>157</v>
      </c>
      <c r="C26" s="297" t="s">
        <v>864</v>
      </c>
    </row>
    <row r="27" spans="1:3" ht="12.75">
      <c r="A27" s="4" t="s">
        <v>445</v>
      </c>
      <c r="B27" s="296">
        <f>ROUND((-0.00216*(C27^3)+0.18818*(C27^2)+17.19644*(C27)+966.95779),-2)</f>
        <v>1800</v>
      </c>
      <c r="C27">
        <v>40</v>
      </c>
    </row>
    <row r="28" spans="1:3" ht="12.75">
      <c r="A28" s="4" t="s">
        <v>446</v>
      </c>
      <c r="B28" s="296">
        <f>ROUND(0.00263*(C28^3)-0.72266*(C28^2)+73.03877*(C28)-3.24391,-2)</f>
        <v>1900</v>
      </c>
      <c r="C28">
        <v>40</v>
      </c>
    </row>
    <row r="29" spans="1:3" ht="12.75">
      <c r="A29" s="4" t="s">
        <v>447</v>
      </c>
      <c r="B29" s="296">
        <f>ROUND(-0.00222*(C29^3)+0.07651*(C29^2)+30.46593*(C29)+962.07613,-2)</f>
        <v>2200</v>
      </c>
      <c r="C29">
        <v>40</v>
      </c>
    </row>
    <row r="30" spans="1:3" ht="12.75">
      <c r="A30" s="4" t="s">
        <v>448</v>
      </c>
      <c r="B30" s="296">
        <f>ROUND((0.0039*(C30^3)-1.00686*(C30^2)+95.84303*(C30)-81.10697)*1.04781352358994,-2)</f>
        <v>2500</v>
      </c>
      <c r="C30">
        <v>40</v>
      </c>
    </row>
    <row r="31" spans="1:3" ht="12.75">
      <c r="A31" s="4" t="s">
        <v>449</v>
      </c>
      <c r="B31" s="296">
        <f>ROUND((0.0039*(C31^3)-1.00686*(C31^2)+95.84303*(C31)-81.10697)*1.09934675977475,-2)</f>
        <v>2600</v>
      </c>
      <c r="C31">
        <v>40</v>
      </c>
    </row>
    <row r="32" spans="1:3" ht="12.75">
      <c r="A32" s="4" t="s">
        <v>450</v>
      </c>
      <c r="B32" s="296">
        <f>ROUND((-0.00216*(C32^3)+0.18818*(C32^2)+17.19644*(C32)+966.95779),-2)</f>
        <v>1800</v>
      </c>
      <c r="C32">
        <v>40</v>
      </c>
    </row>
    <row r="33" spans="1:3" ht="12.75">
      <c r="A33" s="4" t="s">
        <v>451</v>
      </c>
      <c r="B33" s="296">
        <f>ROUND(0.00263*(C33^3)-0.72266*(C33^2)+73.03877*(C33)-3.24391,-2)</f>
        <v>1900</v>
      </c>
      <c r="C33">
        <v>40</v>
      </c>
    </row>
    <row r="34" spans="1:3" ht="12.75">
      <c r="A34" s="4" t="s">
        <v>452</v>
      </c>
      <c r="B34" s="296">
        <f>ROUND(-0.00222*(C34^3)+0.07651*(C34^2)+30.46593*(C34)+962.07613,-2)</f>
        <v>2200</v>
      </c>
      <c r="C34">
        <v>40</v>
      </c>
    </row>
    <row r="35" spans="1:3" ht="12.75">
      <c r="A35" s="4" t="s">
        <v>453</v>
      </c>
      <c r="B35" s="296">
        <f>ROUND((0.0039*(C35^3)-1.00686*(C35^2)+95.84303*(C35)-81.10697)*1.04781352358994,-2)</f>
        <v>2500</v>
      </c>
      <c r="C35">
        <v>40</v>
      </c>
    </row>
    <row r="36" spans="1:3" ht="13.5" thickBot="1">
      <c r="A36" s="240" t="s">
        <v>454</v>
      </c>
      <c r="B36" s="296">
        <f>ROUND((0.0039*(C36^3)-1.00686*(C36^2)+95.84303*(C36)-81.10697)*1.09934675977475,-2)</f>
        <v>2600</v>
      </c>
      <c r="C36">
        <v>40</v>
      </c>
    </row>
    <row r="37" spans="1:3" ht="12.75">
      <c r="A37" s="225" t="s">
        <v>415</v>
      </c>
      <c r="B37" s="296">
        <f>ROUND((-0.00216*(C37^3)+0.18818*(C37^2)+17.19644*(C37)+966.95779),-2)</f>
        <v>1800</v>
      </c>
      <c r="C37">
        <v>37.3</v>
      </c>
    </row>
    <row r="38" spans="1:3" ht="12.75">
      <c r="A38" s="4" t="s">
        <v>416</v>
      </c>
      <c r="B38" s="296">
        <f>ROUND(0.00263*(C38^3)-0.72266*(C38^2)+73.03877*(C38)-3.24391,-2)</f>
        <v>1900</v>
      </c>
      <c r="C38">
        <v>37.3</v>
      </c>
    </row>
    <row r="39" spans="1:3" ht="12.75">
      <c r="A39" s="4" t="s">
        <v>417</v>
      </c>
      <c r="B39" s="296">
        <f>ROUND(-0.00222*(C39^3)+0.07651*(C39^2)+30.46593*(C39)+962.07613,-2)</f>
        <v>2100</v>
      </c>
      <c r="C39">
        <v>37.3</v>
      </c>
    </row>
    <row r="40" spans="1:3" ht="12.75">
      <c r="A40" s="4" t="s">
        <v>418</v>
      </c>
      <c r="B40" s="296">
        <f>ROUND((0.0039*(C40^3)-1.00686*(C40^2)+95.84303*(C40)-81.10697)*1.04781352358994,-2)</f>
        <v>2400</v>
      </c>
      <c r="C40">
        <v>37.3</v>
      </c>
    </row>
    <row r="41" spans="1:3" ht="12.75">
      <c r="A41" s="4" t="s">
        <v>419</v>
      </c>
      <c r="B41" s="296">
        <f>ROUND((0.0039*(C41^3)-1.00686*(C41^2)+95.84303*(C41)-81.10697)*1.09934675977475,-2)</f>
        <v>2500</v>
      </c>
      <c r="C41">
        <v>37.3</v>
      </c>
    </row>
    <row r="42" spans="1:3" ht="12.75">
      <c r="A42" s="4" t="s">
        <v>420</v>
      </c>
      <c r="B42" s="296">
        <f>ROUND((-0.00216*(C42^3)+0.18818*(C42^2)+17.19644*(C42)+966.95779),-2)</f>
        <v>1800</v>
      </c>
      <c r="C42">
        <v>37.3</v>
      </c>
    </row>
    <row r="43" spans="1:3" ht="12.75">
      <c r="A43" s="4" t="s">
        <v>421</v>
      </c>
      <c r="B43" s="296">
        <f>ROUND(0.00263*(C43^3)-0.72266*(C43^2)+73.03877*(C43)-3.24391,-2)</f>
        <v>1900</v>
      </c>
      <c r="C43">
        <v>37.3</v>
      </c>
    </row>
    <row r="44" spans="1:3" ht="12.75">
      <c r="A44" s="4" t="s">
        <v>422</v>
      </c>
      <c r="B44" s="296">
        <f>ROUND(-0.00222*(C44^3)+0.07651*(C44^2)+30.46593*(C44)+962.07613,-2)</f>
        <v>2100</v>
      </c>
      <c r="C44">
        <v>37.3</v>
      </c>
    </row>
    <row r="45" spans="1:3" ht="12.75">
      <c r="A45" s="4" t="s">
        <v>423</v>
      </c>
      <c r="B45" s="296">
        <f>ROUND((0.0039*(C45^3)-1.00686*(C45^2)+95.84303*(C45)-81.10697)*1.04781352358994,-2)</f>
        <v>2400</v>
      </c>
      <c r="C45">
        <v>37.3</v>
      </c>
    </row>
    <row r="46" spans="1:3" ht="13.5" thickBot="1">
      <c r="A46" s="240" t="s">
        <v>424</v>
      </c>
      <c r="B46" s="296">
        <f>ROUND((0.0039*(C46^3)-1.00686*(C46^2)+95.84303*(C46)-81.10697)*1.09934675977475,-2)</f>
        <v>2500</v>
      </c>
      <c r="C46">
        <v>37.3</v>
      </c>
    </row>
    <row r="47" spans="1:3" ht="12.75">
      <c r="A47" s="225" t="s">
        <v>425</v>
      </c>
      <c r="B47" s="296">
        <f>ROUND((-0.00216*(C47^3)+0.18818*(C47^2)+17.19644*(C47)+966.95779),-2)</f>
        <v>2200</v>
      </c>
      <c r="C47">
        <v>60</v>
      </c>
    </row>
    <row r="48" spans="1:3" ht="12.75">
      <c r="A48" s="4" t="s">
        <v>426</v>
      </c>
      <c r="B48" s="296">
        <f>ROUND(0.00263*(C48^3)-0.72266*(C48^2)+73.03877*(C48)-3.24391,-2)</f>
        <v>2300</v>
      </c>
      <c r="C48">
        <v>60</v>
      </c>
    </row>
    <row r="49" spans="1:3" ht="12.75">
      <c r="A49" s="4" t="s">
        <v>427</v>
      </c>
      <c r="B49" s="296">
        <f>ROUND(-0.00222*(C49^3)+0.07651*(C49^2)+30.46593*(C49)+962.07613,-2)</f>
        <v>2600</v>
      </c>
      <c r="C49">
        <v>60</v>
      </c>
    </row>
    <row r="50" spans="1:3" ht="12.75">
      <c r="A50" s="4" t="s">
        <v>428</v>
      </c>
      <c r="B50" s="296">
        <f>ROUND((0.0039*(C50^3)-1.00686*(C50^2)+95.84303*(C50)-81.10697)*1.04781352358994,-2)</f>
        <v>3000</v>
      </c>
      <c r="C50">
        <v>60</v>
      </c>
    </row>
    <row r="51" spans="1:3" ht="12.75">
      <c r="A51" s="4" t="s">
        <v>429</v>
      </c>
      <c r="B51" s="296">
        <f>ROUND((0.0039*(C51^3)-1.00686*(C51^2)+95.84303*(C51)-81.10697)*1.09934675977475,-2)</f>
        <v>3200</v>
      </c>
      <c r="C51">
        <v>60</v>
      </c>
    </row>
    <row r="52" spans="1:3" ht="12.75">
      <c r="A52" s="4" t="s">
        <v>430</v>
      </c>
      <c r="B52" s="296">
        <f>ROUND((-0.00216*(C52^3)+0.18818*(C52^2)+17.19644*(C52)+966.95779),-2)</f>
        <v>2200</v>
      </c>
      <c r="C52">
        <v>60</v>
      </c>
    </row>
    <row r="53" spans="1:3" ht="12.75">
      <c r="A53" s="4" t="s">
        <v>431</v>
      </c>
      <c r="B53" s="296">
        <f>ROUND(0.00263*(C53^3)-0.72266*(C53^2)+73.03877*(C53)-3.24391,-2)</f>
        <v>2300</v>
      </c>
      <c r="C53">
        <v>60</v>
      </c>
    </row>
    <row r="54" spans="1:3" ht="12.75">
      <c r="A54" s="4" t="s">
        <v>432</v>
      </c>
      <c r="B54" s="296">
        <f>ROUND(-0.00222*(C54^3)+0.07651*(C54^2)+30.46593*(C54)+962.07613,-2)</f>
        <v>2600</v>
      </c>
      <c r="C54">
        <v>60</v>
      </c>
    </row>
    <row r="55" spans="1:3" ht="12.75">
      <c r="A55" s="4" t="s">
        <v>433</v>
      </c>
      <c r="B55" s="296">
        <f>ROUND((0.0039*(C55^3)-1.00686*(C55^2)+95.84303*(C55)-81.10697)*1.04781352358994,-2)</f>
        <v>3000</v>
      </c>
      <c r="C55">
        <v>60</v>
      </c>
    </row>
    <row r="56" spans="1:3" ht="13.5" thickBot="1">
      <c r="A56" s="240" t="s">
        <v>434</v>
      </c>
      <c r="B56" s="296">
        <f>ROUND((0.0039*(C56^3)-1.00686*(C56^2)+95.84303*(C56)-81.10697)*1.09934675977475,-2)</f>
        <v>3200</v>
      </c>
      <c r="C56">
        <v>60</v>
      </c>
    </row>
    <row r="57" spans="1:3" ht="12.75">
      <c r="A57" s="225" t="s">
        <v>435</v>
      </c>
      <c r="B57" s="296">
        <f>ROUND((-0.00216*(C57^3)+0.18818*(C57^2)+17.19644*(C57)+966.95779),-2)</f>
        <v>2400</v>
      </c>
      <c r="C57">
        <v>74.6</v>
      </c>
    </row>
    <row r="58" spans="1:3" ht="12.75">
      <c r="A58" s="4" t="s">
        <v>436</v>
      </c>
      <c r="B58" s="296">
        <f>ROUND(0.00263*(C58^3)-0.72266*(C58^2)+73.03877*(C58)-3.24391,-2)</f>
        <v>2500</v>
      </c>
      <c r="C58">
        <v>74.6</v>
      </c>
    </row>
    <row r="59" spans="1:3" ht="12.75">
      <c r="A59" s="4" t="s">
        <v>437</v>
      </c>
      <c r="B59" s="296">
        <f>ROUND(-0.00222*(C59^3)+0.07651*(C59^2)+30.46593*(C59)+962.07613,-2)</f>
        <v>2700</v>
      </c>
      <c r="C59">
        <v>74.6</v>
      </c>
    </row>
    <row r="60" spans="1:3" ht="12.75">
      <c r="A60" s="4" t="s">
        <v>438</v>
      </c>
      <c r="B60" s="296">
        <f>ROUND((0.0039*(C60^3)-1.00686*(C60^2)+95.84303*(C60)-81.10697)*1.04781352358994,-2)</f>
        <v>3200</v>
      </c>
      <c r="C60">
        <v>74.6</v>
      </c>
    </row>
    <row r="61" spans="1:3" ht="12.75">
      <c r="A61" s="4" t="s">
        <v>439</v>
      </c>
      <c r="B61" s="296">
        <f>ROUND((0.0039*(C61^3)-1.00686*(C61^2)+95.84303*(C61)-81.10697)*1.09934675977475,-2)</f>
        <v>3400</v>
      </c>
      <c r="C61">
        <v>74.6</v>
      </c>
    </row>
    <row r="62" spans="1:3" ht="12.75">
      <c r="A62" s="4" t="s">
        <v>440</v>
      </c>
      <c r="B62" s="296">
        <f>ROUND((-0.00216*(C62^3)+0.18818*(C62^2)+17.19644*(C62)+966.95779),-2)</f>
        <v>2400</v>
      </c>
      <c r="C62">
        <v>74.6</v>
      </c>
    </row>
    <row r="63" spans="1:3" ht="12.75">
      <c r="A63" s="4" t="s">
        <v>441</v>
      </c>
      <c r="B63" s="296">
        <f>ROUND(0.00263*(C63^3)-0.72266*(C63^2)+73.03877*(C63)-3.24391,-2)</f>
        <v>2500</v>
      </c>
      <c r="C63">
        <v>74.6</v>
      </c>
    </row>
    <row r="64" spans="1:3" ht="12.75">
      <c r="A64" s="4" t="s">
        <v>442</v>
      </c>
      <c r="B64" s="296">
        <f>ROUND(-0.00222*(C64^3)+0.07651*(C64^2)+30.46593*(C64)+962.07613,-2)</f>
        <v>2700</v>
      </c>
      <c r="C64">
        <v>74.6</v>
      </c>
    </row>
    <row r="65" spans="1:3" ht="12.75">
      <c r="A65" s="4" t="s">
        <v>443</v>
      </c>
      <c r="B65" s="296">
        <f>ROUND((0.0039*(C65^3)-1.00686*(C65^2)+95.84303*(C65)-81.10697)*1.04781352358994,-2)</f>
        <v>3200</v>
      </c>
      <c r="C65">
        <v>74.6</v>
      </c>
    </row>
    <row r="66" spans="1:3" ht="13.5" thickBot="1">
      <c r="A66" s="240" t="s">
        <v>444</v>
      </c>
      <c r="B66" s="296">
        <f>ROUND((0.0039*(C66^3)-1.00686*(C66^2)+95.84303*(C66)-81.10697)*1.09934675977475,-2)</f>
        <v>3400</v>
      </c>
      <c r="C66">
        <v>74.6</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10"/>
  <dimension ref="A2:P103"/>
  <sheetViews>
    <sheetView workbookViewId="0" topLeftCell="I93">
      <selection activeCell="M98" sqref="M98:P103"/>
    </sheetView>
  </sheetViews>
  <sheetFormatPr defaultColWidth="9.140625" defaultRowHeight="12.75"/>
  <cols>
    <col min="13" max="13" width="9.28125" style="0" bestFit="1" customWidth="1"/>
  </cols>
  <sheetData>
    <row r="2" spans="1:11" ht="38.25">
      <c r="A2" s="295" t="s">
        <v>857</v>
      </c>
      <c r="B2" s="295" t="s">
        <v>858</v>
      </c>
      <c r="C2" s="295" t="s">
        <v>859</v>
      </c>
      <c r="D2" s="295" t="s">
        <v>860</v>
      </c>
      <c r="E2" s="295" t="s">
        <v>861</v>
      </c>
      <c r="H2" s="295" t="s">
        <v>857</v>
      </c>
      <c r="I2" s="295" t="s">
        <v>859</v>
      </c>
      <c r="J2" s="295" t="s">
        <v>860</v>
      </c>
      <c r="K2" s="295" t="s">
        <v>861</v>
      </c>
    </row>
    <row r="3" spans="1:11" ht="12.75">
      <c r="A3" s="74">
        <v>13</v>
      </c>
      <c r="B3" s="74">
        <v>20</v>
      </c>
      <c r="C3" s="74">
        <v>1100</v>
      </c>
      <c r="D3" s="74">
        <v>1200</v>
      </c>
      <c r="E3" s="74">
        <v>1300</v>
      </c>
      <c r="H3" s="74">
        <v>21</v>
      </c>
      <c r="I3" s="74">
        <v>1100</v>
      </c>
      <c r="J3" s="74">
        <v>1400</v>
      </c>
      <c r="K3" s="74">
        <v>1500</v>
      </c>
    </row>
    <row r="4" spans="1:11" ht="12.75">
      <c r="A4" s="74">
        <v>20</v>
      </c>
      <c r="B4" s="74">
        <v>32</v>
      </c>
      <c r="C4" s="74">
        <v>1400</v>
      </c>
      <c r="D4" s="74">
        <v>1600</v>
      </c>
      <c r="E4" s="74">
        <v>1700</v>
      </c>
      <c r="H4" s="74">
        <v>24</v>
      </c>
      <c r="I4" s="74">
        <v>1500</v>
      </c>
      <c r="J4" s="74">
        <v>1700</v>
      </c>
      <c r="K4" s="74">
        <v>1800</v>
      </c>
    </row>
    <row r="5" spans="1:11" ht="12.75">
      <c r="A5" s="74">
        <v>20</v>
      </c>
      <c r="B5" s="74">
        <v>50</v>
      </c>
      <c r="C5" s="74">
        <v>1100</v>
      </c>
      <c r="D5" s="74">
        <v>1400</v>
      </c>
      <c r="E5" s="74">
        <v>1400</v>
      </c>
      <c r="H5" s="74">
        <v>27</v>
      </c>
      <c r="I5" s="74">
        <v>1600</v>
      </c>
      <c r="J5" s="74">
        <v>1900</v>
      </c>
      <c r="K5" s="74">
        <v>1900</v>
      </c>
    </row>
    <row r="6" spans="1:11" ht="12.75">
      <c r="A6" s="74">
        <v>21</v>
      </c>
      <c r="B6" s="74">
        <v>47</v>
      </c>
      <c r="C6" s="74">
        <v>1400</v>
      </c>
      <c r="D6" s="74">
        <v>1700</v>
      </c>
      <c r="E6" s="74">
        <v>1800</v>
      </c>
      <c r="H6" s="74">
        <v>27</v>
      </c>
      <c r="I6" s="74">
        <v>1600</v>
      </c>
      <c r="J6" s="74">
        <v>1900</v>
      </c>
      <c r="K6" s="74">
        <v>1900</v>
      </c>
    </row>
    <row r="7" spans="1:11" ht="12.75">
      <c r="A7" s="74">
        <v>21</v>
      </c>
      <c r="B7" s="74">
        <v>48</v>
      </c>
      <c r="C7" s="74">
        <v>1300</v>
      </c>
      <c r="D7" s="74">
        <v>1500</v>
      </c>
      <c r="E7" s="74">
        <v>1500</v>
      </c>
      <c r="H7" s="74">
        <v>27</v>
      </c>
      <c r="I7" s="74">
        <v>1600</v>
      </c>
      <c r="J7" s="74">
        <v>1900</v>
      </c>
      <c r="K7" s="74">
        <v>2000</v>
      </c>
    </row>
    <row r="8" spans="1:11" ht="12.75">
      <c r="A8" s="74">
        <v>21</v>
      </c>
      <c r="B8" s="74">
        <v>48</v>
      </c>
      <c r="C8" s="74">
        <v>1900</v>
      </c>
      <c r="D8" s="74">
        <v>2200</v>
      </c>
      <c r="E8" s="74">
        <v>2300</v>
      </c>
      <c r="H8" s="74">
        <v>27</v>
      </c>
      <c r="I8" s="74">
        <v>1300</v>
      </c>
      <c r="J8" s="74">
        <v>1700</v>
      </c>
      <c r="K8" s="74">
        <v>1700</v>
      </c>
    </row>
    <row r="9" spans="1:11" ht="12.75">
      <c r="A9" s="74">
        <v>24</v>
      </c>
      <c r="B9" s="74">
        <v>30</v>
      </c>
      <c r="C9" s="74">
        <v>1400</v>
      </c>
      <c r="D9" s="74">
        <v>1600</v>
      </c>
      <c r="E9" s="74">
        <v>1700</v>
      </c>
      <c r="H9" s="74">
        <v>27</v>
      </c>
      <c r="I9" s="74">
        <v>1300</v>
      </c>
      <c r="J9" s="74">
        <v>1700</v>
      </c>
      <c r="K9" s="74">
        <v>1600</v>
      </c>
    </row>
    <row r="10" spans="1:11" ht="12.75">
      <c r="A10" s="74">
        <v>24</v>
      </c>
      <c r="B10" s="74">
        <v>35</v>
      </c>
      <c r="C10" s="74">
        <v>1400</v>
      </c>
      <c r="D10" s="74">
        <v>1600</v>
      </c>
      <c r="E10" s="74">
        <v>1700</v>
      </c>
      <c r="H10" s="74">
        <v>32</v>
      </c>
      <c r="I10" s="74">
        <v>1800</v>
      </c>
      <c r="J10" s="74">
        <v>2200</v>
      </c>
      <c r="K10" s="74">
        <v>2300</v>
      </c>
    </row>
    <row r="11" spans="1:11" ht="12.75">
      <c r="A11" s="74">
        <v>24</v>
      </c>
      <c r="B11" s="74">
        <v>48</v>
      </c>
      <c r="C11" s="74">
        <v>1400</v>
      </c>
      <c r="D11" s="74">
        <v>1600</v>
      </c>
      <c r="E11" s="74">
        <v>1700</v>
      </c>
      <c r="H11" s="74">
        <v>32</v>
      </c>
      <c r="I11" s="74">
        <v>1800</v>
      </c>
      <c r="J11" s="74">
        <v>2200</v>
      </c>
      <c r="K11" s="74">
        <v>2200</v>
      </c>
    </row>
    <row r="12" spans="1:11" ht="12.75">
      <c r="A12" s="74">
        <v>24</v>
      </c>
      <c r="B12" s="74">
        <v>65</v>
      </c>
      <c r="C12" s="74">
        <v>1200</v>
      </c>
      <c r="D12" s="74">
        <v>1500</v>
      </c>
      <c r="E12" s="74">
        <v>1600</v>
      </c>
      <c r="H12" s="74">
        <v>32</v>
      </c>
      <c r="I12" s="74">
        <v>1900</v>
      </c>
      <c r="J12" s="74">
        <v>2200</v>
      </c>
      <c r="K12" s="74">
        <v>2300</v>
      </c>
    </row>
    <row r="13" spans="1:11" ht="12.75">
      <c r="A13" s="74">
        <v>25</v>
      </c>
      <c r="B13" s="74">
        <v>30</v>
      </c>
      <c r="C13" s="74">
        <v>1200</v>
      </c>
      <c r="D13" s="74">
        <v>1400</v>
      </c>
      <c r="E13" s="74">
        <v>1500</v>
      </c>
      <c r="H13" s="74">
        <v>32</v>
      </c>
      <c r="I13" s="74">
        <v>1600</v>
      </c>
      <c r="J13" s="74">
        <v>2000</v>
      </c>
      <c r="K13" s="74">
        <v>1900</v>
      </c>
    </row>
    <row r="14" spans="1:11" ht="12.75">
      <c r="A14" s="74">
        <v>25</v>
      </c>
      <c r="B14" s="74">
        <v>40</v>
      </c>
      <c r="C14" s="74">
        <v>1200</v>
      </c>
      <c r="D14" s="74">
        <v>1400</v>
      </c>
      <c r="E14" s="74">
        <v>1500</v>
      </c>
      <c r="H14" s="74">
        <v>32</v>
      </c>
      <c r="I14" s="74">
        <v>2000</v>
      </c>
      <c r="J14" s="74">
        <v>2300</v>
      </c>
      <c r="K14" s="74">
        <v>2400</v>
      </c>
    </row>
    <row r="15" spans="1:11" ht="12.75">
      <c r="A15" s="74">
        <v>25</v>
      </c>
      <c r="B15" s="74">
        <v>42</v>
      </c>
      <c r="C15" s="74">
        <v>1600</v>
      </c>
      <c r="D15" s="74">
        <v>1800</v>
      </c>
      <c r="E15" s="74">
        <v>1900</v>
      </c>
      <c r="H15" s="74">
        <v>32</v>
      </c>
      <c r="I15" s="74">
        <v>1900</v>
      </c>
      <c r="J15" s="74">
        <v>2200</v>
      </c>
      <c r="K15" s="74">
        <v>2300</v>
      </c>
    </row>
    <row r="16" spans="1:11" ht="12.75">
      <c r="A16" s="74">
        <v>25</v>
      </c>
      <c r="B16" s="74">
        <v>48</v>
      </c>
      <c r="C16" s="74">
        <v>2300</v>
      </c>
      <c r="D16" s="74">
        <v>2600</v>
      </c>
      <c r="E16" s="74">
        <v>2800</v>
      </c>
      <c r="H16" s="74">
        <v>33</v>
      </c>
      <c r="I16" s="74">
        <v>1400</v>
      </c>
      <c r="J16" s="74">
        <v>1700</v>
      </c>
      <c r="K16" s="74">
        <v>1800</v>
      </c>
    </row>
    <row r="17" spans="1:11" ht="12.75">
      <c r="A17" s="74">
        <v>25</v>
      </c>
      <c r="B17" s="74">
        <v>48</v>
      </c>
      <c r="C17" s="74">
        <v>2000</v>
      </c>
      <c r="D17" s="74">
        <v>2400</v>
      </c>
      <c r="E17" s="74">
        <v>2500</v>
      </c>
      <c r="H17" s="74">
        <v>33</v>
      </c>
      <c r="I17" s="74">
        <v>1400</v>
      </c>
      <c r="J17" s="74">
        <v>1700</v>
      </c>
      <c r="K17" s="74">
        <v>1700</v>
      </c>
    </row>
    <row r="18" spans="1:11" ht="12.75">
      <c r="A18" s="74">
        <v>27</v>
      </c>
      <c r="B18" s="74">
        <v>80</v>
      </c>
      <c r="C18" s="74">
        <v>1400</v>
      </c>
      <c r="D18" s="74">
        <v>1600</v>
      </c>
      <c r="E18" s="74">
        <v>1700</v>
      </c>
      <c r="H18" s="74">
        <v>40</v>
      </c>
      <c r="I18" s="74">
        <v>1700</v>
      </c>
      <c r="J18" s="74">
        <v>2000</v>
      </c>
      <c r="K18" s="74">
        <v>2100</v>
      </c>
    </row>
    <row r="19" spans="1:11" ht="12.75">
      <c r="A19" s="74">
        <v>32</v>
      </c>
      <c r="B19" s="74">
        <v>40</v>
      </c>
      <c r="C19" s="74">
        <v>1100</v>
      </c>
      <c r="D19" s="74">
        <v>1400</v>
      </c>
      <c r="E19" s="74">
        <v>1400</v>
      </c>
      <c r="H19" s="74">
        <v>40</v>
      </c>
      <c r="I19" s="74">
        <v>1600</v>
      </c>
      <c r="J19" s="74">
        <v>2000</v>
      </c>
      <c r="K19" s="74">
        <v>2000</v>
      </c>
    </row>
    <row r="20" spans="1:11" ht="12.75">
      <c r="A20" s="74">
        <v>32</v>
      </c>
      <c r="B20" s="74">
        <v>40</v>
      </c>
      <c r="C20" s="74">
        <v>1600</v>
      </c>
      <c r="D20" s="74">
        <v>1900</v>
      </c>
      <c r="E20" s="74">
        <v>2000</v>
      </c>
      <c r="H20" s="74">
        <v>40</v>
      </c>
      <c r="I20" s="74">
        <v>1900</v>
      </c>
      <c r="J20" s="74">
        <v>2200</v>
      </c>
      <c r="K20" s="74">
        <v>2300</v>
      </c>
    </row>
    <row r="21" spans="1:11" ht="12.75">
      <c r="A21" s="74">
        <v>32</v>
      </c>
      <c r="B21" s="74">
        <v>45</v>
      </c>
      <c r="C21" s="74">
        <v>1700</v>
      </c>
      <c r="D21" s="74">
        <v>1900</v>
      </c>
      <c r="E21" s="74">
        <v>2000</v>
      </c>
      <c r="H21" s="74">
        <v>40</v>
      </c>
      <c r="I21" s="74">
        <v>2100</v>
      </c>
      <c r="J21" s="74">
        <v>2500</v>
      </c>
      <c r="K21" s="74">
        <v>2600</v>
      </c>
    </row>
    <row r="22" spans="1:11" ht="12.75">
      <c r="A22" s="74">
        <v>32</v>
      </c>
      <c r="B22" s="74">
        <v>48</v>
      </c>
      <c r="C22" s="74">
        <v>1600</v>
      </c>
      <c r="D22" s="74">
        <v>1900</v>
      </c>
      <c r="E22" s="74">
        <v>1900</v>
      </c>
      <c r="H22" s="74">
        <v>40</v>
      </c>
      <c r="I22" s="74">
        <v>2100</v>
      </c>
      <c r="J22" s="74">
        <v>2500</v>
      </c>
      <c r="K22" s="74">
        <v>2600</v>
      </c>
    </row>
    <row r="23" spans="1:11" ht="12.75">
      <c r="A23" s="74">
        <v>32</v>
      </c>
      <c r="B23" s="74">
        <v>50</v>
      </c>
      <c r="C23" s="74">
        <v>1700</v>
      </c>
      <c r="D23" s="74">
        <v>2100</v>
      </c>
      <c r="E23" s="74">
        <v>2200</v>
      </c>
      <c r="H23" s="74">
        <v>40</v>
      </c>
      <c r="I23" s="74">
        <v>2100</v>
      </c>
      <c r="J23" s="74">
        <v>2500</v>
      </c>
      <c r="K23" s="74">
        <v>2600</v>
      </c>
    </row>
    <row r="24" spans="1:11" ht="12.75">
      <c r="A24" s="74">
        <v>32</v>
      </c>
      <c r="B24" s="74">
        <v>65</v>
      </c>
      <c r="C24" s="74">
        <v>1600</v>
      </c>
      <c r="D24" s="74">
        <v>1900</v>
      </c>
      <c r="E24" s="74">
        <v>2000</v>
      </c>
      <c r="H24" s="74">
        <v>40</v>
      </c>
      <c r="I24" s="74">
        <v>2000</v>
      </c>
      <c r="J24" s="74">
        <v>2400</v>
      </c>
      <c r="K24" s="74">
        <v>2500</v>
      </c>
    </row>
    <row r="25" spans="1:11" ht="12.75">
      <c r="A25" s="74">
        <v>32</v>
      </c>
      <c r="B25" s="74">
        <v>65</v>
      </c>
      <c r="C25" s="74">
        <v>1800</v>
      </c>
      <c r="D25" s="74">
        <v>2200</v>
      </c>
      <c r="E25" s="74">
        <v>2200</v>
      </c>
      <c r="H25" s="74">
        <v>40</v>
      </c>
      <c r="I25" s="74">
        <v>1800</v>
      </c>
      <c r="J25" s="74">
        <v>2300</v>
      </c>
      <c r="K25" s="74">
        <v>2200</v>
      </c>
    </row>
    <row r="26" spans="1:11" ht="12.75">
      <c r="A26" s="74">
        <v>32</v>
      </c>
      <c r="B26" s="74">
        <v>65</v>
      </c>
      <c r="C26" s="74">
        <v>1600</v>
      </c>
      <c r="D26" s="74">
        <v>2000</v>
      </c>
      <c r="E26" s="74">
        <v>2100</v>
      </c>
      <c r="H26" s="74">
        <v>40</v>
      </c>
      <c r="I26" s="74">
        <v>1600</v>
      </c>
      <c r="J26" s="74">
        <v>1900</v>
      </c>
      <c r="K26" s="74">
        <v>2000</v>
      </c>
    </row>
    <row r="27" spans="1:11" ht="12.75">
      <c r="A27" s="74">
        <v>32</v>
      </c>
      <c r="B27" s="74">
        <v>80</v>
      </c>
      <c r="C27" s="74">
        <v>1600</v>
      </c>
      <c r="D27" s="74">
        <v>1900</v>
      </c>
      <c r="E27" s="74">
        <v>2000</v>
      </c>
      <c r="H27" s="74">
        <v>40</v>
      </c>
      <c r="I27" s="74">
        <v>2200</v>
      </c>
      <c r="J27" s="74">
        <v>2600</v>
      </c>
      <c r="K27" s="74">
        <v>2700</v>
      </c>
    </row>
    <row r="28" spans="1:11" ht="12.75">
      <c r="A28" s="74">
        <v>32</v>
      </c>
      <c r="B28" s="74">
        <v>80</v>
      </c>
      <c r="C28" s="74">
        <v>1800</v>
      </c>
      <c r="D28" s="74">
        <v>2200</v>
      </c>
      <c r="E28" s="74">
        <v>2200</v>
      </c>
      <c r="H28" s="74">
        <v>40</v>
      </c>
      <c r="I28" s="74">
        <v>2000</v>
      </c>
      <c r="J28" s="74">
        <v>2500</v>
      </c>
      <c r="K28" s="74">
        <v>2600</v>
      </c>
    </row>
    <row r="29" spans="1:11" ht="12.75">
      <c r="A29" s="74">
        <v>32</v>
      </c>
      <c r="B29" s="74">
        <v>80</v>
      </c>
      <c r="C29" s="74">
        <v>1800</v>
      </c>
      <c r="D29" s="74">
        <v>2100</v>
      </c>
      <c r="E29" s="74">
        <v>2200</v>
      </c>
      <c r="H29" s="74">
        <v>40</v>
      </c>
      <c r="I29" s="74">
        <v>2200</v>
      </c>
      <c r="J29" s="74">
        <v>2500</v>
      </c>
      <c r="K29" s="74">
        <v>2600</v>
      </c>
    </row>
    <row r="30" spans="1:11" ht="12.75">
      <c r="A30" s="74">
        <v>32</v>
      </c>
      <c r="B30" s="74">
        <v>80</v>
      </c>
      <c r="C30" s="74">
        <v>1800</v>
      </c>
      <c r="D30" s="74">
        <v>2100</v>
      </c>
      <c r="E30" s="74">
        <v>2200</v>
      </c>
      <c r="H30" s="74">
        <v>40</v>
      </c>
      <c r="I30" s="74">
        <v>2000</v>
      </c>
      <c r="J30" s="74">
        <v>2400</v>
      </c>
      <c r="K30" s="74">
        <v>2500</v>
      </c>
    </row>
    <row r="31" spans="1:11" ht="12.75">
      <c r="A31" s="74">
        <v>33</v>
      </c>
      <c r="B31" s="74">
        <v>39</v>
      </c>
      <c r="C31" s="74">
        <v>1400</v>
      </c>
      <c r="D31" s="74">
        <v>1500</v>
      </c>
      <c r="E31" s="74">
        <v>1700</v>
      </c>
      <c r="H31" s="74">
        <v>41</v>
      </c>
      <c r="I31" s="74">
        <v>2100</v>
      </c>
      <c r="J31" s="74">
        <v>2500</v>
      </c>
      <c r="K31" s="74">
        <v>2600</v>
      </c>
    </row>
    <row r="32" spans="1:11" ht="12.75">
      <c r="A32" s="74">
        <v>33</v>
      </c>
      <c r="B32" s="74">
        <v>48</v>
      </c>
      <c r="C32" s="74">
        <v>2300</v>
      </c>
      <c r="D32" s="74">
        <v>2700</v>
      </c>
      <c r="E32" s="74">
        <v>2800</v>
      </c>
      <c r="H32" s="74">
        <v>41</v>
      </c>
      <c r="I32" s="74">
        <v>2200</v>
      </c>
      <c r="J32" s="74">
        <v>2600</v>
      </c>
      <c r="K32" s="74">
        <v>2700</v>
      </c>
    </row>
    <row r="33" spans="1:11" ht="12.75">
      <c r="A33" s="74">
        <v>33</v>
      </c>
      <c r="B33" s="74">
        <v>50</v>
      </c>
      <c r="C33" s="74">
        <v>1400</v>
      </c>
      <c r="D33" s="74">
        <v>1600</v>
      </c>
      <c r="E33" s="74">
        <v>1700</v>
      </c>
      <c r="H33" s="74">
        <v>41</v>
      </c>
      <c r="I33" s="74">
        <v>1500</v>
      </c>
      <c r="J33" s="74">
        <v>1900</v>
      </c>
      <c r="K33" s="74">
        <v>1900</v>
      </c>
    </row>
    <row r="34" spans="1:11" ht="12.75">
      <c r="A34" s="74">
        <v>33</v>
      </c>
      <c r="B34" s="74">
        <v>80</v>
      </c>
      <c r="C34" s="74">
        <v>1200</v>
      </c>
      <c r="D34" s="74">
        <v>1500</v>
      </c>
      <c r="E34" s="74">
        <v>1600</v>
      </c>
      <c r="H34" s="74">
        <v>43</v>
      </c>
      <c r="I34" s="74">
        <v>1100</v>
      </c>
      <c r="J34" s="74">
        <v>1600</v>
      </c>
      <c r="K34" s="74">
        <v>1500</v>
      </c>
    </row>
    <row r="35" spans="1:11" ht="12.75">
      <c r="A35" s="74">
        <v>33</v>
      </c>
      <c r="B35" s="74">
        <v>80</v>
      </c>
      <c r="C35" s="74">
        <v>1200</v>
      </c>
      <c r="D35" s="74">
        <v>1400</v>
      </c>
      <c r="E35" s="74">
        <v>1500</v>
      </c>
      <c r="H35" s="74">
        <v>43</v>
      </c>
      <c r="I35" s="74">
        <v>1600</v>
      </c>
      <c r="J35" s="74">
        <v>2000</v>
      </c>
      <c r="K35" s="74">
        <v>2100</v>
      </c>
    </row>
    <row r="36" spans="1:11" ht="12.75">
      <c r="A36" s="74">
        <v>36</v>
      </c>
      <c r="B36" s="74">
        <v>42</v>
      </c>
      <c r="C36" s="74">
        <v>1900</v>
      </c>
      <c r="D36" s="74">
        <v>2200</v>
      </c>
      <c r="E36" s="74">
        <v>2300</v>
      </c>
      <c r="H36" s="74">
        <v>48</v>
      </c>
      <c r="I36" s="74">
        <v>2200</v>
      </c>
      <c r="J36" s="74">
        <v>2700</v>
      </c>
      <c r="K36" s="74">
        <v>2900</v>
      </c>
    </row>
    <row r="37" spans="1:11" ht="12.75">
      <c r="A37" s="74">
        <v>36</v>
      </c>
      <c r="B37" s="74">
        <v>42</v>
      </c>
      <c r="C37" s="74">
        <v>2000</v>
      </c>
      <c r="D37" s="74">
        <v>2300</v>
      </c>
      <c r="E37" s="74">
        <v>2400</v>
      </c>
      <c r="H37" s="74">
        <v>48</v>
      </c>
      <c r="I37" s="74">
        <v>2500</v>
      </c>
      <c r="J37" s="74">
        <v>2800</v>
      </c>
      <c r="K37" s="74">
        <v>3000</v>
      </c>
    </row>
    <row r="38" spans="1:11" ht="12.75">
      <c r="A38" s="74">
        <v>40</v>
      </c>
      <c r="B38" s="74">
        <v>48</v>
      </c>
      <c r="C38" s="74">
        <v>1800</v>
      </c>
      <c r="D38" s="74">
        <v>2200</v>
      </c>
      <c r="E38" s="74">
        <v>2200</v>
      </c>
      <c r="H38" s="74">
        <v>48</v>
      </c>
      <c r="I38" s="74">
        <v>2600</v>
      </c>
      <c r="J38" s="74">
        <v>3100</v>
      </c>
      <c r="K38" s="74">
        <v>3300</v>
      </c>
    </row>
    <row r="39" spans="1:11" ht="12.75">
      <c r="A39" s="74">
        <v>40</v>
      </c>
      <c r="B39" s="74">
        <v>50</v>
      </c>
      <c r="C39" s="74">
        <v>1700</v>
      </c>
      <c r="D39" s="74">
        <v>2100</v>
      </c>
      <c r="E39" s="74">
        <v>2200</v>
      </c>
      <c r="H39" s="74">
        <v>48</v>
      </c>
      <c r="I39" s="74">
        <v>2400</v>
      </c>
      <c r="J39" s="74">
        <v>2800</v>
      </c>
      <c r="K39" s="74">
        <v>2900</v>
      </c>
    </row>
    <row r="40" spans="1:11" ht="12.75">
      <c r="A40" s="74">
        <v>40</v>
      </c>
      <c r="B40" s="74">
        <v>50</v>
      </c>
      <c r="C40" s="74">
        <v>2000</v>
      </c>
      <c r="D40" s="74">
        <v>2400</v>
      </c>
      <c r="E40" s="74">
        <v>2500</v>
      </c>
      <c r="H40" s="74">
        <v>48</v>
      </c>
      <c r="I40" s="74">
        <v>2200</v>
      </c>
      <c r="J40" s="74">
        <v>2600</v>
      </c>
      <c r="K40" s="74">
        <v>2700</v>
      </c>
    </row>
    <row r="41" spans="1:11" ht="12.75">
      <c r="A41" s="74">
        <v>40</v>
      </c>
      <c r="B41" s="74">
        <v>60</v>
      </c>
      <c r="C41" s="74">
        <v>1700</v>
      </c>
      <c r="D41" s="74">
        <v>2100</v>
      </c>
      <c r="E41" s="74">
        <v>2200</v>
      </c>
      <c r="H41" s="74">
        <v>54</v>
      </c>
      <c r="I41" s="74">
        <v>2300</v>
      </c>
      <c r="J41" s="74">
        <v>2700</v>
      </c>
      <c r="K41" s="74">
        <v>2800</v>
      </c>
    </row>
    <row r="42" spans="1:11" ht="12.75">
      <c r="A42" s="74">
        <v>40</v>
      </c>
      <c r="B42" s="74">
        <v>64</v>
      </c>
      <c r="C42" s="74">
        <v>1800</v>
      </c>
      <c r="D42" s="74">
        <v>2000</v>
      </c>
      <c r="E42" s="74">
        <v>2200</v>
      </c>
      <c r="H42" s="74">
        <v>54</v>
      </c>
      <c r="I42" s="74">
        <v>2400</v>
      </c>
      <c r="J42" s="74">
        <v>2800</v>
      </c>
      <c r="K42" s="74">
        <v>2900</v>
      </c>
    </row>
    <row r="43" spans="1:11" ht="12.75">
      <c r="A43" s="74">
        <v>40</v>
      </c>
      <c r="B43" s="74">
        <v>65</v>
      </c>
      <c r="C43" s="74">
        <v>1300</v>
      </c>
      <c r="D43" s="74">
        <v>1700</v>
      </c>
      <c r="E43" s="74">
        <v>1700</v>
      </c>
      <c r="H43" s="74">
        <v>54</v>
      </c>
      <c r="I43" s="74">
        <v>2000</v>
      </c>
      <c r="J43" s="74">
        <v>2400</v>
      </c>
      <c r="K43" s="74">
        <v>2500</v>
      </c>
    </row>
    <row r="44" spans="1:11" ht="12.75">
      <c r="A44" s="74">
        <v>40</v>
      </c>
      <c r="B44" s="74">
        <v>80</v>
      </c>
      <c r="C44" s="74">
        <v>1700</v>
      </c>
      <c r="D44" s="74">
        <v>2000</v>
      </c>
      <c r="E44" s="74">
        <v>2100</v>
      </c>
      <c r="H44" s="74">
        <v>54</v>
      </c>
      <c r="I44" s="74">
        <v>2000</v>
      </c>
      <c r="J44" s="74">
        <v>2500</v>
      </c>
      <c r="K44" s="74">
        <v>2500</v>
      </c>
    </row>
    <row r="45" spans="1:11" ht="12.75">
      <c r="A45" s="74">
        <v>40</v>
      </c>
      <c r="B45" s="74">
        <v>80</v>
      </c>
      <c r="C45" s="74">
        <v>1500</v>
      </c>
      <c r="D45" s="74">
        <v>1800</v>
      </c>
      <c r="E45" s="74">
        <v>1900</v>
      </c>
      <c r="H45" s="74">
        <v>64</v>
      </c>
      <c r="I45" s="74">
        <v>2300</v>
      </c>
      <c r="J45" s="74">
        <v>2600</v>
      </c>
      <c r="K45" s="74">
        <v>2800</v>
      </c>
    </row>
    <row r="46" spans="1:11" ht="12.75">
      <c r="A46" s="74">
        <v>40</v>
      </c>
      <c r="B46" s="74">
        <v>80</v>
      </c>
      <c r="C46" s="74">
        <v>1400</v>
      </c>
      <c r="D46" s="74">
        <v>1700</v>
      </c>
      <c r="E46" s="74">
        <v>1800</v>
      </c>
      <c r="H46" s="74">
        <v>64</v>
      </c>
      <c r="I46" s="74">
        <v>2200</v>
      </c>
      <c r="J46" s="74">
        <v>2500</v>
      </c>
      <c r="K46" s="74">
        <v>2700</v>
      </c>
    </row>
    <row r="47" spans="1:11" ht="12.75">
      <c r="A47" s="74">
        <v>40</v>
      </c>
      <c r="B47" s="74">
        <v>80</v>
      </c>
      <c r="C47" s="74">
        <v>1900</v>
      </c>
      <c r="D47" s="74">
        <v>2200</v>
      </c>
      <c r="E47" s="74">
        <v>2400</v>
      </c>
      <c r="H47" s="74">
        <v>64</v>
      </c>
      <c r="I47" s="74">
        <v>2500</v>
      </c>
      <c r="J47" s="74">
        <v>2800</v>
      </c>
      <c r="K47" s="74">
        <v>3000</v>
      </c>
    </row>
    <row r="48" spans="1:11" ht="12.75">
      <c r="A48" s="74">
        <v>40</v>
      </c>
      <c r="B48" s="74">
        <v>80</v>
      </c>
      <c r="C48" s="74">
        <v>1800</v>
      </c>
      <c r="D48" s="74">
        <v>2300</v>
      </c>
      <c r="E48" s="74">
        <v>2400</v>
      </c>
      <c r="H48" s="74">
        <v>64</v>
      </c>
      <c r="I48" s="74">
        <v>2200</v>
      </c>
      <c r="J48" s="74">
        <v>2600</v>
      </c>
      <c r="K48" s="74">
        <v>2700</v>
      </c>
    </row>
    <row r="49" spans="1:11" ht="12.75">
      <c r="A49" s="74">
        <v>40</v>
      </c>
      <c r="B49" s="74">
        <v>80</v>
      </c>
      <c r="C49" s="74">
        <v>2100</v>
      </c>
      <c r="D49" s="74">
        <v>2400</v>
      </c>
      <c r="E49" s="74">
        <v>2600</v>
      </c>
      <c r="H49" s="74">
        <v>64</v>
      </c>
      <c r="I49" s="74">
        <v>2800</v>
      </c>
      <c r="J49" s="74">
        <v>3100</v>
      </c>
      <c r="K49" s="74">
        <v>3300</v>
      </c>
    </row>
    <row r="50" spans="1:11" ht="12.75">
      <c r="A50" s="74">
        <v>40</v>
      </c>
      <c r="B50" s="74">
        <v>80</v>
      </c>
      <c r="C50" s="74">
        <v>1900</v>
      </c>
      <c r="D50" s="74">
        <v>2300</v>
      </c>
      <c r="E50" s="74">
        <v>2400</v>
      </c>
      <c r="H50" s="74">
        <v>64</v>
      </c>
      <c r="I50" s="74">
        <v>2500</v>
      </c>
      <c r="J50" s="74">
        <v>3000</v>
      </c>
      <c r="K50" s="74">
        <v>3200</v>
      </c>
    </row>
    <row r="51" spans="1:11" ht="12.75">
      <c r="A51" s="74">
        <v>40</v>
      </c>
      <c r="B51" s="74">
        <v>80</v>
      </c>
      <c r="C51" s="74">
        <v>2000</v>
      </c>
      <c r="D51" s="74">
        <v>2400</v>
      </c>
      <c r="E51" s="74">
        <v>2500</v>
      </c>
      <c r="H51" s="74">
        <v>64</v>
      </c>
      <c r="I51" s="74">
        <v>2700</v>
      </c>
      <c r="J51" s="74">
        <v>3000</v>
      </c>
      <c r="K51" s="74">
        <v>3300</v>
      </c>
    </row>
    <row r="52" spans="1:11" ht="12.75">
      <c r="A52" s="74">
        <v>40</v>
      </c>
      <c r="B52" s="74">
        <v>80</v>
      </c>
      <c r="C52" s="74">
        <v>1800</v>
      </c>
      <c r="D52" s="74">
        <v>2200</v>
      </c>
      <c r="E52" s="74">
        <v>2300</v>
      </c>
      <c r="H52" s="74">
        <v>64</v>
      </c>
      <c r="I52" s="74">
        <v>2500</v>
      </c>
      <c r="J52" s="74">
        <v>2900</v>
      </c>
      <c r="K52" s="74">
        <v>3100</v>
      </c>
    </row>
    <row r="53" spans="1:11" ht="12.75">
      <c r="A53" s="74">
        <v>41</v>
      </c>
      <c r="B53" s="74">
        <v>48</v>
      </c>
      <c r="C53" s="74">
        <v>2500</v>
      </c>
      <c r="D53" s="74">
        <v>2800</v>
      </c>
      <c r="E53" s="74">
        <v>3000</v>
      </c>
      <c r="H53" s="74">
        <v>65</v>
      </c>
      <c r="I53" s="74">
        <v>2100</v>
      </c>
      <c r="J53" s="74">
        <v>2500</v>
      </c>
      <c r="K53" s="74">
        <v>2600</v>
      </c>
    </row>
    <row r="54" spans="1:11" ht="12.75">
      <c r="A54" s="74">
        <v>43</v>
      </c>
      <c r="B54" s="74">
        <v>80</v>
      </c>
      <c r="C54" s="74">
        <v>1700</v>
      </c>
      <c r="D54" s="74">
        <v>2000</v>
      </c>
      <c r="E54" s="74">
        <v>2100</v>
      </c>
      <c r="H54" s="74">
        <v>66</v>
      </c>
      <c r="I54" s="74">
        <v>2200</v>
      </c>
      <c r="J54" s="74">
        <v>2500</v>
      </c>
      <c r="K54" s="74">
        <v>2700</v>
      </c>
    </row>
    <row r="55" spans="1:11" ht="12.75">
      <c r="A55" s="74">
        <v>43</v>
      </c>
      <c r="B55" s="74">
        <v>80</v>
      </c>
      <c r="C55" s="74">
        <v>2000</v>
      </c>
      <c r="D55" s="74">
        <v>2300</v>
      </c>
      <c r="E55" s="74">
        <v>2500</v>
      </c>
      <c r="H55" s="74">
        <v>80</v>
      </c>
      <c r="I55" s="74">
        <v>2500</v>
      </c>
      <c r="J55" s="74">
        <v>2800</v>
      </c>
      <c r="K55" s="74">
        <v>3000</v>
      </c>
    </row>
    <row r="56" spans="1:11" ht="12.75">
      <c r="A56" s="74">
        <v>47</v>
      </c>
      <c r="B56" s="74">
        <v>60</v>
      </c>
      <c r="C56" s="74">
        <v>1400</v>
      </c>
      <c r="D56" s="74">
        <v>1700</v>
      </c>
      <c r="E56" s="74">
        <v>1800</v>
      </c>
      <c r="H56" s="74">
        <v>80</v>
      </c>
      <c r="I56" s="74">
        <v>2400</v>
      </c>
      <c r="J56" s="74">
        <v>2700</v>
      </c>
      <c r="K56" s="74">
        <v>3000</v>
      </c>
    </row>
    <row r="57" spans="1:11" ht="12.75">
      <c r="A57" s="74">
        <v>48</v>
      </c>
      <c r="B57" s="74">
        <v>80</v>
      </c>
      <c r="C57" s="74">
        <v>2000</v>
      </c>
      <c r="D57" s="74">
        <v>2500</v>
      </c>
      <c r="E57" s="74">
        <v>2600</v>
      </c>
      <c r="H57" s="74">
        <v>80</v>
      </c>
      <c r="I57" s="74">
        <v>2300</v>
      </c>
      <c r="J57" s="74">
        <v>2800</v>
      </c>
      <c r="K57" s="74">
        <v>2900</v>
      </c>
    </row>
    <row r="58" spans="1:11" ht="12.75">
      <c r="A58" s="74">
        <v>48</v>
      </c>
      <c r="B58" s="74">
        <v>80</v>
      </c>
      <c r="C58" s="74">
        <v>2300</v>
      </c>
      <c r="D58" s="74">
        <v>2700</v>
      </c>
      <c r="E58" s="74">
        <v>2800</v>
      </c>
      <c r="H58" s="74">
        <v>80</v>
      </c>
      <c r="I58" s="74">
        <v>2100</v>
      </c>
      <c r="J58" s="74">
        <v>2400</v>
      </c>
      <c r="K58" s="74">
        <v>2600</v>
      </c>
    </row>
    <row r="59" spans="1:11" ht="12.75">
      <c r="A59" s="74">
        <v>48</v>
      </c>
      <c r="B59" s="74">
        <v>80</v>
      </c>
      <c r="C59" s="74">
        <v>2100</v>
      </c>
      <c r="D59" s="74">
        <v>2500</v>
      </c>
      <c r="E59" s="74">
        <v>2700</v>
      </c>
      <c r="H59" s="74">
        <v>80</v>
      </c>
      <c r="I59" s="74">
        <v>3000</v>
      </c>
      <c r="J59" s="74">
        <v>3300</v>
      </c>
      <c r="K59" s="74">
        <v>3500</v>
      </c>
    </row>
    <row r="60" spans="1:11" ht="12.75">
      <c r="A60" s="74">
        <v>48</v>
      </c>
      <c r="B60" s="74">
        <v>80</v>
      </c>
      <c r="C60" s="74">
        <v>2300</v>
      </c>
      <c r="D60" s="74">
        <v>2600</v>
      </c>
      <c r="E60" s="74">
        <v>2800</v>
      </c>
      <c r="H60" s="74">
        <v>80</v>
      </c>
      <c r="I60" s="74">
        <v>2700</v>
      </c>
      <c r="J60" s="74">
        <v>3100</v>
      </c>
      <c r="K60" s="74">
        <v>3400</v>
      </c>
    </row>
    <row r="61" spans="1:11" ht="12.75">
      <c r="A61" s="74">
        <v>48</v>
      </c>
      <c r="B61" s="74">
        <v>80</v>
      </c>
      <c r="C61" s="74">
        <v>2000</v>
      </c>
      <c r="D61" s="74">
        <v>2500</v>
      </c>
      <c r="E61" s="74">
        <v>2600</v>
      </c>
      <c r="H61" s="74">
        <v>80</v>
      </c>
      <c r="I61" s="74">
        <v>2900</v>
      </c>
      <c r="J61" s="74">
        <v>3200</v>
      </c>
      <c r="K61" s="74">
        <v>3500</v>
      </c>
    </row>
    <row r="62" spans="1:11" ht="12.75">
      <c r="A62" s="74">
        <v>49</v>
      </c>
      <c r="B62" s="74">
        <v>80</v>
      </c>
      <c r="C62" s="74">
        <v>2000</v>
      </c>
      <c r="D62" s="74">
        <v>2400</v>
      </c>
      <c r="E62" s="74">
        <v>2500</v>
      </c>
      <c r="H62" s="74">
        <v>80</v>
      </c>
      <c r="I62" s="74">
        <v>2600</v>
      </c>
      <c r="J62" s="74">
        <v>3100</v>
      </c>
      <c r="K62" s="74">
        <v>3300</v>
      </c>
    </row>
    <row r="63" spans="1:5" ht="12.75">
      <c r="A63" s="74">
        <v>50</v>
      </c>
      <c r="B63" s="74">
        <v>84</v>
      </c>
      <c r="C63" s="74">
        <v>2000</v>
      </c>
      <c r="D63" s="74">
        <v>2200</v>
      </c>
      <c r="E63" s="74">
        <v>2400</v>
      </c>
    </row>
    <row r="64" spans="1:5" ht="12.75">
      <c r="A64" s="74">
        <v>54</v>
      </c>
      <c r="B64" s="74">
        <v>80</v>
      </c>
      <c r="C64" s="74">
        <v>2200</v>
      </c>
      <c r="D64" s="74">
        <v>2500</v>
      </c>
      <c r="E64" s="74">
        <v>2700</v>
      </c>
    </row>
    <row r="65" spans="1:5" ht="12.75">
      <c r="A65" s="74">
        <v>54</v>
      </c>
      <c r="B65" s="74">
        <v>80</v>
      </c>
      <c r="C65" s="74">
        <v>2200</v>
      </c>
      <c r="D65" s="74">
        <v>2600</v>
      </c>
      <c r="E65" s="74">
        <v>2800</v>
      </c>
    </row>
    <row r="66" spans="1:5" ht="12.75">
      <c r="A66" s="74">
        <v>60</v>
      </c>
      <c r="B66" s="74">
        <v>50</v>
      </c>
      <c r="C66" s="74">
        <v>2100</v>
      </c>
      <c r="D66" s="74">
        <v>2600</v>
      </c>
      <c r="E66" s="74">
        <v>2700</v>
      </c>
    </row>
    <row r="67" spans="1:5" ht="12.75">
      <c r="A67" s="74">
        <v>60</v>
      </c>
      <c r="B67" s="74">
        <v>80</v>
      </c>
      <c r="C67" s="74">
        <v>2300</v>
      </c>
      <c r="D67" s="74">
        <v>2800</v>
      </c>
      <c r="E67" s="74">
        <v>2900</v>
      </c>
    </row>
    <row r="68" spans="1:5" ht="12.75">
      <c r="A68" s="74">
        <v>60</v>
      </c>
      <c r="B68" s="74">
        <v>80</v>
      </c>
      <c r="C68" s="74">
        <v>2100</v>
      </c>
      <c r="D68" s="74">
        <v>2500</v>
      </c>
      <c r="E68" s="74">
        <v>2600</v>
      </c>
    </row>
    <row r="69" spans="1:5" ht="12.75">
      <c r="A69" s="74">
        <v>63</v>
      </c>
      <c r="B69" s="74">
        <v>48</v>
      </c>
      <c r="C69" s="74">
        <v>2300</v>
      </c>
      <c r="D69" s="74">
        <v>2600</v>
      </c>
      <c r="E69" s="74">
        <v>2700</v>
      </c>
    </row>
    <row r="70" spans="1:5" ht="12.75">
      <c r="A70" s="74">
        <v>64</v>
      </c>
      <c r="B70" s="74">
        <v>48</v>
      </c>
      <c r="C70" s="74">
        <v>2300</v>
      </c>
      <c r="D70" s="74">
        <v>2600</v>
      </c>
      <c r="E70" s="74">
        <v>2800</v>
      </c>
    </row>
    <row r="71" spans="1:5" ht="12.75">
      <c r="A71" s="74">
        <v>64</v>
      </c>
      <c r="B71" s="74">
        <v>80</v>
      </c>
      <c r="C71" s="74">
        <v>2000</v>
      </c>
      <c r="D71" s="74">
        <v>2400</v>
      </c>
      <c r="E71" s="74">
        <v>2600</v>
      </c>
    </row>
    <row r="72" spans="1:5" ht="12.75">
      <c r="A72" s="74">
        <v>64</v>
      </c>
      <c r="B72" s="74">
        <v>80</v>
      </c>
      <c r="C72" s="74">
        <v>2000</v>
      </c>
      <c r="D72" s="74">
        <v>2300</v>
      </c>
      <c r="E72" s="74">
        <v>2500</v>
      </c>
    </row>
    <row r="73" spans="1:5" ht="12.75">
      <c r="A73" s="74">
        <v>64</v>
      </c>
      <c r="B73" s="74">
        <v>80</v>
      </c>
      <c r="C73" s="74">
        <v>2400</v>
      </c>
      <c r="D73" s="74">
        <v>2700</v>
      </c>
      <c r="E73" s="74">
        <v>2900</v>
      </c>
    </row>
    <row r="74" spans="1:5" ht="12.75">
      <c r="A74" s="74">
        <v>64</v>
      </c>
      <c r="B74" s="74">
        <v>80</v>
      </c>
      <c r="C74" s="74">
        <v>2600</v>
      </c>
      <c r="D74" s="74">
        <v>3000</v>
      </c>
      <c r="E74" s="74">
        <v>3200</v>
      </c>
    </row>
    <row r="75" spans="1:5" ht="12.75">
      <c r="A75" s="74">
        <v>64</v>
      </c>
      <c r="B75" s="74">
        <v>80</v>
      </c>
      <c r="C75" s="74">
        <v>2400</v>
      </c>
      <c r="D75" s="74">
        <v>2800</v>
      </c>
      <c r="E75" s="74">
        <v>3000</v>
      </c>
    </row>
    <row r="76" spans="1:5" ht="12.75">
      <c r="A76" s="74">
        <v>64</v>
      </c>
      <c r="B76" s="74">
        <v>80</v>
      </c>
      <c r="C76" s="74">
        <v>2600</v>
      </c>
      <c r="D76" s="74">
        <v>2900</v>
      </c>
      <c r="E76" s="74">
        <v>3100</v>
      </c>
    </row>
    <row r="77" spans="1:5" ht="12.75">
      <c r="A77" s="74">
        <v>64</v>
      </c>
      <c r="B77" s="74">
        <v>80</v>
      </c>
      <c r="C77" s="74">
        <v>2300</v>
      </c>
      <c r="D77" s="74">
        <v>2800</v>
      </c>
      <c r="E77" s="74">
        <v>2900</v>
      </c>
    </row>
    <row r="78" spans="1:5" ht="12.75">
      <c r="A78" s="74">
        <v>64</v>
      </c>
      <c r="B78" s="74">
        <v>120</v>
      </c>
      <c r="C78" s="74">
        <v>2500</v>
      </c>
      <c r="D78" s="74">
        <v>2800</v>
      </c>
      <c r="E78" s="74">
        <v>3000</v>
      </c>
    </row>
    <row r="79" spans="1:5" ht="12.75">
      <c r="A79" s="74">
        <v>64</v>
      </c>
      <c r="B79" s="74">
        <v>120</v>
      </c>
      <c r="C79" s="74">
        <v>2400</v>
      </c>
      <c r="D79" s="74">
        <v>2800</v>
      </c>
      <c r="E79" s="74">
        <v>3000</v>
      </c>
    </row>
    <row r="80" spans="1:5" ht="12.75">
      <c r="A80" s="74">
        <v>65</v>
      </c>
      <c r="B80" s="74">
        <v>80</v>
      </c>
      <c r="C80" s="74">
        <v>1600</v>
      </c>
      <c r="D80" s="74">
        <v>2000</v>
      </c>
      <c r="E80" s="74">
        <v>2000</v>
      </c>
    </row>
    <row r="81" spans="1:5" ht="12.75">
      <c r="A81" s="74">
        <v>65</v>
      </c>
      <c r="B81" s="74">
        <v>80</v>
      </c>
      <c r="C81" s="74">
        <v>1800</v>
      </c>
      <c r="D81" s="74">
        <v>2200</v>
      </c>
      <c r="E81" s="74">
        <v>2300</v>
      </c>
    </row>
    <row r="82" spans="1:5" ht="12.75">
      <c r="A82" s="74">
        <v>66</v>
      </c>
      <c r="B82" s="74">
        <v>80</v>
      </c>
      <c r="C82" s="74">
        <v>2500</v>
      </c>
      <c r="D82" s="74">
        <v>2800</v>
      </c>
      <c r="E82" s="74">
        <v>3000</v>
      </c>
    </row>
    <row r="83" spans="1:5" ht="12.75">
      <c r="A83" s="74">
        <v>80</v>
      </c>
      <c r="B83" s="74">
        <v>80</v>
      </c>
      <c r="C83" s="74">
        <v>2400</v>
      </c>
      <c r="D83" s="74">
        <v>2700</v>
      </c>
      <c r="E83" s="74">
        <v>2900</v>
      </c>
    </row>
    <row r="84" spans="1:5" ht="12.75">
      <c r="A84" s="74">
        <v>80</v>
      </c>
      <c r="B84" s="74">
        <v>80</v>
      </c>
      <c r="C84" s="74">
        <v>2300</v>
      </c>
      <c r="D84" s="74">
        <v>2600</v>
      </c>
      <c r="E84" s="74">
        <v>2800</v>
      </c>
    </row>
    <row r="85" spans="1:5" ht="12.75">
      <c r="A85" s="74">
        <v>80</v>
      </c>
      <c r="B85" s="74">
        <v>80</v>
      </c>
      <c r="C85" s="74">
        <v>2200</v>
      </c>
      <c r="D85" s="74">
        <v>2500</v>
      </c>
      <c r="E85" s="74">
        <v>2700</v>
      </c>
    </row>
    <row r="86" spans="1:5" ht="12.75">
      <c r="A86" s="74">
        <v>80</v>
      </c>
      <c r="B86" s="74">
        <v>80</v>
      </c>
      <c r="C86" s="74">
        <v>2800</v>
      </c>
      <c r="D86" s="74">
        <v>3100</v>
      </c>
      <c r="E86" s="74">
        <v>3400</v>
      </c>
    </row>
    <row r="87" spans="1:5" ht="12.75">
      <c r="A87" s="74">
        <v>80</v>
      </c>
      <c r="B87" s="74">
        <v>80</v>
      </c>
      <c r="C87" s="74">
        <v>2600</v>
      </c>
      <c r="D87" s="74">
        <v>3000</v>
      </c>
      <c r="E87" s="74">
        <v>3200</v>
      </c>
    </row>
    <row r="88" spans="1:5" ht="12.75">
      <c r="A88" s="74">
        <v>80</v>
      </c>
      <c r="B88" s="74">
        <v>80</v>
      </c>
      <c r="C88" s="74">
        <v>2800</v>
      </c>
      <c r="D88" s="74">
        <v>3100</v>
      </c>
      <c r="E88" s="74">
        <v>3300</v>
      </c>
    </row>
    <row r="89" spans="1:5" ht="12.75">
      <c r="A89" s="74">
        <v>80</v>
      </c>
      <c r="B89" s="74">
        <v>80</v>
      </c>
      <c r="C89" s="74">
        <v>2500</v>
      </c>
      <c r="D89" s="74">
        <v>2900</v>
      </c>
      <c r="E89" s="74">
        <v>3200</v>
      </c>
    </row>
    <row r="90" spans="1:5" ht="12.75">
      <c r="A90" s="74">
        <v>80</v>
      </c>
      <c r="B90" s="74">
        <v>100</v>
      </c>
      <c r="C90" s="74">
        <v>1800</v>
      </c>
      <c r="D90" s="74">
        <v>2100</v>
      </c>
      <c r="E90" s="74">
        <v>2200</v>
      </c>
    </row>
    <row r="91" spans="1:5" ht="12.75">
      <c r="A91" s="74">
        <v>80</v>
      </c>
      <c r="B91" s="74">
        <v>120</v>
      </c>
      <c r="C91" s="74">
        <v>2700</v>
      </c>
      <c r="D91" s="74">
        <v>3000</v>
      </c>
      <c r="E91" s="74">
        <v>3200</v>
      </c>
    </row>
    <row r="92" spans="1:5" ht="12.75">
      <c r="A92" s="74">
        <v>80</v>
      </c>
      <c r="B92" s="74">
        <v>120</v>
      </c>
      <c r="C92" s="74">
        <v>2800</v>
      </c>
      <c r="D92" s="74">
        <v>3100</v>
      </c>
      <c r="E92" s="74">
        <v>3300</v>
      </c>
    </row>
    <row r="93" spans="1:5" ht="12.75">
      <c r="A93" s="74">
        <v>80</v>
      </c>
      <c r="B93" s="74">
        <v>120</v>
      </c>
      <c r="C93" s="74">
        <v>2600</v>
      </c>
      <c r="D93" s="74">
        <v>2900</v>
      </c>
      <c r="E93" s="74">
        <v>3200</v>
      </c>
    </row>
    <row r="94" spans="1:5" ht="12.75">
      <c r="A94" s="74">
        <v>80</v>
      </c>
      <c r="B94" s="74">
        <v>120</v>
      </c>
      <c r="C94" s="74">
        <v>2100</v>
      </c>
      <c r="D94" s="74">
        <v>2400</v>
      </c>
      <c r="E94" s="74">
        <v>2600</v>
      </c>
    </row>
    <row r="95" spans="1:5" ht="12.75">
      <c r="A95" s="74">
        <v>82</v>
      </c>
      <c r="B95" s="74">
        <v>120</v>
      </c>
      <c r="C95" s="74">
        <v>2200</v>
      </c>
      <c r="D95" s="74">
        <v>2500</v>
      </c>
      <c r="E95" s="74">
        <v>2700</v>
      </c>
    </row>
    <row r="98" spans="13:16" ht="12.75">
      <c r="M98" t="s">
        <v>863</v>
      </c>
      <c r="N98" t="s">
        <v>490</v>
      </c>
      <c r="O98" s="296">
        <f>-0.00216*(P98^3)+0.18818*(P98^2)+17.19644*(P98)+966.95779</f>
        <v>1817.66339</v>
      </c>
      <c r="P98">
        <v>40</v>
      </c>
    </row>
    <row r="99" spans="14:16" ht="12.75">
      <c r="N99" t="s">
        <v>491</v>
      </c>
      <c r="O99" s="296">
        <f>-0.00222*(P99^3)+0.07651*(P99^2)+30.46593*(P99)+962.07613</f>
        <v>2161.0493300000003</v>
      </c>
      <c r="P99">
        <v>40</v>
      </c>
    </row>
    <row r="100" spans="14:16" ht="12.75">
      <c r="N100" t="s">
        <v>492</v>
      </c>
      <c r="O100" s="296">
        <f>-0.00228*(P100^3)+0.10247*(P100^2)+30.54288*(P100)+1032.09595</f>
        <v>2271.8431499999997</v>
      </c>
      <c r="P100">
        <v>40</v>
      </c>
    </row>
    <row r="101" spans="13:16" ht="12.75">
      <c r="M101" t="s">
        <v>862</v>
      </c>
      <c r="N101" t="s">
        <v>490</v>
      </c>
      <c r="O101" s="296">
        <f>0.00263*(P101^3)-0.72266*(P101^2)+73.03877*(P101)-3.24391</f>
        <v>1930.3708900000001</v>
      </c>
      <c r="P101">
        <v>40</v>
      </c>
    </row>
    <row r="102" spans="14:16" ht="12.75">
      <c r="N102" t="s">
        <v>491</v>
      </c>
      <c r="O102" s="296">
        <f>0.00641*(P98^3)-1.41011*(P98^2)+112.22935*(P98)-318.98778</f>
        <v>2324.2502200000004</v>
      </c>
      <c r="P102">
        <v>40</v>
      </c>
    </row>
    <row r="103" spans="14:16" ht="12.75">
      <c r="N103" t="s">
        <v>492</v>
      </c>
      <c r="O103" s="296">
        <f>0.0039*(P103^3)-1.00686*(P103^2)+95.84303*(P103)-81.10697</f>
        <v>2391.23823</v>
      </c>
      <c r="P103">
        <v>40</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1"/>
  <dimension ref="A1:Y173"/>
  <sheetViews>
    <sheetView showGridLines="0" workbookViewId="0" topLeftCell="A1">
      <selection activeCell="E2" sqref="E2:I172"/>
    </sheetView>
  </sheetViews>
  <sheetFormatPr defaultColWidth="9.140625" defaultRowHeight="12.75"/>
  <cols>
    <col min="1" max="1" width="4.00390625" style="5" customWidth="1"/>
    <col min="2" max="2" width="18.28125" style="5" bestFit="1" customWidth="1"/>
    <col min="3" max="3" width="28.28125" style="5" bestFit="1" customWidth="1"/>
    <col min="4" max="4" width="9.28125" style="5" bestFit="1" customWidth="1"/>
    <col min="5" max="5" width="8.28125" style="275" bestFit="1" customWidth="1"/>
    <col min="6" max="6" width="9.421875" style="275" bestFit="1" customWidth="1"/>
    <col min="7" max="8" width="9.140625" style="275" customWidth="1"/>
    <col min="9" max="9" width="11.7109375" style="275" customWidth="1"/>
    <col min="10" max="10" width="6.00390625" style="275" bestFit="1" customWidth="1"/>
    <col min="11" max="11" width="16.421875" style="275" customWidth="1"/>
    <col min="12" max="12" width="10.28125" style="275" customWidth="1"/>
    <col min="13" max="15" width="9.140625" style="275" customWidth="1"/>
    <col min="16" max="16" width="9.140625" style="5" customWidth="1"/>
    <col min="17" max="18" width="9.140625" style="275" customWidth="1"/>
    <col min="19" max="19" width="11.7109375" style="275" customWidth="1"/>
    <col min="20" max="16384" width="9.140625" style="5" customWidth="1"/>
  </cols>
  <sheetData>
    <row r="1" spans="1:19" ht="23.25">
      <c r="A1" s="271" t="s">
        <v>475</v>
      </c>
      <c r="B1" s="272"/>
      <c r="C1" s="271"/>
      <c r="D1" s="271"/>
      <c r="E1" s="273"/>
      <c r="F1" s="273"/>
      <c r="G1" s="274"/>
      <c r="H1" s="274"/>
      <c r="I1" s="274"/>
      <c r="K1" s="276" t="s">
        <v>476</v>
      </c>
      <c r="L1" s="274"/>
      <c r="Q1" s="277" t="s">
        <v>477</v>
      </c>
      <c r="R1" s="274"/>
      <c r="S1" s="274"/>
    </row>
    <row r="2" spans="2:21" ht="12.75">
      <c r="B2" s="278" t="s">
        <v>478</v>
      </c>
      <c r="C2" s="278"/>
      <c r="D2" s="278"/>
      <c r="E2" s="279" t="s">
        <v>479</v>
      </c>
      <c r="F2" s="279" t="s">
        <v>480</v>
      </c>
      <c r="G2" s="304" t="s">
        <v>481</v>
      </c>
      <c r="H2" s="304"/>
      <c r="I2" s="304"/>
      <c r="J2" s="279" t="s">
        <v>482</v>
      </c>
      <c r="L2" s="279" t="s">
        <v>483</v>
      </c>
      <c r="M2" s="305" t="s">
        <v>484</v>
      </c>
      <c r="N2" s="305"/>
      <c r="O2" s="305"/>
      <c r="Q2" s="304" t="s">
        <v>481</v>
      </c>
      <c r="R2" s="304"/>
      <c r="S2" s="304"/>
      <c r="U2" s="5" t="s">
        <v>485</v>
      </c>
    </row>
    <row r="3" spans="1:21" ht="14.25" thickBot="1">
      <c r="A3" s="280"/>
      <c r="B3" s="281" t="s">
        <v>486</v>
      </c>
      <c r="C3" s="281" t="s">
        <v>487</v>
      </c>
      <c r="D3" s="281" t="s">
        <v>488</v>
      </c>
      <c r="E3" s="282" t="s">
        <v>856</v>
      </c>
      <c r="F3" s="282" t="s">
        <v>489</v>
      </c>
      <c r="G3" s="283" t="s">
        <v>490</v>
      </c>
      <c r="H3" s="283" t="s">
        <v>491</v>
      </c>
      <c r="I3" s="283" t="s">
        <v>492</v>
      </c>
      <c r="J3" s="282" t="s">
        <v>493</v>
      </c>
      <c r="K3" s="282" t="s">
        <v>494</v>
      </c>
      <c r="L3" s="282" t="s">
        <v>495</v>
      </c>
      <c r="M3" s="283" t="s">
        <v>490</v>
      </c>
      <c r="N3" s="283" t="s">
        <v>491</v>
      </c>
      <c r="O3" s="283" t="s">
        <v>492</v>
      </c>
      <c r="Q3" s="283" t="s">
        <v>490</v>
      </c>
      <c r="R3" s="283" t="s">
        <v>491</v>
      </c>
      <c r="S3" s="283" t="s">
        <v>492</v>
      </c>
      <c r="U3" s="5" t="s">
        <v>496</v>
      </c>
    </row>
    <row r="4" spans="1:19" ht="13.5" thickTop="1">
      <c r="A4" s="284" t="s">
        <v>497</v>
      </c>
      <c r="B4" s="284"/>
      <c r="C4" s="284"/>
      <c r="D4" s="284"/>
      <c r="E4" s="285"/>
      <c r="F4" s="285"/>
      <c r="G4" s="286"/>
      <c r="H4" s="286"/>
      <c r="I4" s="286"/>
      <c r="J4" s="286"/>
      <c r="K4" s="286"/>
      <c r="Q4" s="286"/>
      <c r="R4" s="286"/>
      <c r="S4" s="286"/>
    </row>
    <row r="5" spans="1:21" ht="12.75">
      <c r="A5" s="287"/>
      <c r="B5" s="288" t="s">
        <v>498</v>
      </c>
      <c r="C5" s="288" t="s">
        <v>499</v>
      </c>
      <c r="D5" s="288" t="s">
        <v>500</v>
      </c>
      <c r="E5" s="275">
        <v>20</v>
      </c>
      <c r="F5" s="275">
        <v>50</v>
      </c>
      <c r="G5" s="289">
        <f aca="true" t="shared" si="0" ref="G5:I11">Q5+$W$13</f>
        <v>1100</v>
      </c>
      <c r="H5" s="289">
        <f t="shared" si="0"/>
        <v>1400</v>
      </c>
      <c r="I5" s="289">
        <f t="shared" si="0"/>
        <v>1400</v>
      </c>
      <c r="J5" s="275">
        <f aca="true" t="shared" si="1" ref="J5:J11">IF(F5="n/a",250,350)</f>
        <v>350</v>
      </c>
      <c r="K5" s="290" t="s">
        <v>501</v>
      </c>
      <c r="L5" s="291">
        <v>30</v>
      </c>
      <c r="M5" s="275">
        <f aca="true" t="shared" si="2" ref="M5:M36">G5+$J5</f>
        <v>1450</v>
      </c>
      <c r="N5" s="275">
        <f aca="true" t="shared" si="3" ref="N5:N36">H5+$J5</f>
        <v>1750</v>
      </c>
      <c r="O5" s="275">
        <f aca="true" t="shared" si="4" ref="O5:O36">I5+$J5</f>
        <v>1750</v>
      </c>
      <c r="Q5" s="289">
        <v>1000</v>
      </c>
      <c r="R5" s="289">
        <v>1300</v>
      </c>
      <c r="S5" s="289">
        <v>1300</v>
      </c>
      <c r="U5" s="68" t="s">
        <v>502</v>
      </c>
    </row>
    <row r="6" spans="1:23" ht="12.75">
      <c r="A6" s="287"/>
      <c r="B6" s="288" t="s">
        <v>498</v>
      </c>
      <c r="C6" s="288" t="s">
        <v>503</v>
      </c>
      <c r="D6" s="288" t="s">
        <v>504</v>
      </c>
      <c r="E6" s="275">
        <v>40</v>
      </c>
      <c r="F6" s="275">
        <v>50</v>
      </c>
      <c r="G6" s="289">
        <f t="shared" si="0"/>
        <v>1700</v>
      </c>
      <c r="H6" s="289">
        <f t="shared" si="0"/>
        <v>2100</v>
      </c>
      <c r="I6" s="289">
        <f t="shared" si="0"/>
        <v>2200</v>
      </c>
      <c r="J6" s="275">
        <f t="shared" si="1"/>
        <v>350</v>
      </c>
      <c r="K6" s="290" t="s">
        <v>501</v>
      </c>
      <c r="L6" s="291">
        <v>30</v>
      </c>
      <c r="M6" s="275">
        <f t="shared" si="2"/>
        <v>2050</v>
      </c>
      <c r="N6" s="275">
        <f t="shared" si="3"/>
        <v>2450</v>
      </c>
      <c r="O6" s="275">
        <f t="shared" si="4"/>
        <v>2550</v>
      </c>
      <c r="Q6" s="289">
        <v>1600</v>
      </c>
      <c r="R6" s="289">
        <v>2000</v>
      </c>
      <c r="S6" s="289">
        <v>2100</v>
      </c>
      <c r="U6" s="5" t="s">
        <v>505</v>
      </c>
      <c r="W6" s="5">
        <v>5</v>
      </c>
    </row>
    <row r="7" spans="1:25" ht="12.75">
      <c r="A7" s="287"/>
      <c r="B7" s="288" t="s">
        <v>498</v>
      </c>
      <c r="C7" s="288" t="s">
        <v>506</v>
      </c>
      <c r="D7" s="288" t="s">
        <v>507</v>
      </c>
      <c r="E7" s="275">
        <v>60</v>
      </c>
      <c r="F7" s="275">
        <v>50</v>
      </c>
      <c r="G7" s="289">
        <f t="shared" si="0"/>
        <v>2100</v>
      </c>
      <c r="H7" s="289">
        <f t="shared" si="0"/>
        <v>2600</v>
      </c>
      <c r="I7" s="289">
        <f t="shared" si="0"/>
        <v>2700</v>
      </c>
      <c r="J7" s="275">
        <f t="shared" si="1"/>
        <v>350</v>
      </c>
      <c r="K7" s="290" t="s">
        <v>501</v>
      </c>
      <c r="L7" s="291">
        <v>30</v>
      </c>
      <c r="M7" s="275">
        <f t="shared" si="2"/>
        <v>2450</v>
      </c>
      <c r="N7" s="275">
        <f t="shared" si="3"/>
        <v>2950</v>
      </c>
      <c r="O7" s="275">
        <f t="shared" si="4"/>
        <v>3050</v>
      </c>
      <c r="Q7" s="289">
        <v>2000</v>
      </c>
      <c r="R7" s="289">
        <v>2500</v>
      </c>
      <c r="S7" s="289">
        <v>2600</v>
      </c>
      <c r="U7" s="5" t="s">
        <v>508</v>
      </c>
      <c r="W7" s="5">
        <v>8</v>
      </c>
      <c r="X7" s="5" t="s">
        <v>509</v>
      </c>
      <c r="Y7" s="5" t="s">
        <v>510</v>
      </c>
    </row>
    <row r="8" spans="1:25" ht="12.75">
      <c r="A8" s="287"/>
      <c r="B8" s="288" t="s">
        <v>498</v>
      </c>
      <c r="C8" s="288" t="s">
        <v>511</v>
      </c>
      <c r="D8" s="288" t="s">
        <v>512</v>
      </c>
      <c r="E8" s="275">
        <v>60</v>
      </c>
      <c r="F8" s="275">
        <v>80</v>
      </c>
      <c r="G8" s="289">
        <f t="shared" si="0"/>
        <v>2300</v>
      </c>
      <c r="H8" s="289">
        <f t="shared" si="0"/>
        <v>2800</v>
      </c>
      <c r="I8" s="289">
        <f t="shared" si="0"/>
        <v>2900</v>
      </c>
      <c r="J8" s="275">
        <f t="shared" si="1"/>
        <v>350</v>
      </c>
      <c r="K8" s="290" t="s">
        <v>501</v>
      </c>
      <c r="L8" s="291">
        <v>30</v>
      </c>
      <c r="M8" s="275">
        <f t="shared" si="2"/>
        <v>2650</v>
      </c>
      <c r="N8" s="275">
        <f t="shared" si="3"/>
        <v>3150</v>
      </c>
      <c r="O8" s="275">
        <f t="shared" si="4"/>
        <v>3250</v>
      </c>
      <c r="Q8" s="289">
        <v>2200</v>
      </c>
      <c r="R8" s="289">
        <v>2700</v>
      </c>
      <c r="S8" s="289">
        <v>2800</v>
      </c>
      <c r="U8" s="5" t="s">
        <v>513</v>
      </c>
      <c r="W8" s="247">
        <f>PI()*(X8/2)^2*Y8</f>
        <v>35.34291735288517</v>
      </c>
      <c r="X8" s="5">
        <v>3</v>
      </c>
      <c r="Y8" s="5">
        <v>5</v>
      </c>
    </row>
    <row r="9" spans="1:23" ht="12.75">
      <c r="A9" s="287"/>
      <c r="B9" s="288" t="s">
        <v>498</v>
      </c>
      <c r="C9" s="288" t="s">
        <v>514</v>
      </c>
      <c r="D9" s="288" t="s">
        <v>515</v>
      </c>
      <c r="E9" s="275">
        <v>40</v>
      </c>
      <c r="F9" s="275">
        <v>80</v>
      </c>
      <c r="G9" s="289">
        <f t="shared" si="0"/>
        <v>1700</v>
      </c>
      <c r="H9" s="289">
        <f t="shared" si="0"/>
        <v>2000</v>
      </c>
      <c r="I9" s="289">
        <f t="shared" si="0"/>
        <v>2100</v>
      </c>
      <c r="J9" s="275">
        <f t="shared" si="1"/>
        <v>350</v>
      </c>
      <c r="L9" s="291">
        <v>-54</v>
      </c>
      <c r="M9" s="275">
        <f t="shared" si="2"/>
        <v>2050</v>
      </c>
      <c r="N9" s="275">
        <f t="shared" si="3"/>
        <v>2350</v>
      </c>
      <c r="O9" s="275">
        <f t="shared" si="4"/>
        <v>2450</v>
      </c>
      <c r="Q9" s="289">
        <v>1600</v>
      </c>
      <c r="R9" s="289">
        <v>1900</v>
      </c>
      <c r="S9" s="289">
        <v>2000</v>
      </c>
      <c r="U9" s="5" t="s">
        <v>516</v>
      </c>
      <c r="W9" s="5">
        <f>W8/W7*W6</f>
        <v>22.089323345553233</v>
      </c>
    </row>
    <row r="10" spans="1:24" ht="12.75">
      <c r="A10" s="287"/>
      <c r="B10" s="288" t="s">
        <v>498</v>
      </c>
      <c r="C10" s="288" t="s">
        <v>517</v>
      </c>
      <c r="D10" s="288" t="s">
        <v>518</v>
      </c>
      <c r="E10" s="275">
        <v>60</v>
      </c>
      <c r="F10" s="275">
        <v>80</v>
      </c>
      <c r="G10" s="289">
        <f t="shared" si="0"/>
        <v>2100</v>
      </c>
      <c r="H10" s="289">
        <f t="shared" si="0"/>
        <v>2500</v>
      </c>
      <c r="I10" s="289">
        <f t="shared" si="0"/>
        <v>2600</v>
      </c>
      <c r="J10" s="275">
        <f t="shared" si="1"/>
        <v>350</v>
      </c>
      <c r="L10" s="291">
        <v>-54</v>
      </c>
      <c r="M10" s="275">
        <f t="shared" si="2"/>
        <v>2450</v>
      </c>
      <c r="N10" s="275">
        <f t="shared" si="3"/>
        <v>2850</v>
      </c>
      <c r="O10" s="275">
        <f t="shared" si="4"/>
        <v>2950</v>
      </c>
      <c r="Q10" s="289">
        <v>2000</v>
      </c>
      <c r="R10" s="289">
        <v>2400</v>
      </c>
      <c r="S10" s="289">
        <v>2500</v>
      </c>
      <c r="U10" s="5" t="s">
        <v>519</v>
      </c>
      <c r="W10" s="5">
        <f>W9*8760</f>
        <v>193502.4725070463</v>
      </c>
      <c r="X10" s="5" t="s">
        <v>520</v>
      </c>
    </row>
    <row r="11" spans="1:24" ht="12.75">
      <c r="A11" s="287"/>
      <c r="B11" s="288" t="s">
        <v>498</v>
      </c>
      <c r="C11" s="288" t="s">
        <v>521</v>
      </c>
      <c r="D11" s="288" t="s">
        <v>522</v>
      </c>
      <c r="E11" s="275">
        <v>80</v>
      </c>
      <c r="F11" s="275">
        <v>80</v>
      </c>
      <c r="G11" s="289">
        <f t="shared" si="0"/>
        <v>2400</v>
      </c>
      <c r="H11" s="289">
        <f t="shared" si="0"/>
        <v>2700</v>
      </c>
      <c r="I11" s="289">
        <f t="shared" si="0"/>
        <v>2900</v>
      </c>
      <c r="J11" s="275">
        <f t="shared" si="1"/>
        <v>350</v>
      </c>
      <c r="L11" s="291">
        <v>-54</v>
      </c>
      <c r="M11" s="275">
        <f t="shared" si="2"/>
        <v>2750</v>
      </c>
      <c r="N11" s="275">
        <f t="shared" si="3"/>
        <v>3050</v>
      </c>
      <c r="O11" s="275">
        <f t="shared" si="4"/>
        <v>3250</v>
      </c>
      <c r="Q11" s="289">
        <v>2300</v>
      </c>
      <c r="R11" s="289">
        <v>2600</v>
      </c>
      <c r="S11" s="289">
        <v>2800</v>
      </c>
      <c r="U11" s="5" t="s">
        <v>523</v>
      </c>
      <c r="W11" s="5">
        <f>W10/0.87/3413</f>
        <v>65.16748756682405</v>
      </c>
      <c r="X11" s="5" t="s">
        <v>524</v>
      </c>
    </row>
    <row r="12" spans="1:19" ht="12.75">
      <c r="A12" s="284" t="s">
        <v>525</v>
      </c>
      <c r="B12" s="284"/>
      <c r="C12" s="284"/>
      <c r="D12" s="284"/>
      <c r="E12" s="285"/>
      <c r="F12" s="285"/>
      <c r="G12" s="286"/>
      <c r="H12" s="286"/>
      <c r="I12" s="286"/>
      <c r="J12" s="286"/>
      <c r="K12" s="286"/>
      <c r="L12" s="292"/>
      <c r="M12" s="275">
        <f t="shared" si="2"/>
        <v>0</v>
      </c>
      <c r="N12" s="275">
        <f t="shared" si="3"/>
        <v>0</v>
      </c>
      <c r="O12" s="275">
        <f t="shared" si="4"/>
        <v>0</v>
      </c>
      <c r="Q12" s="286"/>
      <c r="R12" s="286"/>
      <c r="S12" s="286"/>
    </row>
    <row r="13" spans="1:24" ht="12.75">
      <c r="A13" s="287"/>
      <c r="B13" s="288" t="s">
        <v>526</v>
      </c>
      <c r="C13" s="288" t="s">
        <v>527</v>
      </c>
      <c r="D13" s="288" t="s">
        <v>528</v>
      </c>
      <c r="E13" s="275">
        <v>33</v>
      </c>
      <c r="F13" s="275">
        <v>80</v>
      </c>
      <c r="G13" s="289">
        <f aca="true" t="shared" si="5" ref="G13:G28">Q13+$W$13</f>
        <v>1200</v>
      </c>
      <c r="H13" s="289">
        <f aca="true" t="shared" si="6" ref="H13:H28">R13+$W$13</f>
        <v>1500</v>
      </c>
      <c r="I13" s="289">
        <f aca="true" t="shared" si="7" ref="I13:I28">S13+$W$13</f>
        <v>1600</v>
      </c>
      <c r="J13" s="275">
        <f aca="true" t="shared" si="8" ref="J13:J28">IF(F13="n/a",250,350)</f>
        <v>350</v>
      </c>
      <c r="L13" s="291">
        <v>-60</v>
      </c>
      <c r="M13" s="275">
        <f t="shared" si="2"/>
        <v>1550</v>
      </c>
      <c r="N13" s="275">
        <f t="shared" si="3"/>
        <v>1850</v>
      </c>
      <c r="O13" s="275">
        <f t="shared" si="4"/>
        <v>1950</v>
      </c>
      <c r="Q13" s="289">
        <v>1100</v>
      </c>
      <c r="R13" s="289">
        <v>1400</v>
      </c>
      <c r="S13" s="289">
        <v>1500</v>
      </c>
      <c r="U13" s="5" t="s">
        <v>529</v>
      </c>
      <c r="W13" s="293">
        <v>100</v>
      </c>
      <c r="X13" s="5" t="s">
        <v>524</v>
      </c>
    </row>
    <row r="14" spans="1:19" ht="12.75">
      <c r="A14" s="287"/>
      <c r="B14" s="288" t="s">
        <v>526</v>
      </c>
      <c r="C14" s="288" t="s">
        <v>530</v>
      </c>
      <c r="D14" s="288" t="s">
        <v>531</v>
      </c>
      <c r="E14" s="275">
        <v>33</v>
      </c>
      <c r="F14" s="275" t="s">
        <v>532</v>
      </c>
      <c r="G14" s="289">
        <f t="shared" si="5"/>
        <v>1400</v>
      </c>
      <c r="H14" s="289">
        <f t="shared" si="6"/>
        <v>1700</v>
      </c>
      <c r="I14" s="289">
        <f t="shared" si="7"/>
        <v>1800</v>
      </c>
      <c r="J14" s="275">
        <f t="shared" si="8"/>
        <v>250</v>
      </c>
      <c r="L14" s="291">
        <v>-60</v>
      </c>
      <c r="M14" s="275">
        <f t="shared" si="2"/>
        <v>1650</v>
      </c>
      <c r="N14" s="275">
        <f t="shared" si="3"/>
        <v>1950</v>
      </c>
      <c r="O14" s="275">
        <f t="shared" si="4"/>
        <v>2050</v>
      </c>
      <c r="Q14" s="289">
        <v>1300</v>
      </c>
      <c r="R14" s="289">
        <v>1600</v>
      </c>
      <c r="S14" s="289">
        <v>1700</v>
      </c>
    </row>
    <row r="15" spans="1:19" ht="12.75">
      <c r="A15" s="287"/>
      <c r="B15" s="288" t="s">
        <v>526</v>
      </c>
      <c r="C15" s="288" t="s">
        <v>533</v>
      </c>
      <c r="D15" s="288" t="s">
        <v>534</v>
      </c>
      <c r="E15" s="275">
        <v>33</v>
      </c>
      <c r="F15" s="275">
        <v>80</v>
      </c>
      <c r="G15" s="289">
        <f t="shared" si="5"/>
        <v>1200</v>
      </c>
      <c r="H15" s="289">
        <f t="shared" si="6"/>
        <v>1400</v>
      </c>
      <c r="I15" s="289">
        <f t="shared" si="7"/>
        <v>1500</v>
      </c>
      <c r="J15" s="275">
        <f t="shared" si="8"/>
        <v>350</v>
      </c>
      <c r="L15" s="291">
        <v>-60</v>
      </c>
      <c r="M15" s="275">
        <f t="shared" si="2"/>
        <v>1550</v>
      </c>
      <c r="N15" s="275">
        <f t="shared" si="3"/>
        <v>1750</v>
      </c>
      <c r="O15" s="275">
        <f t="shared" si="4"/>
        <v>1850</v>
      </c>
      <c r="Q15" s="289">
        <v>1100</v>
      </c>
      <c r="R15" s="289">
        <v>1300</v>
      </c>
      <c r="S15" s="289">
        <v>1400</v>
      </c>
    </row>
    <row r="16" spans="1:19" ht="12.75">
      <c r="A16" s="287"/>
      <c r="B16" s="288" t="s">
        <v>526</v>
      </c>
      <c r="C16" s="288" t="s">
        <v>535</v>
      </c>
      <c r="D16" s="288" t="s">
        <v>536</v>
      </c>
      <c r="E16" s="275">
        <v>33</v>
      </c>
      <c r="F16" s="275" t="s">
        <v>532</v>
      </c>
      <c r="G16" s="289">
        <f t="shared" si="5"/>
        <v>1400</v>
      </c>
      <c r="H16" s="289">
        <f t="shared" si="6"/>
        <v>1700</v>
      </c>
      <c r="I16" s="289">
        <f t="shared" si="7"/>
        <v>1700</v>
      </c>
      <c r="J16" s="275">
        <f t="shared" si="8"/>
        <v>250</v>
      </c>
      <c r="L16" s="291">
        <v>-60</v>
      </c>
      <c r="M16" s="275">
        <f t="shared" si="2"/>
        <v>1650</v>
      </c>
      <c r="N16" s="275">
        <f t="shared" si="3"/>
        <v>1950</v>
      </c>
      <c r="O16" s="275">
        <f t="shared" si="4"/>
        <v>1950</v>
      </c>
      <c r="Q16" s="289">
        <v>1300</v>
      </c>
      <c r="R16" s="289">
        <v>1600</v>
      </c>
      <c r="S16" s="289">
        <v>1600</v>
      </c>
    </row>
    <row r="17" spans="1:19" ht="12.75">
      <c r="A17" s="287"/>
      <c r="B17" s="288" t="s">
        <v>526</v>
      </c>
      <c r="C17" s="288" t="s">
        <v>537</v>
      </c>
      <c r="D17" s="288" t="s">
        <v>538</v>
      </c>
      <c r="E17" s="275">
        <v>40</v>
      </c>
      <c r="F17" s="275">
        <v>80</v>
      </c>
      <c r="G17" s="289">
        <f t="shared" si="5"/>
        <v>1500</v>
      </c>
      <c r="H17" s="289">
        <f t="shared" si="6"/>
        <v>1800</v>
      </c>
      <c r="I17" s="289">
        <f t="shared" si="7"/>
        <v>1900</v>
      </c>
      <c r="J17" s="275">
        <f t="shared" si="8"/>
        <v>350</v>
      </c>
      <c r="L17" s="291">
        <v>-60</v>
      </c>
      <c r="M17" s="275">
        <f t="shared" si="2"/>
        <v>1850</v>
      </c>
      <c r="N17" s="275">
        <f t="shared" si="3"/>
        <v>2150</v>
      </c>
      <c r="O17" s="275">
        <f t="shared" si="4"/>
        <v>2250</v>
      </c>
      <c r="Q17" s="289">
        <v>1400</v>
      </c>
      <c r="R17" s="289">
        <v>1700</v>
      </c>
      <c r="S17" s="289">
        <v>1800</v>
      </c>
    </row>
    <row r="18" spans="1:19" ht="12.75">
      <c r="A18" s="287"/>
      <c r="B18" s="288" t="s">
        <v>526</v>
      </c>
      <c r="C18" s="288" t="s">
        <v>539</v>
      </c>
      <c r="D18" s="288" t="s">
        <v>540</v>
      </c>
      <c r="E18" s="275">
        <v>40</v>
      </c>
      <c r="F18" s="275" t="s">
        <v>532</v>
      </c>
      <c r="G18" s="289">
        <f t="shared" si="5"/>
        <v>1700</v>
      </c>
      <c r="H18" s="289">
        <f t="shared" si="6"/>
        <v>2000</v>
      </c>
      <c r="I18" s="289">
        <f t="shared" si="7"/>
        <v>2100</v>
      </c>
      <c r="J18" s="275">
        <f t="shared" si="8"/>
        <v>250</v>
      </c>
      <c r="L18" s="291">
        <v>-60</v>
      </c>
      <c r="M18" s="275">
        <f t="shared" si="2"/>
        <v>1950</v>
      </c>
      <c r="N18" s="275">
        <f t="shared" si="3"/>
        <v>2250</v>
      </c>
      <c r="O18" s="275">
        <f t="shared" si="4"/>
        <v>2350</v>
      </c>
      <c r="Q18" s="289">
        <v>1600</v>
      </c>
      <c r="R18" s="289">
        <v>1900</v>
      </c>
      <c r="S18" s="289">
        <v>2000</v>
      </c>
    </row>
    <row r="19" spans="1:19" ht="12.75">
      <c r="A19" s="287"/>
      <c r="B19" s="288" t="s">
        <v>526</v>
      </c>
      <c r="C19" s="288" t="s">
        <v>541</v>
      </c>
      <c r="D19" s="288" t="s">
        <v>542</v>
      </c>
      <c r="E19" s="275">
        <v>40</v>
      </c>
      <c r="F19" s="275">
        <v>80</v>
      </c>
      <c r="G19" s="289">
        <f t="shared" si="5"/>
        <v>1400</v>
      </c>
      <c r="H19" s="289">
        <f t="shared" si="6"/>
        <v>1700</v>
      </c>
      <c r="I19" s="289">
        <f t="shared" si="7"/>
        <v>1800</v>
      </c>
      <c r="J19" s="275">
        <f t="shared" si="8"/>
        <v>350</v>
      </c>
      <c r="L19" s="291">
        <v>-60</v>
      </c>
      <c r="M19" s="275">
        <f t="shared" si="2"/>
        <v>1750</v>
      </c>
      <c r="N19" s="275">
        <f t="shared" si="3"/>
        <v>2050</v>
      </c>
      <c r="O19" s="275">
        <f t="shared" si="4"/>
        <v>2150</v>
      </c>
      <c r="Q19" s="289">
        <v>1300</v>
      </c>
      <c r="R19" s="289">
        <v>1600</v>
      </c>
      <c r="S19" s="289">
        <v>1700</v>
      </c>
    </row>
    <row r="20" spans="1:19" ht="12.75">
      <c r="A20" s="287"/>
      <c r="B20" s="288" t="s">
        <v>526</v>
      </c>
      <c r="C20" s="288" t="s">
        <v>543</v>
      </c>
      <c r="D20" s="288" t="s">
        <v>544</v>
      </c>
      <c r="E20" s="275">
        <v>40</v>
      </c>
      <c r="F20" s="275" t="s">
        <v>532</v>
      </c>
      <c r="G20" s="289">
        <f t="shared" si="5"/>
        <v>1600</v>
      </c>
      <c r="H20" s="289">
        <f t="shared" si="6"/>
        <v>2000</v>
      </c>
      <c r="I20" s="289">
        <f t="shared" si="7"/>
        <v>2000</v>
      </c>
      <c r="J20" s="275">
        <f t="shared" si="8"/>
        <v>250</v>
      </c>
      <c r="L20" s="291">
        <v>-60</v>
      </c>
      <c r="M20" s="275">
        <f t="shared" si="2"/>
        <v>1850</v>
      </c>
      <c r="N20" s="275">
        <f t="shared" si="3"/>
        <v>2250</v>
      </c>
      <c r="O20" s="275">
        <f t="shared" si="4"/>
        <v>2250</v>
      </c>
      <c r="Q20" s="289">
        <v>1500</v>
      </c>
      <c r="R20" s="289">
        <v>1900</v>
      </c>
      <c r="S20" s="289">
        <v>1900</v>
      </c>
    </row>
    <row r="21" spans="1:19" ht="12.75">
      <c r="A21" s="287"/>
      <c r="B21" s="288" t="s">
        <v>526</v>
      </c>
      <c r="C21" s="288" t="s">
        <v>545</v>
      </c>
      <c r="D21" s="288" t="s">
        <v>546</v>
      </c>
      <c r="E21" s="275">
        <v>64</v>
      </c>
      <c r="F21" s="275">
        <v>80</v>
      </c>
      <c r="G21" s="289">
        <f t="shared" si="5"/>
        <v>2000</v>
      </c>
      <c r="H21" s="289">
        <f t="shared" si="6"/>
        <v>2400</v>
      </c>
      <c r="I21" s="289">
        <f t="shared" si="7"/>
        <v>2600</v>
      </c>
      <c r="J21" s="275">
        <f t="shared" si="8"/>
        <v>350</v>
      </c>
      <c r="L21" s="291">
        <v>-60</v>
      </c>
      <c r="M21" s="275">
        <f t="shared" si="2"/>
        <v>2350</v>
      </c>
      <c r="N21" s="275">
        <f t="shared" si="3"/>
        <v>2750</v>
      </c>
      <c r="O21" s="275">
        <f t="shared" si="4"/>
        <v>2950</v>
      </c>
      <c r="Q21" s="289">
        <v>1900</v>
      </c>
      <c r="R21" s="289">
        <v>2300</v>
      </c>
      <c r="S21" s="289">
        <v>2500</v>
      </c>
    </row>
    <row r="22" spans="1:19" ht="12.75">
      <c r="A22" s="287"/>
      <c r="B22" s="288" t="s">
        <v>526</v>
      </c>
      <c r="C22" s="288" t="s">
        <v>547</v>
      </c>
      <c r="D22" s="288" t="s">
        <v>548</v>
      </c>
      <c r="E22" s="275">
        <v>64</v>
      </c>
      <c r="F22" s="275" t="s">
        <v>532</v>
      </c>
      <c r="G22" s="289">
        <f t="shared" si="5"/>
        <v>2300</v>
      </c>
      <c r="H22" s="289">
        <f t="shared" si="6"/>
        <v>2600</v>
      </c>
      <c r="I22" s="289">
        <f t="shared" si="7"/>
        <v>2800</v>
      </c>
      <c r="J22" s="275">
        <f t="shared" si="8"/>
        <v>250</v>
      </c>
      <c r="L22" s="291">
        <v>-60</v>
      </c>
      <c r="M22" s="275">
        <f t="shared" si="2"/>
        <v>2550</v>
      </c>
      <c r="N22" s="275">
        <f t="shared" si="3"/>
        <v>2850</v>
      </c>
      <c r="O22" s="275">
        <f t="shared" si="4"/>
        <v>3050</v>
      </c>
      <c r="Q22" s="289">
        <v>2200</v>
      </c>
      <c r="R22" s="289">
        <v>2500</v>
      </c>
      <c r="S22" s="289">
        <v>2700</v>
      </c>
    </row>
    <row r="23" spans="1:19" ht="12.75">
      <c r="A23" s="287"/>
      <c r="B23" s="288" t="s">
        <v>526</v>
      </c>
      <c r="C23" s="288" t="s">
        <v>549</v>
      </c>
      <c r="D23" s="288" t="s">
        <v>550</v>
      </c>
      <c r="E23" s="275">
        <v>64</v>
      </c>
      <c r="F23" s="275">
        <v>80</v>
      </c>
      <c r="G23" s="289">
        <f t="shared" si="5"/>
        <v>2000</v>
      </c>
      <c r="H23" s="289">
        <f t="shared" si="6"/>
        <v>2300</v>
      </c>
      <c r="I23" s="289">
        <f t="shared" si="7"/>
        <v>2500</v>
      </c>
      <c r="J23" s="275">
        <f t="shared" si="8"/>
        <v>350</v>
      </c>
      <c r="L23" s="291">
        <v>-60</v>
      </c>
      <c r="M23" s="275">
        <f t="shared" si="2"/>
        <v>2350</v>
      </c>
      <c r="N23" s="275">
        <f t="shared" si="3"/>
        <v>2650</v>
      </c>
      <c r="O23" s="275">
        <f t="shared" si="4"/>
        <v>2850</v>
      </c>
      <c r="Q23" s="289">
        <v>1900</v>
      </c>
      <c r="R23" s="289">
        <v>2200</v>
      </c>
      <c r="S23" s="289">
        <v>2400</v>
      </c>
    </row>
    <row r="24" spans="1:19" ht="12.75">
      <c r="A24" s="287"/>
      <c r="B24" s="288" t="s">
        <v>526</v>
      </c>
      <c r="C24" s="288" t="s">
        <v>551</v>
      </c>
      <c r="D24" s="288" t="s">
        <v>552</v>
      </c>
      <c r="E24" s="275">
        <v>64</v>
      </c>
      <c r="F24" s="275" t="s">
        <v>532</v>
      </c>
      <c r="G24" s="289">
        <f t="shared" si="5"/>
        <v>2200</v>
      </c>
      <c r="H24" s="289">
        <f t="shared" si="6"/>
        <v>2500</v>
      </c>
      <c r="I24" s="289">
        <f t="shared" si="7"/>
        <v>2700</v>
      </c>
      <c r="J24" s="275">
        <f t="shared" si="8"/>
        <v>250</v>
      </c>
      <c r="L24" s="291">
        <v>-60</v>
      </c>
      <c r="M24" s="275">
        <f t="shared" si="2"/>
        <v>2450</v>
      </c>
      <c r="N24" s="275">
        <f t="shared" si="3"/>
        <v>2750</v>
      </c>
      <c r="O24" s="275">
        <f t="shared" si="4"/>
        <v>2950</v>
      </c>
      <c r="Q24" s="289">
        <v>2100</v>
      </c>
      <c r="R24" s="289">
        <v>2400</v>
      </c>
      <c r="S24" s="289">
        <v>2600</v>
      </c>
    </row>
    <row r="25" spans="1:19" ht="12.75">
      <c r="A25" s="287"/>
      <c r="B25" s="288" t="s">
        <v>526</v>
      </c>
      <c r="C25" s="288" t="s">
        <v>553</v>
      </c>
      <c r="D25" s="288" t="s">
        <v>554</v>
      </c>
      <c r="E25" s="275">
        <v>80</v>
      </c>
      <c r="F25" s="275">
        <v>80</v>
      </c>
      <c r="G25" s="289">
        <f t="shared" si="5"/>
        <v>2300</v>
      </c>
      <c r="H25" s="289">
        <f t="shared" si="6"/>
        <v>2600</v>
      </c>
      <c r="I25" s="289">
        <f t="shared" si="7"/>
        <v>2800</v>
      </c>
      <c r="J25" s="275">
        <f t="shared" si="8"/>
        <v>350</v>
      </c>
      <c r="L25" s="291">
        <v>-60</v>
      </c>
      <c r="M25" s="275">
        <f t="shared" si="2"/>
        <v>2650</v>
      </c>
      <c r="N25" s="275">
        <f t="shared" si="3"/>
        <v>2950</v>
      </c>
      <c r="O25" s="275">
        <f t="shared" si="4"/>
        <v>3150</v>
      </c>
      <c r="Q25" s="289">
        <v>2200</v>
      </c>
      <c r="R25" s="289">
        <v>2500</v>
      </c>
      <c r="S25" s="289">
        <v>2700</v>
      </c>
    </row>
    <row r="26" spans="1:19" ht="12.75">
      <c r="A26" s="287"/>
      <c r="B26" s="288" t="s">
        <v>526</v>
      </c>
      <c r="C26" s="288" t="s">
        <v>555</v>
      </c>
      <c r="D26" s="288" t="s">
        <v>556</v>
      </c>
      <c r="E26" s="275">
        <v>80</v>
      </c>
      <c r="F26" s="275" t="s">
        <v>532</v>
      </c>
      <c r="G26" s="289">
        <f t="shared" si="5"/>
        <v>2500</v>
      </c>
      <c r="H26" s="289">
        <f t="shared" si="6"/>
        <v>2800</v>
      </c>
      <c r="I26" s="289">
        <f t="shared" si="7"/>
        <v>3000</v>
      </c>
      <c r="J26" s="275">
        <f t="shared" si="8"/>
        <v>250</v>
      </c>
      <c r="L26" s="291">
        <v>-60</v>
      </c>
      <c r="M26" s="275">
        <f t="shared" si="2"/>
        <v>2750</v>
      </c>
      <c r="N26" s="275">
        <f t="shared" si="3"/>
        <v>3050</v>
      </c>
      <c r="O26" s="275">
        <f t="shared" si="4"/>
        <v>3250</v>
      </c>
      <c r="Q26" s="289">
        <v>2400</v>
      </c>
      <c r="R26" s="289">
        <v>2700</v>
      </c>
      <c r="S26" s="289">
        <v>2900</v>
      </c>
    </row>
    <row r="27" spans="1:19" ht="12.75">
      <c r="A27" s="287"/>
      <c r="B27" s="288" t="s">
        <v>526</v>
      </c>
      <c r="C27" s="288" t="s">
        <v>557</v>
      </c>
      <c r="D27" s="288" t="s">
        <v>558</v>
      </c>
      <c r="E27" s="275">
        <v>80</v>
      </c>
      <c r="F27" s="275">
        <v>80</v>
      </c>
      <c r="G27" s="289">
        <f t="shared" si="5"/>
        <v>2200</v>
      </c>
      <c r="H27" s="289">
        <f t="shared" si="6"/>
        <v>2500</v>
      </c>
      <c r="I27" s="289">
        <f t="shared" si="7"/>
        <v>2700</v>
      </c>
      <c r="J27" s="275">
        <f t="shared" si="8"/>
        <v>350</v>
      </c>
      <c r="L27" s="291">
        <v>-60</v>
      </c>
      <c r="M27" s="275">
        <f t="shared" si="2"/>
        <v>2550</v>
      </c>
      <c r="N27" s="275">
        <f t="shared" si="3"/>
        <v>2850</v>
      </c>
      <c r="O27" s="275">
        <f t="shared" si="4"/>
        <v>3050</v>
      </c>
      <c r="Q27" s="289">
        <v>2100</v>
      </c>
      <c r="R27" s="289">
        <v>2400</v>
      </c>
      <c r="S27" s="289">
        <v>2600</v>
      </c>
    </row>
    <row r="28" spans="1:19" ht="12.75">
      <c r="A28" s="287"/>
      <c r="B28" s="288" t="s">
        <v>526</v>
      </c>
      <c r="C28" s="288" t="s">
        <v>559</v>
      </c>
      <c r="D28" s="288" t="s">
        <v>560</v>
      </c>
      <c r="E28" s="275">
        <v>80</v>
      </c>
      <c r="F28" s="275" t="s">
        <v>532</v>
      </c>
      <c r="G28" s="289">
        <f t="shared" si="5"/>
        <v>2400</v>
      </c>
      <c r="H28" s="289">
        <f t="shared" si="6"/>
        <v>2700</v>
      </c>
      <c r="I28" s="289">
        <f t="shared" si="7"/>
        <v>3000</v>
      </c>
      <c r="J28" s="275">
        <f t="shared" si="8"/>
        <v>250</v>
      </c>
      <c r="L28" s="291">
        <v>-60</v>
      </c>
      <c r="M28" s="275">
        <f t="shared" si="2"/>
        <v>2650</v>
      </c>
      <c r="N28" s="275">
        <f t="shared" si="3"/>
        <v>2950</v>
      </c>
      <c r="O28" s="275">
        <f t="shared" si="4"/>
        <v>3250</v>
      </c>
      <c r="Q28" s="289">
        <v>2300</v>
      </c>
      <c r="R28" s="289">
        <v>2600</v>
      </c>
      <c r="S28" s="289">
        <v>2900</v>
      </c>
    </row>
    <row r="29" spans="1:19" ht="12.75">
      <c r="A29" s="284" t="s">
        <v>561</v>
      </c>
      <c r="B29" s="284"/>
      <c r="C29" s="284"/>
      <c r="D29" s="284"/>
      <c r="E29" s="285"/>
      <c r="F29" s="285"/>
      <c r="G29" s="286"/>
      <c r="H29" s="286"/>
      <c r="I29" s="286"/>
      <c r="J29" s="286"/>
      <c r="K29" s="286"/>
      <c r="L29" s="292"/>
      <c r="M29" s="275">
        <f t="shared" si="2"/>
        <v>0</v>
      </c>
      <c r="N29" s="275">
        <f t="shared" si="3"/>
        <v>0</v>
      </c>
      <c r="O29" s="275">
        <f t="shared" si="4"/>
        <v>0</v>
      </c>
      <c r="Q29" s="286"/>
      <c r="R29" s="286"/>
      <c r="S29" s="286"/>
    </row>
    <row r="30" spans="1:19" ht="12.75">
      <c r="A30" s="287"/>
      <c r="B30" s="288" t="s">
        <v>562</v>
      </c>
      <c r="C30" s="288" t="s">
        <v>563</v>
      </c>
      <c r="D30" s="288" t="s">
        <v>564</v>
      </c>
      <c r="E30" s="275">
        <v>24</v>
      </c>
      <c r="F30" s="275">
        <v>65</v>
      </c>
      <c r="G30" s="289">
        <f aca="true" t="shared" si="9" ref="G30:G73">Q30+$W$13</f>
        <v>1200</v>
      </c>
      <c r="H30" s="289">
        <f aca="true" t="shared" si="10" ref="H30:H73">R30+$W$13</f>
        <v>1500</v>
      </c>
      <c r="I30" s="289">
        <f aca="true" t="shared" si="11" ref="I30:I73">S30+$W$13</f>
        <v>1600</v>
      </c>
      <c r="J30" s="275">
        <f aca="true" t="shared" si="12" ref="J30:J73">IF(F30="n/a",250,350)</f>
        <v>350</v>
      </c>
      <c r="L30" s="291">
        <v>-60</v>
      </c>
      <c r="M30" s="275">
        <f t="shared" si="2"/>
        <v>1550</v>
      </c>
      <c r="N30" s="275">
        <f t="shared" si="3"/>
        <v>1850</v>
      </c>
      <c r="O30" s="275">
        <f t="shared" si="4"/>
        <v>1950</v>
      </c>
      <c r="Q30" s="289">
        <v>1100</v>
      </c>
      <c r="R30" s="289">
        <v>1400</v>
      </c>
      <c r="S30" s="289">
        <v>1500</v>
      </c>
    </row>
    <row r="31" spans="1:19" ht="12.75">
      <c r="A31" s="287"/>
      <c r="B31" s="288" t="s">
        <v>562</v>
      </c>
      <c r="C31" s="288" t="s">
        <v>565</v>
      </c>
      <c r="D31" s="288" t="s">
        <v>566</v>
      </c>
      <c r="E31" s="275">
        <v>27</v>
      </c>
      <c r="F31" s="275" t="s">
        <v>532</v>
      </c>
      <c r="G31" s="289">
        <f t="shared" si="9"/>
        <v>1600</v>
      </c>
      <c r="H31" s="289">
        <f t="shared" si="10"/>
        <v>1900</v>
      </c>
      <c r="I31" s="289">
        <f t="shared" si="11"/>
        <v>1900</v>
      </c>
      <c r="J31" s="275">
        <f t="shared" si="12"/>
        <v>250</v>
      </c>
      <c r="L31" s="291">
        <v>-60</v>
      </c>
      <c r="M31" s="275">
        <f t="shared" si="2"/>
        <v>1850</v>
      </c>
      <c r="N31" s="275">
        <f t="shared" si="3"/>
        <v>2150</v>
      </c>
      <c r="O31" s="275">
        <f t="shared" si="4"/>
        <v>2150</v>
      </c>
      <c r="Q31" s="289">
        <v>1500</v>
      </c>
      <c r="R31" s="289">
        <v>1800</v>
      </c>
      <c r="S31" s="289">
        <v>1800</v>
      </c>
    </row>
    <row r="32" spans="1:19" ht="12.75">
      <c r="A32" s="287"/>
      <c r="B32" s="288" t="s">
        <v>562</v>
      </c>
      <c r="C32" s="288" t="s">
        <v>567</v>
      </c>
      <c r="D32" s="288" t="s">
        <v>568</v>
      </c>
      <c r="E32" s="275">
        <v>27</v>
      </c>
      <c r="F32" s="275">
        <v>80</v>
      </c>
      <c r="G32" s="289">
        <f t="shared" si="9"/>
        <v>1400</v>
      </c>
      <c r="H32" s="289">
        <f t="shared" si="10"/>
        <v>1600</v>
      </c>
      <c r="I32" s="289">
        <f t="shared" si="11"/>
        <v>1700</v>
      </c>
      <c r="J32" s="275">
        <f t="shared" si="12"/>
        <v>350</v>
      </c>
      <c r="L32" s="291">
        <v>-60</v>
      </c>
      <c r="M32" s="275">
        <f t="shared" si="2"/>
        <v>1750</v>
      </c>
      <c r="N32" s="275">
        <f t="shared" si="3"/>
        <v>1950</v>
      </c>
      <c r="O32" s="275">
        <f t="shared" si="4"/>
        <v>2050</v>
      </c>
      <c r="Q32" s="289">
        <v>1300</v>
      </c>
      <c r="R32" s="289">
        <v>1500</v>
      </c>
      <c r="S32" s="289">
        <v>1600</v>
      </c>
    </row>
    <row r="33" spans="1:19" ht="12.75">
      <c r="A33" s="287"/>
      <c r="B33" s="288" t="s">
        <v>562</v>
      </c>
      <c r="C33" s="288" t="s">
        <v>569</v>
      </c>
      <c r="D33" s="288" t="s">
        <v>570</v>
      </c>
      <c r="E33" s="275">
        <v>27</v>
      </c>
      <c r="F33" s="275" t="s">
        <v>532</v>
      </c>
      <c r="G33" s="289">
        <f t="shared" si="9"/>
        <v>1600</v>
      </c>
      <c r="H33" s="289">
        <f t="shared" si="10"/>
        <v>1900</v>
      </c>
      <c r="I33" s="289">
        <f t="shared" si="11"/>
        <v>1900</v>
      </c>
      <c r="J33" s="275">
        <f t="shared" si="12"/>
        <v>250</v>
      </c>
      <c r="L33" s="291">
        <v>-60</v>
      </c>
      <c r="M33" s="275">
        <f t="shared" si="2"/>
        <v>1850</v>
      </c>
      <c r="N33" s="275">
        <f t="shared" si="3"/>
        <v>2150</v>
      </c>
      <c r="O33" s="275">
        <f t="shared" si="4"/>
        <v>2150</v>
      </c>
      <c r="Q33" s="289">
        <v>1500</v>
      </c>
      <c r="R33" s="289">
        <v>1800</v>
      </c>
      <c r="S33" s="289">
        <v>1800</v>
      </c>
    </row>
    <row r="34" spans="1:19" ht="12.75">
      <c r="A34" s="287"/>
      <c r="B34" s="288" t="s">
        <v>562</v>
      </c>
      <c r="C34" s="288" t="s">
        <v>571</v>
      </c>
      <c r="D34" s="288" t="s">
        <v>572</v>
      </c>
      <c r="E34" s="275">
        <v>32</v>
      </c>
      <c r="F34" s="275">
        <v>65</v>
      </c>
      <c r="G34" s="289">
        <f t="shared" si="9"/>
        <v>1600</v>
      </c>
      <c r="H34" s="289">
        <f t="shared" si="10"/>
        <v>1900</v>
      </c>
      <c r="I34" s="289">
        <f t="shared" si="11"/>
        <v>2000</v>
      </c>
      <c r="J34" s="275">
        <f t="shared" si="12"/>
        <v>350</v>
      </c>
      <c r="L34" s="291">
        <v>-60</v>
      </c>
      <c r="M34" s="275">
        <f t="shared" si="2"/>
        <v>1950</v>
      </c>
      <c r="N34" s="275">
        <f t="shared" si="3"/>
        <v>2250</v>
      </c>
      <c r="O34" s="275">
        <f t="shared" si="4"/>
        <v>2350</v>
      </c>
      <c r="Q34" s="289">
        <v>1500</v>
      </c>
      <c r="R34" s="289">
        <v>1800</v>
      </c>
      <c r="S34" s="289">
        <v>1900</v>
      </c>
    </row>
    <row r="35" spans="1:19" ht="12.75">
      <c r="A35" s="287"/>
      <c r="B35" s="288" t="s">
        <v>562</v>
      </c>
      <c r="C35" s="288" t="s">
        <v>573</v>
      </c>
      <c r="D35" s="288" t="s">
        <v>574</v>
      </c>
      <c r="E35" s="275">
        <v>32</v>
      </c>
      <c r="F35" s="275">
        <v>65</v>
      </c>
      <c r="G35" s="289">
        <f t="shared" si="9"/>
        <v>1800</v>
      </c>
      <c r="H35" s="289">
        <f t="shared" si="10"/>
        <v>2200</v>
      </c>
      <c r="I35" s="289">
        <f t="shared" si="11"/>
        <v>2200</v>
      </c>
      <c r="J35" s="275">
        <f t="shared" si="12"/>
        <v>350</v>
      </c>
      <c r="L35" s="291">
        <v>-60</v>
      </c>
      <c r="M35" s="275">
        <f t="shared" si="2"/>
        <v>2150</v>
      </c>
      <c r="N35" s="275">
        <f t="shared" si="3"/>
        <v>2550</v>
      </c>
      <c r="O35" s="275">
        <f t="shared" si="4"/>
        <v>2550</v>
      </c>
      <c r="Q35" s="289">
        <v>1700</v>
      </c>
      <c r="R35" s="289">
        <v>2100</v>
      </c>
      <c r="S35" s="289">
        <v>2100</v>
      </c>
    </row>
    <row r="36" spans="1:19" ht="12.75">
      <c r="A36" s="287"/>
      <c r="B36" s="288" t="s">
        <v>562</v>
      </c>
      <c r="C36" s="288" t="s">
        <v>575</v>
      </c>
      <c r="D36" s="288" t="s">
        <v>576</v>
      </c>
      <c r="E36" s="275">
        <v>32</v>
      </c>
      <c r="F36" s="275">
        <v>65</v>
      </c>
      <c r="G36" s="289">
        <f t="shared" si="9"/>
        <v>1600</v>
      </c>
      <c r="H36" s="289">
        <f t="shared" si="10"/>
        <v>2000</v>
      </c>
      <c r="I36" s="289">
        <f t="shared" si="11"/>
        <v>2100</v>
      </c>
      <c r="J36" s="275">
        <f t="shared" si="12"/>
        <v>350</v>
      </c>
      <c r="L36" s="291">
        <v>-60</v>
      </c>
      <c r="M36" s="275">
        <f t="shared" si="2"/>
        <v>1950</v>
      </c>
      <c r="N36" s="275">
        <f t="shared" si="3"/>
        <v>2350</v>
      </c>
      <c r="O36" s="275">
        <f t="shared" si="4"/>
        <v>2450</v>
      </c>
      <c r="Q36" s="289">
        <v>1500</v>
      </c>
      <c r="R36" s="289">
        <v>1900</v>
      </c>
      <c r="S36" s="289">
        <v>2000</v>
      </c>
    </row>
    <row r="37" spans="1:19" ht="12.75">
      <c r="A37" s="287"/>
      <c r="B37" s="288" t="s">
        <v>562</v>
      </c>
      <c r="C37" s="288" t="s">
        <v>577</v>
      </c>
      <c r="D37" s="288" t="s">
        <v>578</v>
      </c>
      <c r="E37" s="275">
        <v>32</v>
      </c>
      <c r="F37" s="275" t="s">
        <v>532</v>
      </c>
      <c r="G37" s="289">
        <f t="shared" si="9"/>
        <v>1800</v>
      </c>
      <c r="H37" s="289">
        <f t="shared" si="10"/>
        <v>2200</v>
      </c>
      <c r="I37" s="289">
        <f t="shared" si="11"/>
        <v>2300</v>
      </c>
      <c r="J37" s="275">
        <f t="shared" si="12"/>
        <v>250</v>
      </c>
      <c r="L37" s="291">
        <v>-60</v>
      </c>
      <c r="M37" s="275">
        <f aca="true" t="shared" si="13" ref="M37:M68">G37+$J37</f>
        <v>2050</v>
      </c>
      <c r="N37" s="275">
        <f aca="true" t="shared" si="14" ref="N37:N68">H37+$J37</f>
        <v>2450</v>
      </c>
      <c r="O37" s="275">
        <f aca="true" t="shared" si="15" ref="O37:O68">I37+$J37</f>
        <v>2550</v>
      </c>
      <c r="Q37" s="289">
        <v>1700</v>
      </c>
      <c r="R37" s="289">
        <v>2100</v>
      </c>
      <c r="S37" s="289">
        <v>2200</v>
      </c>
    </row>
    <row r="38" spans="1:19" ht="12.75">
      <c r="A38" s="287"/>
      <c r="B38" s="288" t="s">
        <v>562</v>
      </c>
      <c r="C38" s="288" t="s">
        <v>579</v>
      </c>
      <c r="D38" s="288" t="s">
        <v>580</v>
      </c>
      <c r="E38" s="275">
        <v>32</v>
      </c>
      <c r="F38" s="275">
        <v>80</v>
      </c>
      <c r="G38" s="289">
        <f t="shared" si="9"/>
        <v>1600</v>
      </c>
      <c r="H38" s="289">
        <f t="shared" si="10"/>
        <v>1900</v>
      </c>
      <c r="I38" s="289">
        <f t="shared" si="11"/>
        <v>2000</v>
      </c>
      <c r="J38" s="275">
        <f t="shared" si="12"/>
        <v>350</v>
      </c>
      <c r="L38" s="291">
        <v>-60</v>
      </c>
      <c r="M38" s="275">
        <f t="shared" si="13"/>
        <v>1950</v>
      </c>
      <c r="N38" s="275">
        <f t="shared" si="14"/>
        <v>2250</v>
      </c>
      <c r="O38" s="275">
        <f t="shared" si="15"/>
        <v>2350</v>
      </c>
      <c r="Q38" s="289">
        <v>1500</v>
      </c>
      <c r="R38" s="289">
        <v>1800</v>
      </c>
      <c r="S38" s="289">
        <v>1900</v>
      </c>
    </row>
    <row r="39" spans="1:19" ht="12.75">
      <c r="A39" s="287"/>
      <c r="B39" s="288" t="s">
        <v>562</v>
      </c>
      <c r="C39" s="288" t="s">
        <v>581</v>
      </c>
      <c r="D39" s="288" t="s">
        <v>582</v>
      </c>
      <c r="E39" s="275">
        <v>32</v>
      </c>
      <c r="F39" s="275">
        <v>80</v>
      </c>
      <c r="G39" s="289">
        <f t="shared" si="9"/>
        <v>1800</v>
      </c>
      <c r="H39" s="289">
        <f t="shared" si="10"/>
        <v>2200</v>
      </c>
      <c r="I39" s="289">
        <f t="shared" si="11"/>
        <v>2200</v>
      </c>
      <c r="J39" s="275">
        <f t="shared" si="12"/>
        <v>350</v>
      </c>
      <c r="L39" s="291">
        <v>-60</v>
      </c>
      <c r="M39" s="275">
        <f t="shared" si="13"/>
        <v>2150</v>
      </c>
      <c r="N39" s="275">
        <f t="shared" si="14"/>
        <v>2550</v>
      </c>
      <c r="O39" s="275">
        <f t="shared" si="15"/>
        <v>2550</v>
      </c>
      <c r="Q39" s="289">
        <v>1700</v>
      </c>
      <c r="R39" s="289">
        <v>2100</v>
      </c>
      <c r="S39" s="289">
        <v>2100</v>
      </c>
    </row>
    <row r="40" spans="1:19" ht="12.75">
      <c r="A40" s="287"/>
      <c r="B40" s="288" t="s">
        <v>562</v>
      </c>
      <c r="C40" s="288" t="s">
        <v>583</v>
      </c>
      <c r="D40" s="288" t="s">
        <v>584</v>
      </c>
      <c r="E40" s="275">
        <v>40</v>
      </c>
      <c r="F40" s="275" t="s">
        <v>532</v>
      </c>
      <c r="G40" s="289">
        <f t="shared" si="9"/>
        <v>1900</v>
      </c>
      <c r="H40" s="289">
        <f t="shared" si="10"/>
        <v>2200</v>
      </c>
      <c r="I40" s="289">
        <f t="shared" si="11"/>
        <v>2300</v>
      </c>
      <c r="J40" s="275">
        <f t="shared" si="12"/>
        <v>250</v>
      </c>
      <c r="L40" s="291">
        <v>-60</v>
      </c>
      <c r="M40" s="275">
        <f t="shared" si="13"/>
        <v>2150</v>
      </c>
      <c r="N40" s="275">
        <f t="shared" si="14"/>
        <v>2450</v>
      </c>
      <c r="O40" s="275">
        <f t="shared" si="15"/>
        <v>2550</v>
      </c>
      <c r="Q40" s="289">
        <v>1800</v>
      </c>
      <c r="R40" s="289">
        <v>2100</v>
      </c>
      <c r="S40" s="289">
        <v>2200</v>
      </c>
    </row>
    <row r="41" spans="1:19" ht="12.75">
      <c r="A41" s="287"/>
      <c r="B41" s="288" t="s">
        <v>562</v>
      </c>
      <c r="C41" s="288" t="s">
        <v>585</v>
      </c>
      <c r="D41" s="288" t="s">
        <v>586</v>
      </c>
      <c r="E41" s="275">
        <v>40</v>
      </c>
      <c r="F41" s="275">
        <v>80</v>
      </c>
      <c r="G41" s="289">
        <f t="shared" si="9"/>
        <v>1900</v>
      </c>
      <c r="H41" s="289">
        <f t="shared" si="10"/>
        <v>2200</v>
      </c>
      <c r="I41" s="289">
        <f t="shared" si="11"/>
        <v>2400</v>
      </c>
      <c r="J41" s="275">
        <f t="shared" si="12"/>
        <v>350</v>
      </c>
      <c r="L41" s="291">
        <v>-60</v>
      </c>
      <c r="M41" s="275">
        <f t="shared" si="13"/>
        <v>2250</v>
      </c>
      <c r="N41" s="275">
        <f t="shared" si="14"/>
        <v>2550</v>
      </c>
      <c r="O41" s="275">
        <f t="shared" si="15"/>
        <v>2750</v>
      </c>
      <c r="Q41" s="289">
        <v>1800</v>
      </c>
      <c r="R41" s="289">
        <v>2100</v>
      </c>
      <c r="S41" s="289">
        <v>2300</v>
      </c>
    </row>
    <row r="42" spans="1:19" ht="12.75">
      <c r="A42" s="287"/>
      <c r="B42" s="288" t="s">
        <v>562</v>
      </c>
      <c r="C42" s="288" t="s">
        <v>587</v>
      </c>
      <c r="D42" s="288" t="s">
        <v>588</v>
      </c>
      <c r="E42" s="275">
        <v>40</v>
      </c>
      <c r="F42" s="275" t="s">
        <v>532</v>
      </c>
      <c r="G42" s="289">
        <f t="shared" si="9"/>
        <v>2100</v>
      </c>
      <c r="H42" s="289">
        <f t="shared" si="10"/>
        <v>2500</v>
      </c>
      <c r="I42" s="289">
        <f t="shared" si="11"/>
        <v>2600</v>
      </c>
      <c r="J42" s="275">
        <f t="shared" si="12"/>
        <v>250</v>
      </c>
      <c r="L42" s="291">
        <v>-60</v>
      </c>
      <c r="M42" s="275">
        <f t="shared" si="13"/>
        <v>2350</v>
      </c>
      <c r="N42" s="275">
        <f t="shared" si="14"/>
        <v>2750</v>
      </c>
      <c r="O42" s="275">
        <f t="shared" si="15"/>
        <v>2850</v>
      </c>
      <c r="Q42" s="289">
        <v>2000</v>
      </c>
      <c r="R42" s="289">
        <v>2400</v>
      </c>
      <c r="S42" s="289">
        <v>2500</v>
      </c>
    </row>
    <row r="43" spans="1:19" ht="12.75">
      <c r="A43" s="287"/>
      <c r="B43" s="288" t="s">
        <v>562</v>
      </c>
      <c r="C43" s="288" t="s">
        <v>589</v>
      </c>
      <c r="D43" s="288" t="s">
        <v>590</v>
      </c>
      <c r="E43" s="275">
        <v>40</v>
      </c>
      <c r="F43" s="275">
        <v>80</v>
      </c>
      <c r="G43" s="289">
        <f t="shared" si="9"/>
        <v>1800</v>
      </c>
      <c r="H43" s="289">
        <f t="shared" si="10"/>
        <v>2300</v>
      </c>
      <c r="I43" s="289">
        <f t="shared" si="11"/>
        <v>2400</v>
      </c>
      <c r="J43" s="275">
        <f t="shared" si="12"/>
        <v>350</v>
      </c>
      <c r="L43" s="291">
        <v>-60</v>
      </c>
      <c r="M43" s="275">
        <f t="shared" si="13"/>
        <v>2150</v>
      </c>
      <c r="N43" s="275">
        <f t="shared" si="14"/>
        <v>2650</v>
      </c>
      <c r="O43" s="275">
        <f t="shared" si="15"/>
        <v>2750</v>
      </c>
      <c r="Q43" s="289">
        <v>1700</v>
      </c>
      <c r="R43" s="289">
        <v>2200</v>
      </c>
      <c r="S43" s="289">
        <v>2300</v>
      </c>
    </row>
    <row r="44" spans="1:19" ht="12.75">
      <c r="A44" s="287"/>
      <c r="B44" s="288" t="s">
        <v>562</v>
      </c>
      <c r="C44" s="288" t="s">
        <v>591</v>
      </c>
      <c r="D44" s="288" t="s">
        <v>592</v>
      </c>
      <c r="E44" s="275">
        <v>40</v>
      </c>
      <c r="F44" s="275" t="s">
        <v>532</v>
      </c>
      <c r="G44" s="289">
        <f t="shared" si="9"/>
        <v>2100</v>
      </c>
      <c r="H44" s="289">
        <f t="shared" si="10"/>
        <v>2500</v>
      </c>
      <c r="I44" s="289">
        <f t="shared" si="11"/>
        <v>2600</v>
      </c>
      <c r="J44" s="275">
        <f t="shared" si="12"/>
        <v>250</v>
      </c>
      <c r="L44" s="291">
        <v>-60</v>
      </c>
      <c r="M44" s="275">
        <f t="shared" si="13"/>
        <v>2350</v>
      </c>
      <c r="N44" s="275">
        <f t="shared" si="14"/>
        <v>2750</v>
      </c>
      <c r="O44" s="275">
        <f t="shared" si="15"/>
        <v>2850</v>
      </c>
      <c r="Q44" s="289">
        <v>2000</v>
      </c>
      <c r="R44" s="289">
        <v>2400</v>
      </c>
      <c r="S44" s="289">
        <v>2500</v>
      </c>
    </row>
    <row r="45" spans="1:19" ht="12.75">
      <c r="A45" s="287"/>
      <c r="B45" s="288" t="s">
        <v>562</v>
      </c>
      <c r="C45" s="288" t="s">
        <v>593</v>
      </c>
      <c r="D45" s="288" t="s">
        <v>594</v>
      </c>
      <c r="E45" s="275">
        <v>48</v>
      </c>
      <c r="F45" s="275">
        <v>80</v>
      </c>
      <c r="G45" s="289">
        <f t="shared" si="9"/>
        <v>2000</v>
      </c>
      <c r="H45" s="289">
        <f t="shared" si="10"/>
        <v>2500</v>
      </c>
      <c r="I45" s="289">
        <f t="shared" si="11"/>
        <v>2600</v>
      </c>
      <c r="J45" s="275">
        <f t="shared" si="12"/>
        <v>350</v>
      </c>
      <c r="L45" s="291">
        <v>-60</v>
      </c>
      <c r="M45" s="275">
        <f t="shared" si="13"/>
        <v>2350</v>
      </c>
      <c r="N45" s="275">
        <f t="shared" si="14"/>
        <v>2850</v>
      </c>
      <c r="O45" s="275">
        <f t="shared" si="15"/>
        <v>2950</v>
      </c>
      <c r="Q45" s="289">
        <v>1900</v>
      </c>
      <c r="R45" s="289">
        <v>2400</v>
      </c>
      <c r="S45" s="289">
        <v>2500</v>
      </c>
    </row>
    <row r="46" spans="1:19" ht="12.75">
      <c r="A46" s="287"/>
      <c r="B46" s="288" t="s">
        <v>562</v>
      </c>
      <c r="C46" s="288" t="s">
        <v>595</v>
      </c>
      <c r="D46" s="288" t="s">
        <v>596</v>
      </c>
      <c r="E46" s="275">
        <v>48</v>
      </c>
      <c r="F46" s="275" t="s">
        <v>532</v>
      </c>
      <c r="G46" s="289">
        <f t="shared" si="9"/>
        <v>2200</v>
      </c>
      <c r="H46" s="289">
        <f t="shared" si="10"/>
        <v>2700</v>
      </c>
      <c r="I46" s="289">
        <f t="shared" si="11"/>
        <v>2900</v>
      </c>
      <c r="J46" s="275">
        <f t="shared" si="12"/>
        <v>250</v>
      </c>
      <c r="L46" s="291">
        <v>-60</v>
      </c>
      <c r="M46" s="275">
        <f t="shared" si="13"/>
        <v>2450</v>
      </c>
      <c r="N46" s="275">
        <f t="shared" si="14"/>
        <v>2950</v>
      </c>
      <c r="O46" s="275">
        <f t="shared" si="15"/>
        <v>3150</v>
      </c>
      <c r="Q46" s="289">
        <v>2100</v>
      </c>
      <c r="R46" s="289">
        <v>2600</v>
      </c>
      <c r="S46" s="289">
        <v>2800</v>
      </c>
    </row>
    <row r="47" spans="1:19" ht="12.75">
      <c r="A47" s="287"/>
      <c r="B47" s="288" t="s">
        <v>562</v>
      </c>
      <c r="C47" s="288" t="s">
        <v>597</v>
      </c>
      <c r="D47" s="288" t="s">
        <v>598</v>
      </c>
      <c r="E47" s="275">
        <v>54</v>
      </c>
      <c r="F47" s="275" t="s">
        <v>532</v>
      </c>
      <c r="G47" s="289">
        <f t="shared" si="9"/>
        <v>2300</v>
      </c>
      <c r="H47" s="289">
        <f t="shared" si="10"/>
        <v>2700</v>
      </c>
      <c r="I47" s="289">
        <f t="shared" si="11"/>
        <v>2800</v>
      </c>
      <c r="J47" s="275">
        <f t="shared" si="12"/>
        <v>250</v>
      </c>
      <c r="L47" s="291">
        <v>-60</v>
      </c>
      <c r="M47" s="275">
        <f t="shared" si="13"/>
        <v>2550</v>
      </c>
      <c r="N47" s="275">
        <f t="shared" si="14"/>
        <v>2950</v>
      </c>
      <c r="O47" s="275">
        <f t="shared" si="15"/>
        <v>3050</v>
      </c>
      <c r="Q47" s="289">
        <v>2200</v>
      </c>
      <c r="R47" s="289">
        <v>2600</v>
      </c>
      <c r="S47" s="289">
        <v>2700</v>
      </c>
    </row>
    <row r="48" spans="1:19" ht="12.75">
      <c r="A48" s="287"/>
      <c r="B48" s="288" t="s">
        <v>562</v>
      </c>
      <c r="C48" s="288" t="s">
        <v>599</v>
      </c>
      <c r="D48" s="288" t="s">
        <v>600</v>
      </c>
      <c r="E48" s="275">
        <v>54</v>
      </c>
      <c r="F48" s="275">
        <v>80</v>
      </c>
      <c r="G48" s="289">
        <f t="shared" si="9"/>
        <v>2200</v>
      </c>
      <c r="H48" s="289">
        <f t="shared" si="10"/>
        <v>2500</v>
      </c>
      <c r="I48" s="289">
        <f t="shared" si="11"/>
        <v>2700</v>
      </c>
      <c r="J48" s="275">
        <f t="shared" si="12"/>
        <v>350</v>
      </c>
      <c r="L48" s="291">
        <v>-60</v>
      </c>
      <c r="M48" s="275">
        <f t="shared" si="13"/>
        <v>2550</v>
      </c>
      <c r="N48" s="275">
        <f t="shared" si="14"/>
        <v>2850</v>
      </c>
      <c r="O48" s="275">
        <f t="shared" si="15"/>
        <v>3050</v>
      </c>
      <c r="Q48" s="289">
        <v>2100</v>
      </c>
      <c r="R48" s="289">
        <v>2400</v>
      </c>
      <c r="S48" s="289">
        <v>2600</v>
      </c>
    </row>
    <row r="49" spans="1:19" ht="12.75">
      <c r="A49" s="287"/>
      <c r="B49" s="288" t="s">
        <v>562</v>
      </c>
      <c r="C49" s="288" t="s">
        <v>601</v>
      </c>
      <c r="D49" s="288" t="s">
        <v>602</v>
      </c>
      <c r="E49" s="275">
        <v>54</v>
      </c>
      <c r="F49" s="275" t="s">
        <v>532</v>
      </c>
      <c r="G49" s="289">
        <f t="shared" si="9"/>
        <v>2400</v>
      </c>
      <c r="H49" s="289">
        <f t="shared" si="10"/>
        <v>2800</v>
      </c>
      <c r="I49" s="289">
        <f t="shared" si="11"/>
        <v>2900</v>
      </c>
      <c r="J49" s="275">
        <f t="shared" si="12"/>
        <v>250</v>
      </c>
      <c r="L49" s="291">
        <v>-60</v>
      </c>
      <c r="M49" s="275">
        <f t="shared" si="13"/>
        <v>2650</v>
      </c>
      <c r="N49" s="275">
        <f t="shared" si="14"/>
        <v>3050</v>
      </c>
      <c r="O49" s="275">
        <f t="shared" si="15"/>
        <v>3150</v>
      </c>
      <c r="Q49" s="289">
        <v>2300</v>
      </c>
      <c r="R49" s="289">
        <v>2700</v>
      </c>
      <c r="S49" s="289">
        <v>2800</v>
      </c>
    </row>
    <row r="50" spans="1:19" ht="12.75">
      <c r="A50" s="287"/>
      <c r="B50" s="288" t="s">
        <v>562</v>
      </c>
      <c r="C50" s="288" t="s">
        <v>603</v>
      </c>
      <c r="D50" s="288" t="s">
        <v>604</v>
      </c>
      <c r="E50" s="275">
        <v>64</v>
      </c>
      <c r="F50" s="275">
        <v>120</v>
      </c>
      <c r="G50" s="289">
        <f t="shared" si="9"/>
        <v>2500</v>
      </c>
      <c r="H50" s="289">
        <f t="shared" si="10"/>
        <v>2800</v>
      </c>
      <c r="I50" s="289">
        <f t="shared" si="11"/>
        <v>3000</v>
      </c>
      <c r="J50" s="275">
        <f t="shared" si="12"/>
        <v>350</v>
      </c>
      <c r="L50" s="291">
        <v>-60</v>
      </c>
      <c r="M50" s="275">
        <f t="shared" si="13"/>
        <v>2850</v>
      </c>
      <c r="N50" s="275">
        <f t="shared" si="14"/>
        <v>3150</v>
      </c>
      <c r="O50" s="275">
        <f t="shared" si="15"/>
        <v>3350</v>
      </c>
      <c r="Q50" s="289">
        <v>2400</v>
      </c>
      <c r="R50" s="289">
        <v>2700</v>
      </c>
      <c r="S50" s="289">
        <v>2900</v>
      </c>
    </row>
    <row r="51" spans="1:19" ht="12.75">
      <c r="A51" s="287"/>
      <c r="B51" s="288" t="s">
        <v>562</v>
      </c>
      <c r="C51" s="288" t="s">
        <v>605</v>
      </c>
      <c r="D51" s="288" t="s">
        <v>606</v>
      </c>
      <c r="E51" s="275">
        <v>64</v>
      </c>
      <c r="F51" s="275" t="s">
        <v>532</v>
      </c>
      <c r="G51" s="289">
        <f t="shared" si="9"/>
        <v>2500</v>
      </c>
      <c r="H51" s="289">
        <f t="shared" si="10"/>
        <v>2800</v>
      </c>
      <c r="I51" s="289">
        <f t="shared" si="11"/>
        <v>3000</v>
      </c>
      <c r="J51" s="275">
        <f t="shared" si="12"/>
        <v>250</v>
      </c>
      <c r="L51" s="291">
        <v>-60</v>
      </c>
      <c r="M51" s="275">
        <f t="shared" si="13"/>
        <v>2750</v>
      </c>
      <c r="N51" s="275">
        <f t="shared" si="14"/>
        <v>3050</v>
      </c>
      <c r="O51" s="275">
        <f t="shared" si="15"/>
        <v>3250</v>
      </c>
      <c r="Q51" s="289">
        <v>2400</v>
      </c>
      <c r="R51" s="289">
        <v>2700</v>
      </c>
      <c r="S51" s="289">
        <v>2900</v>
      </c>
    </row>
    <row r="52" spans="1:19" ht="12.75">
      <c r="A52" s="287"/>
      <c r="B52" s="288" t="s">
        <v>562</v>
      </c>
      <c r="C52" s="288" t="s">
        <v>607</v>
      </c>
      <c r="D52" s="288" t="s">
        <v>608</v>
      </c>
      <c r="E52" s="275">
        <v>64</v>
      </c>
      <c r="F52" s="275">
        <v>80</v>
      </c>
      <c r="G52" s="289">
        <f t="shared" si="9"/>
        <v>2400</v>
      </c>
      <c r="H52" s="289">
        <f t="shared" si="10"/>
        <v>2700</v>
      </c>
      <c r="I52" s="289">
        <f t="shared" si="11"/>
        <v>2900</v>
      </c>
      <c r="J52" s="275">
        <f t="shared" si="12"/>
        <v>350</v>
      </c>
      <c r="L52" s="291">
        <v>-60</v>
      </c>
      <c r="M52" s="275">
        <f t="shared" si="13"/>
        <v>2750</v>
      </c>
      <c r="N52" s="275">
        <f t="shared" si="14"/>
        <v>3050</v>
      </c>
      <c r="O52" s="275">
        <f t="shared" si="15"/>
        <v>3250</v>
      </c>
      <c r="Q52" s="289">
        <v>2300</v>
      </c>
      <c r="R52" s="289">
        <v>2600</v>
      </c>
      <c r="S52" s="289">
        <v>2800</v>
      </c>
    </row>
    <row r="53" spans="1:19" ht="12.75">
      <c r="A53" s="287"/>
      <c r="B53" s="288" t="s">
        <v>562</v>
      </c>
      <c r="C53" s="288" t="s">
        <v>609</v>
      </c>
      <c r="D53" s="288" t="s">
        <v>610</v>
      </c>
      <c r="E53" s="275">
        <v>80</v>
      </c>
      <c r="F53" s="275">
        <v>120</v>
      </c>
      <c r="G53" s="289">
        <f t="shared" si="9"/>
        <v>2700</v>
      </c>
      <c r="H53" s="289">
        <f t="shared" si="10"/>
        <v>3000</v>
      </c>
      <c r="I53" s="289">
        <f t="shared" si="11"/>
        <v>3200</v>
      </c>
      <c r="J53" s="275">
        <f t="shared" si="12"/>
        <v>350</v>
      </c>
      <c r="L53" s="291">
        <v>-60</v>
      </c>
      <c r="M53" s="275">
        <f t="shared" si="13"/>
        <v>3050</v>
      </c>
      <c r="N53" s="275">
        <f t="shared" si="14"/>
        <v>3350</v>
      </c>
      <c r="O53" s="275">
        <f t="shared" si="15"/>
        <v>3550</v>
      </c>
      <c r="Q53" s="289">
        <v>2600</v>
      </c>
      <c r="R53" s="289">
        <v>2900</v>
      </c>
      <c r="S53" s="289">
        <v>3100</v>
      </c>
    </row>
    <row r="54" spans="1:19" ht="12.75">
      <c r="A54" s="287"/>
      <c r="B54" s="288" t="s">
        <v>562</v>
      </c>
      <c r="C54" s="288" t="s">
        <v>611</v>
      </c>
      <c r="D54" s="288" t="s">
        <v>612</v>
      </c>
      <c r="E54" s="275">
        <v>80</v>
      </c>
      <c r="F54" s="275">
        <v>120</v>
      </c>
      <c r="G54" s="289">
        <f t="shared" si="9"/>
        <v>2800</v>
      </c>
      <c r="H54" s="289">
        <f t="shared" si="10"/>
        <v>3100</v>
      </c>
      <c r="I54" s="289">
        <f t="shared" si="11"/>
        <v>3300</v>
      </c>
      <c r="J54" s="275">
        <f t="shared" si="12"/>
        <v>350</v>
      </c>
      <c r="L54" s="291">
        <v>-60</v>
      </c>
      <c r="M54" s="275">
        <f t="shared" si="13"/>
        <v>3150</v>
      </c>
      <c r="N54" s="275">
        <f t="shared" si="14"/>
        <v>3450</v>
      </c>
      <c r="O54" s="275">
        <f t="shared" si="15"/>
        <v>3650</v>
      </c>
      <c r="Q54" s="289">
        <v>2700</v>
      </c>
      <c r="R54" s="289">
        <v>3000</v>
      </c>
      <c r="S54" s="289">
        <v>3200</v>
      </c>
    </row>
    <row r="55" spans="1:19" ht="12.75">
      <c r="A55" s="287"/>
      <c r="B55" s="288" t="s">
        <v>562</v>
      </c>
      <c r="C55" s="288" t="s">
        <v>613</v>
      </c>
      <c r="D55" s="288" t="s">
        <v>614</v>
      </c>
      <c r="E55" s="275">
        <v>24</v>
      </c>
      <c r="F55" s="275" t="s">
        <v>532</v>
      </c>
      <c r="G55" s="289">
        <f t="shared" si="9"/>
        <v>1500</v>
      </c>
      <c r="H55" s="289">
        <f t="shared" si="10"/>
        <v>1700</v>
      </c>
      <c r="I55" s="289">
        <f t="shared" si="11"/>
        <v>1800</v>
      </c>
      <c r="J55" s="275">
        <f t="shared" si="12"/>
        <v>250</v>
      </c>
      <c r="L55" s="291">
        <v>-60</v>
      </c>
      <c r="M55" s="275">
        <f t="shared" si="13"/>
        <v>1750</v>
      </c>
      <c r="N55" s="275">
        <f t="shared" si="14"/>
        <v>1950</v>
      </c>
      <c r="O55" s="275">
        <f t="shared" si="15"/>
        <v>2050</v>
      </c>
      <c r="Q55" s="289">
        <v>1400</v>
      </c>
      <c r="R55" s="289">
        <v>1600</v>
      </c>
      <c r="S55" s="289">
        <v>1700</v>
      </c>
    </row>
    <row r="56" spans="1:19" ht="12.75">
      <c r="A56" s="287"/>
      <c r="B56" s="288" t="s">
        <v>562</v>
      </c>
      <c r="C56" s="288" t="s">
        <v>615</v>
      </c>
      <c r="D56" s="288" t="s">
        <v>616</v>
      </c>
      <c r="E56" s="275">
        <v>27</v>
      </c>
      <c r="F56" s="275" t="s">
        <v>532</v>
      </c>
      <c r="G56" s="289">
        <f t="shared" si="9"/>
        <v>1600</v>
      </c>
      <c r="H56" s="289">
        <f t="shared" si="10"/>
        <v>1900</v>
      </c>
      <c r="I56" s="289">
        <f t="shared" si="11"/>
        <v>2000</v>
      </c>
      <c r="J56" s="275">
        <f t="shared" si="12"/>
        <v>250</v>
      </c>
      <c r="L56" s="291">
        <v>-60</v>
      </c>
      <c r="M56" s="275">
        <f t="shared" si="13"/>
        <v>1850</v>
      </c>
      <c r="N56" s="275">
        <f t="shared" si="14"/>
        <v>2150</v>
      </c>
      <c r="O56" s="275">
        <f t="shared" si="15"/>
        <v>2250</v>
      </c>
      <c r="Q56" s="289">
        <v>1500</v>
      </c>
      <c r="R56" s="289">
        <v>1800</v>
      </c>
      <c r="S56" s="289">
        <v>1900</v>
      </c>
    </row>
    <row r="57" spans="1:19" ht="12.75">
      <c r="A57" s="287"/>
      <c r="B57" s="288" t="s">
        <v>562</v>
      </c>
      <c r="C57" s="288" t="s">
        <v>617</v>
      </c>
      <c r="D57" s="288" t="s">
        <v>618</v>
      </c>
      <c r="E57" s="275">
        <v>32</v>
      </c>
      <c r="F57" s="275" t="s">
        <v>532</v>
      </c>
      <c r="G57" s="289">
        <f t="shared" si="9"/>
        <v>1800</v>
      </c>
      <c r="H57" s="289">
        <f t="shared" si="10"/>
        <v>2200</v>
      </c>
      <c r="I57" s="289">
        <f t="shared" si="11"/>
        <v>2200</v>
      </c>
      <c r="J57" s="275">
        <f t="shared" si="12"/>
        <v>250</v>
      </c>
      <c r="L57" s="291">
        <v>-60</v>
      </c>
      <c r="M57" s="275">
        <f t="shared" si="13"/>
        <v>2050</v>
      </c>
      <c r="N57" s="275">
        <f t="shared" si="14"/>
        <v>2450</v>
      </c>
      <c r="O57" s="275">
        <f t="shared" si="15"/>
        <v>2450</v>
      </c>
      <c r="Q57" s="289">
        <v>1700</v>
      </c>
      <c r="R57" s="289">
        <v>2100</v>
      </c>
      <c r="S57" s="289">
        <v>2100</v>
      </c>
    </row>
    <row r="58" spans="1:19" ht="12.75">
      <c r="A58" s="287"/>
      <c r="B58" s="288" t="s">
        <v>562</v>
      </c>
      <c r="C58" s="288" t="s">
        <v>619</v>
      </c>
      <c r="D58" s="288" t="s">
        <v>620</v>
      </c>
      <c r="E58" s="275">
        <v>40</v>
      </c>
      <c r="F58" s="275" t="s">
        <v>532</v>
      </c>
      <c r="G58" s="289">
        <f t="shared" si="9"/>
        <v>2100</v>
      </c>
      <c r="H58" s="289">
        <f t="shared" si="10"/>
        <v>2500</v>
      </c>
      <c r="I58" s="289">
        <f t="shared" si="11"/>
        <v>2600</v>
      </c>
      <c r="J58" s="275">
        <f t="shared" si="12"/>
        <v>250</v>
      </c>
      <c r="L58" s="291">
        <v>-60</v>
      </c>
      <c r="M58" s="275">
        <f t="shared" si="13"/>
        <v>2350</v>
      </c>
      <c r="N58" s="275">
        <f t="shared" si="14"/>
        <v>2750</v>
      </c>
      <c r="O58" s="275">
        <f t="shared" si="15"/>
        <v>2850</v>
      </c>
      <c r="Q58" s="289">
        <v>2000</v>
      </c>
      <c r="R58" s="289">
        <v>2400</v>
      </c>
      <c r="S58" s="289">
        <v>2500</v>
      </c>
    </row>
    <row r="59" spans="1:19" ht="12.75">
      <c r="A59" s="287"/>
      <c r="B59" s="288" t="s">
        <v>621</v>
      </c>
      <c r="C59" s="288" t="s">
        <v>622</v>
      </c>
      <c r="D59" s="288" t="s">
        <v>623</v>
      </c>
      <c r="E59" s="275">
        <v>32</v>
      </c>
      <c r="F59" s="275" t="s">
        <v>532</v>
      </c>
      <c r="G59" s="289">
        <f t="shared" si="9"/>
        <v>1900</v>
      </c>
      <c r="H59" s="289">
        <f t="shared" si="10"/>
        <v>2200</v>
      </c>
      <c r="I59" s="289">
        <f t="shared" si="11"/>
        <v>2300</v>
      </c>
      <c r="J59" s="275">
        <f t="shared" si="12"/>
        <v>250</v>
      </c>
      <c r="L59" s="291">
        <v>-60</v>
      </c>
      <c r="M59" s="275">
        <f t="shared" si="13"/>
        <v>2150</v>
      </c>
      <c r="N59" s="275">
        <f t="shared" si="14"/>
        <v>2450</v>
      </c>
      <c r="O59" s="275">
        <f t="shared" si="15"/>
        <v>2550</v>
      </c>
      <c r="Q59" s="289">
        <v>1800</v>
      </c>
      <c r="R59" s="289">
        <v>2100</v>
      </c>
      <c r="S59" s="289">
        <v>2200</v>
      </c>
    </row>
    <row r="60" spans="1:19" ht="12.75">
      <c r="A60" s="287"/>
      <c r="B60" s="288" t="s">
        <v>621</v>
      </c>
      <c r="C60" s="288" t="s">
        <v>624</v>
      </c>
      <c r="D60" s="288" t="s">
        <v>625</v>
      </c>
      <c r="E60" s="275">
        <v>40</v>
      </c>
      <c r="F60" s="275" t="s">
        <v>532</v>
      </c>
      <c r="G60" s="289">
        <f t="shared" si="9"/>
        <v>2000</v>
      </c>
      <c r="H60" s="289">
        <f t="shared" si="10"/>
        <v>2400</v>
      </c>
      <c r="I60" s="289">
        <f t="shared" si="11"/>
        <v>2500</v>
      </c>
      <c r="J60" s="275">
        <f t="shared" si="12"/>
        <v>250</v>
      </c>
      <c r="L60" s="291">
        <v>-60</v>
      </c>
      <c r="M60" s="275">
        <f t="shared" si="13"/>
        <v>2250</v>
      </c>
      <c r="N60" s="275">
        <f t="shared" si="14"/>
        <v>2650</v>
      </c>
      <c r="O60" s="275">
        <f t="shared" si="15"/>
        <v>2750</v>
      </c>
      <c r="Q60" s="289">
        <v>1900</v>
      </c>
      <c r="R60" s="289">
        <v>2300</v>
      </c>
      <c r="S60" s="289">
        <v>2400</v>
      </c>
    </row>
    <row r="61" spans="1:19" ht="12.75">
      <c r="A61" s="287"/>
      <c r="B61" s="288" t="s">
        <v>626</v>
      </c>
      <c r="C61" s="288" t="s">
        <v>627</v>
      </c>
      <c r="D61" s="288" t="s">
        <v>628</v>
      </c>
      <c r="E61" s="275">
        <v>27</v>
      </c>
      <c r="F61" s="275" t="s">
        <v>532</v>
      </c>
      <c r="G61" s="289">
        <f t="shared" si="9"/>
        <v>1300</v>
      </c>
      <c r="H61" s="289">
        <f t="shared" si="10"/>
        <v>1700</v>
      </c>
      <c r="I61" s="289">
        <f t="shared" si="11"/>
        <v>1700</v>
      </c>
      <c r="J61" s="275">
        <f t="shared" si="12"/>
        <v>250</v>
      </c>
      <c r="L61" s="291">
        <v>-60</v>
      </c>
      <c r="M61" s="275">
        <f t="shared" si="13"/>
        <v>1550</v>
      </c>
      <c r="N61" s="275">
        <f t="shared" si="14"/>
        <v>1950</v>
      </c>
      <c r="O61" s="275">
        <f t="shared" si="15"/>
        <v>1950</v>
      </c>
      <c r="Q61" s="289">
        <v>1200</v>
      </c>
      <c r="R61" s="289">
        <v>1600</v>
      </c>
      <c r="S61" s="289">
        <v>1600</v>
      </c>
    </row>
    <row r="62" spans="1:19" ht="12.75">
      <c r="A62" s="287"/>
      <c r="B62" s="288" t="s">
        <v>626</v>
      </c>
      <c r="C62" s="288" t="s">
        <v>629</v>
      </c>
      <c r="D62" s="288" t="s">
        <v>630</v>
      </c>
      <c r="E62" s="275">
        <v>27</v>
      </c>
      <c r="F62" s="275" t="s">
        <v>532</v>
      </c>
      <c r="G62" s="289">
        <f t="shared" si="9"/>
        <v>1300</v>
      </c>
      <c r="H62" s="289">
        <f t="shared" si="10"/>
        <v>1700</v>
      </c>
      <c r="I62" s="289">
        <f t="shared" si="11"/>
        <v>1600</v>
      </c>
      <c r="J62" s="275">
        <f t="shared" si="12"/>
        <v>250</v>
      </c>
      <c r="L62" s="291">
        <v>-60</v>
      </c>
      <c r="M62" s="275">
        <f t="shared" si="13"/>
        <v>1550</v>
      </c>
      <c r="N62" s="275">
        <f t="shared" si="14"/>
        <v>1950</v>
      </c>
      <c r="O62" s="275">
        <f t="shared" si="15"/>
        <v>1850</v>
      </c>
      <c r="Q62" s="289">
        <v>1200</v>
      </c>
      <c r="R62" s="289">
        <v>1600</v>
      </c>
      <c r="S62" s="289">
        <v>1500</v>
      </c>
    </row>
    <row r="63" spans="1:19" ht="12.75">
      <c r="A63" s="287"/>
      <c r="B63" s="288" t="s">
        <v>626</v>
      </c>
      <c r="C63" s="288" t="s">
        <v>631</v>
      </c>
      <c r="D63" s="288" t="s">
        <v>632</v>
      </c>
      <c r="E63" s="275">
        <v>32</v>
      </c>
      <c r="F63" s="275">
        <v>50</v>
      </c>
      <c r="G63" s="289">
        <f t="shared" si="9"/>
        <v>1700</v>
      </c>
      <c r="H63" s="289">
        <f t="shared" si="10"/>
        <v>2100</v>
      </c>
      <c r="I63" s="289">
        <f t="shared" si="11"/>
        <v>2200</v>
      </c>
      <c r="J63" s="275">
        <f t="shared" si="12"/>
        <v>350</v>
      </c>
      <c r="L63" s="291">
        <v>-60</v>
      </c>
      <c r="M63" s="275">
        <f t="shared" si="13"/>
        <v>2050</v>
      </c>
      <c r="N63" s="275">
        <f t="shared" si="14"/>
        <v>2450</v>
      </c>
      <c r="O63" s="275">
        <f t="shared" si="15"/>
        <v>2550</v>
      </c>
      <c r="Q63" s="289">
        <v>1600</v>
      </c>
      <c r="R63" s="289">
        <v>2000</v>
      </c>
      <c r="S63" s="289">
        <v>2100</v>
      </c>
    </row>
    <row r="64" spans="1:19" ht="12.75">
      <c r="A64" s="287"/>
      <c r="B64" s="288" t="s">
        <v>626</v>
      </c>
      <c r="C64" s="288" t="s">
        <v>633</v>
      </c>
      <c r="D64" s="288" t="s">
        <v>634</v>
      </c>
      <c r="E64" s="275">
        <v>32</v>
      </c>
      <c r="F64" s="275" t="s">
        <v>532</v>
      </c>
      <c r="G64" s="289">
        <f t="shared" si="9"/>
        <v>1600</v>
      </c>
      <c r="H64" s="289">
        <f t="shared" si="10"/>
        <v>2000</v>
      </c>
      <c r="I64" s="289">
        <f t="shared" si="11"/>
        <v>1900</v>
      </c>
      <c r="J64" s="275">
        <f t="shared" si="12"/>
        <v>250</v>
      </c>
      <c r="L64" s="291">
        <v>-60</v>
      </c>
      <c r="M64" s="275">
        <f t="shared" si="13"/>
        <v>1850</v>
      </c>
      <c r="N64" s="275">
        <f t="shared" si="14"/>
        <v>2250</v>
      </c>
      <c r="O64" s="275">
        <f t="shared" si="15"/>
        <v>2150</v>
      </c>
      <c r="Q64" s="289">
        <v>1500</v>
      </c>
      <c r="R64" s="289">
        <v>1900</v>
      </c>
      <c r="S64" s="289">
        <v>1800</v>
      </c>
    </row>
    <row r="65" spans="1:19" ht="12.75">
      <c r="A65" s="287"/>
      <c r="B65" s="288" t="s">
        <v>626</v>
      </c>
      <c r="C65" s="288" t="s">
        <v>635</v>
      </c>
      <c r="D65" s="288" t="s">
        <v>636</v>
      </c>
      <c r="E65" s="275">
        <v>40</v>
      </c>
      <c r="F65" s="275">
        <v>50</v>
      </c>
      <c r="G65" s="289">
        <f t="shared" si="9"/>
        <v>2000</v>
      </c>
      <c r="H65" s="289">
        <f t="shared" si="10"/>
        <v>2400</v>
      </c>
      <c r="I65" s="289">
        <f t="shared" si="11"/>
        <v>2500</v>
      </c>
      <c r="J65" s="275">
        <f t="shared" si="12"/>
        <v>350</v>
      </c>
      <c r="L65" s="291">
        <v>-60</v>
      </c>
      <c r="M65" s="275">
        <f t="shared" si="13"/>
        <v>2350</v>
      </c>
      <c r="N65" s="275">
        <f t="shared" si="14"/>
        <v>2750</v>
      </c>
      <c r="O65" s="275">
        <f t="shared" si="15"/>
        <v>2850</v>
      </c>
      <c r="Q65" s="289">
        <v>1900</v>
      </c>
      <c r="R65" s="289">
        <v>2300</v>
      </c>
      <c r="S65" s="289">
        <v>2400</v>
      </c>
    </row>
    <row r="66" spans="1:19" ht="12.75">
      <c r="A66" s="287"/>
      <c r="B66" s="288" t="s">
        <v>626</v>
      </c>
      <c r="C66" s="288" t="s">
        <v>637</v>
      </c>
      <c r="D66" s="288" t="s">
        <v>638</v>
      </c>
      <c r="E66" s="275">
        <v>40</v>
      </c>
      <c r="F66" s="275" t="s">
        <v>532</v>
      </c>
      <c r="G66" s="289">
        <f t="shared" si="9"/>
        <v>1800</v>
      </c>
      <c r="H66" s="289">
        <f t="shared" si="10"/>
        <v>2300</v>
      </c>
      <c r="I66" s="289">
        <f t="shared" si="11"/>
        <v>2200</v>
      </c>
      <c r="J66" s="275">
        <f t="shared" si="12"/>
        <v>250</v>
      </c>
      <c r="L66" s="291">
        <v>-60</v>
      </c>
      <c r="M66" s="275">
        <f t="shared" si="13"/>
        <v>2050</v>
      </c>
      <c r="N66" s="275">
        <f t="shared" si="14"/>
        <v>2550</v>
      </c>
      <c r="O66" s="275">
        <f t="shared" si="15"/>
        <v>2450</v>
      </c>
      <c r="Q66" s="289">
        <v>1700</v>
      </c>
      <c r="R66" s="289">
        <v>2200</v>
      </c>
      <c r="S66" s="289">
        <v>2100</v>
      </c>
    </row>
    <row r="67" spans="1:19" ht="12.75">
      <c r="A67" s="287"/>
      <c r="B67" s="288" t="s">
        <v>626</v>
      </c>
      <c r="C67" s="288" t="s">
        <v>639</v>
      </c>
      <c r="D67" s="288" t="s">
        <v>640</v>
      </c>
      <c r="E67" s="275">
        <v>54</v>
      </c>
      <c r="F67" s="275" t="s">
        <v>532</v>
      </c>
      <c r="G67" s="289">
        <f t="shared" si="9"/>
        <v>2000</v>
      </c>
      <c r="H67" s="289">
        <f t="shared" si="10"/>
        <v>2400</v>
      </c>
      <c r="I67" s="289">
        <f t="shared" si="11"/>
        <v>2500</v>
      </c>
      <c r="J67" s="275">
        <f t="shared" si="12"/>
        <v>250</v>
      </c>
      <c r="L67" s="291">
        <v>-60</v>
      </c>
      <c r="M67" s="275">
        <f t="shared" si="13"/>
        <v>2250</v>
      </c>
      <c r="N67" s="275">
        <f t="shared" si="14"/>
        <v>2650</v>
      </c>
      <c r="O67" s="275">
        <f t="shared" si="15"/>
        <v>2750</v>
      </c>
      <c r="Q67" s="289">
        <v>1900</v>
      </c>
      <c r="R67" s="289">
        <v>2300</v>
      </c>
      <c r="S67" s="289">
        <v>2400</v>
      </c>
    </row>
    <row r="68" spans="1:19" ht="12.75">
      <c r="A68" s="287"/>
      <c r="B68" s="288" t="s">
        <v>626</v>
      </c>
      <c r="C68" s="288" t="s">
        <v>641</v>
      </c>
      <c r="D68" s="288" t="s">
        <v>642</v>
      </c>
      <c r="E68" s="275">
        <v>54</v>
      </c>
      <c r="F68" s="275">
        <v>80</v>
      </c>
      <c r="G68" s="289">
        <f t="shared" si="9"/>
        <v>2200</v>
      </c>
      <c r="H68" s="289">
        <f t="shared" si="10"/>
        <v>2600</v>
      </c>
      <c r="I68" s="289">
        <f t="shared" si="11"/>
        <v>2800</v>
      </c>
      <c r="J68" s="275">
        <f t="shared" si="12"/>
        <v>350</v>
      </c>
      <c r="L68" s="291">
        <v>-60</v>
      </c>
      <c r="M68" s="275">
        <f t="shared" si="13"/>
        <v>2550</v>
      </c>
      <c r="N68" s="275">
        <f t="shared" si="14"/>
        <v>2950</v>
      </c>
      <c r="O68" s="275">
        <f t="shared" si="15"/>
        <v>3150</v>
      </c>
      <c r="Q68" s="289">
        <v>2100</v>
      </c>
      <c r="R68" s="289">
        <v>2500</v>
      </c>
      <c r="S68" s="289">
        <v>2700</v>
      </c>
    </row>
    <row r="69" spans="1:19" ht="12.75">
      <c r="A69" s="287"/>
      <c r="B69" s="288" t="s">
        <v>626</v>
      </c>
      <c r="C69" s="288" t="s">
        <v>643</v>
      </c>
      <c r="D69" s="288" t="s">
        <v>644</v>
      </c>
      <c r="E69" s="275">
        <v>54</v>
      </c>
      <c r="F69" s="275" t="s">
        <v>532</v>
      </c>
      <c r="G69" s="289">
        <f t="shared" si="9"/>
        <v>2000</v>
      </c>
      <c r="H69" s="289">
        <f t="shared" si="10"/>
        <v>2500</v>
      </c>
      <c r="I69" s="289">
        <f t="shared" si="11"/>
        <v>2500</v>
      </c>
      <c r="J69" s="275">
        <f t="shared" si="12"/>
        <v>250</v>
      </c>
      <c r="L69" s="291">
        <v>-60</v>
      </c>
      <c r="M69" s="275">
        <f aca="true" t="shared" si="16" ref="M69:M100">G69+$J69</f>
        <v>2250</v>
      </c>
      <c r="N69" s="275">
        <f aca="true" t="shared" si="17" ref="N69:N100">H69+$J69</f>
        <v>2750</v>
      </c>
      <c r="O69" s="275">
        <f aca="true" t="shared" si="18" ref="O69:O100">I69+$J69</f>
        <v>2750</v>
      </c>
      <c r="Q69" s="289">
        <v>1900</v>
      </c>
      <c r="R69" s="289">
        <v>2400</v>
      </c>
      <c r="S69" s="289">
        <v>2400</v>
      </c>
    </row>
    <row r="70" spans="1:19" ht="12.75">
      <c r="A70" s="287"/>
      <c r="B70" s="288" t="s">
        <v>626</v>
      </c>
      <c r="C70" s="288" t="s">
        <v>645</v>
      </c>
      <c r="D70" s="288" t="s">
        <v>646</v>
      </c>
      <c r="E70" s="275">
        <v>64</v>
      </c>
      <c r="F70" s="275">
        <v>120</v>
      </c>
      <c r="G70" s="289">
        <f t="shared" si="9"/>
        <v>2400</v>
      </c>
      <c r="H70" s="289">
        <f t="shared" si="10"/>
        <v>2800</v>
      </c>
      <c r="I70" s="289">
        <f t="shared" si="11"/>
        <v>3000</v>
      </c>
      <c r="J70" s="275">
        <f t="shared" si="12"/>
        <v>350</v>
      </c>
      <c r="L70" s="291">
        <v>-60</v>
      </c>
      <c r="M70" s="275">
        <f t="shared" si="16"/>
        <v>2750</v>
      </c>
      <c r="N70" s="275">
        <f t="shared" si="17"/>
        <v>3150</v>
      </c>
      <c r="O70" s="275">
        <f t="shared" si="18"/>
        <v>3350</v>
      </c>
      <c r="Q70" s="289">
        <v>2300</v>
      </c>
      <c r="R70" s="289">
        <v>2700</v>
      </c>
      <c r="S70" s="289">
        <v>2900</v>
      </c>
    </row>
    <row r="71" spans="1:19" ht="12.75">
      <c r="A71" s="287"/>
      <c r="B71" s="288" t="s">
        <v>626</v>
      </c>
      <c r="C71" s="288" t="s">
        <v>647</v>
      </c>
      <c r="D71" s="288" t="s">
        <v>648</v>
      </c>
      <c r="E71" s="275">
        <v>64</v>
      </c>
      <c r="F71" s="275" t="s">
        <v>532</v>
      </c>
      <c r="G71" s="289">
        <f t="shared" si="9"/>
        <v>2200</v>
      </c>
      <c r="H71" s="289">
        <f t="shared" si="10"/>
        <v>2600</v>
      </c>
      <c r="I71" s="289">
        <f t="shared" si="11"/>
        <v>2700</v>
      </c>
      <c r="J71" s="275">
        <f t="shared" si="12"/>
        <v>250</v>
      </c>
      <c r="L71" s="291">
        <v>-60</v>
      </c>
      <c r="M71" s="275">
        <f t="shared" si="16"/>
        <v>2450</v>
      </c>
      <c r="N71" s="275">
        <f t="shared" si="17"/>
        <v>2850</v>
      </c>
      <c r="O71" s="275">
        <f t="shared" si="18"/>
        <v>2950</v>
      </c>
      <c r="Q71" s="289">
        <v>2100</v>
      </c>
      <c r="R71" s="289">
        <v>2500</v>
      </c>
      <c r="S71" s="289">
        <v>2600</v>
      </c>
    </row>
    <row r="72" spans="1:19" ht="12.75">
      <c r="A72" s="287"/>
      <c r="B72" s="288" t="s">
        <v>626</v>
      </c>
      <c r="C72" s="288" t="s">
        <v>649</v>
      </c>
      <c r="D72" s="288" t="s">
        <v>650</v>
      </c>
      <c r="E72" s="275">
        <v>80</v>
      </c>
      <c r="F72" s="275">
        <v>120</v>
      </c>
      <c r="G72" s="289">
        <f t="shared" si="9"/>
        <v>2600</v>
      </c>
      <c r="H72" s="289">
        <f t="shared" si="10"/>
        <v>2900</v>
      </c>
      <c r="I72" s="289">
        <f t="shared" si="11"/>
        <v>3200</v>
      </c>
      <c r="J72" s="275">
        <f t="shared" si="12"/>
        <v>350</v>
      </c>
      <c r="L72" s="291">
        <v>-60</v>
      </c>
      <c r="M72" s="275">
        <f t="shared" si="16"/>
        <v>2950</v>
      </c>
      <c r="N72" s="275">
        <f t="shared" si="17"/>
        <v>3250</v>
      </c>
      <c r="O72" s="275">
        <f t="shared" si="18"/>
        <v>3550</v>
      </c>
      <c r="Q72" s="289">
        <v>2500</v>
      </c>
      <c r="R72" s="289">
        <v>2800</v>
      </c>
      <c r="S72" s="289">
        <v>3100</v>
      </c>
    </row>
    <row r="73" spans="1:19" ht="12.75">
      <c r="A73" s="287"/>
      <c r="B73" s="288" t="s">
        <v>626</v>
      </c>
      <c r="C73" s="288" t="s">
        <v>651</v>
      </c>
      <c r="D73" s="288" t="s">
        <v>652</v>
      </c>
      <c r="E73" s="275">
        <v>80</v>
      </c>
      <c r="F73" s="275" t="s">
        <v>532</v>
      </c>
      <c r="G73" s="289">
        <f t="shared" si="9"/>
        <v>2300</v>
      </c>
      <c r="H73" s="289">
        <f t="shared" si="10"/>
        <v>2800</v>
      </c>
      <c r="I73" s="289">
        <f t="shared" si="11"/>
        <v>2900</v>
      </c>
      <c r="J73" s="275">
        <f t="shared" si="12"/>
        <v>250</v>
      </c>
      <c r="L73" s="291">
        <v>-60</v>
      </c>
      <c r="M73" s="275">
        <f t="shared" si="16"/>
        <v>2550</v>
      </c>
      <c r="N73" s="275">
        <f t="shared" si="17"/>
        <v>3050</v>
      </c>
      <c r="O73" s="275">
        <f t="shared" si="18"/>
        <v>3150</v>
      </c>
      <c r="Q73" s="289">
        <v>2200</v>
      </c>
      <c r="R73" s="289">
        <v>2700</v>
      </c>
      <c r="S73" s="289">
        <v>2800</v>
      </c>
    </row>
    <row r="74" spans="1:19" ht="12.75">
      <c r="A74" s="284" t="s">
        <v>653</v>
      </c>
      <c r="B74" s="284"/>
      <c r="C74" s="284"/>
      <c r="D74" s="284"/>
      <c r="E74" s="285"/>
      <c r="F74" s="285"/>
      <c r="G74" s="286"/>
      <c r="H74" s="286"/>
      <c r="I74" s="286"/>
      <c r="J74" s="286"/>
      <c r="K74" s="286"/>
      <c r="L74" s="292"/>
      <c r="M74" s="275">
        <f t="shared" si="16"/>
        <v>0</v>
      </c>
      <c r="N74" s="275">
        <f t="shared" si="17"/>
        <v>0</v>
      </c>
      <c r="O74" s="275">
        <f t="shared" si="18"/>
        <v>0</v>
      </c>
      <c r="Q74" s="286"/>
      <c r="R74" s="286"/>
      <c r="S74" s="286"/>
    </row>
    <row r="75" spans="1:19" ht="12.75">
      <c r="A75" s="287"/>
      <c r="B75" s="288" t="s">
        <v>654</v>
      </c>
      <c r="C75" s="288" t="s">
        <v>655</v>
      </c>
      <c r="D75" s="288" t="s">
        <v>656</v>
      </c>
      <c r="E75" s="275">
        <v>40</v>
      </c>
      <c r="F75" s="275">
        <v>60</v>
      </c>
      <c r="G75" s="289">
        <f>Q75+$W$13</f>
        <v>1700</v>
      </c>
      <c r="H75" s="289">
        <f>R75+$W$13</f>
        <v>2100</v>
      </c>
      <c r="I75" s="289">
        <f>S75+$W$13</f>
        <v>2200</v>
      </c>
      <c r="J75" s="275">
        <f>IF(F75="n/a",250,350)</f>
        <v>350</v>
      </c>
      <c r="L75" s="291">
        <v>-60</v>
      </c>
      <c r="M75" s="275">
        <f t="shared" si="16"/>
        <v>2050</v>
      </c>
      <c r="N75" s="275">
        <f t="shared" si="17"/>
        <v>2450</v>
      </c>
      <c r="O75" s="275">
        <f t="shared" si="18"/>
        <v>2550</v>
      </c>
      <c r="Q75" s="289">
        <v>1600</v>
      </c>
      <c r="R75" s="289">
        <v>2000</v>
      </c>
      <c r="S75" s="289">
        <v>2100</v>
      </c>
    </row>
    <row r="76" spans="1:19" ht="12.75">
      <c r="A76" s="284" t="s">
        <v>657</v>
      </c>
      <c r="B76" s="284"/>
      <c r="C76" s="284"/>
      <c r="D76" s="284"/>
      <c r="E76" s="285"/>
      <c r="F76" s="285"/>
      <c r="G76" s="286"/>
      <c r="H76" s="286"/>
      <c r="I76" s="286"/>
      <c r="J76" s="286"/>
      <c r="K76" s="286"/>
      <c r="L76" s="292"/>
      <c r="M76" s="275">
        <f t="shared" si="16"/>
        <v>0</v>
      </c>
      <c r="N76" s="275">
        <f t="shared" si="17"/>
        <v>0</v>
      </c>
      <c r="O76" s="275">
        <f t="shared" si="18"/>
        <v>0</v>
      </c>
      <c r="Q76" s="286"/>
      <c r="R76" s="286"/>
      <c r="S76" s="286"/>
    </row>
    <row r="77" spans="1:19" ht="12.75">
      <c r="A77" s="287"/>
      <c r="B77" s="288" t="s">
        <v>658</v>
      </c>
      <c r="C77" s="288" t="s">
        <v>659</v>
      </c>
      <c r="D77" s="288" t="s">
        <v>660</v>
      </c>
      <c r="E77" s="275">
        <v>36</v>
      </c>
      <c r="F77" s="275">
        <v>42</v>
      </c>
      <c r="G77" s="289">
        <f aca="true" t="shared" si="19" ref="G77:I78">Q77+$W$13</f>
        <v>1900</v>
      </c>
      <c r="H77" s="289">
        <f t="shared" si="19"/>
        <v>2200</v>
      </c>
      <c r="I77" s="289">
        <f t="shared" si="19"/>
        <v>2300</v>
      </c>
      <c r="J77" s="275">
        <f>IF(F77="n/a",250,350)</f>
        <v>350</v>
      </c>
      <c r="K77" s="290" t="s">
        <v>501</v>
      </c>
      <c r="L77" s="291">
        <v>21</v>
      </c>
      <c r="M77" s="275">
        <f t="shared" si="16"/>
        <v>2250</v>
      </c>
      <c r="N77" s="275">
        <f t="shared" si="17"/>
        <v>2550</v>
      </c>
      <c r="O77" s="275">
        <f t="shared" si="18"/>
        <v>2650</v>
      </c>
      <c r="Q77" s="289">
        <v>1800</v>
      </c>
      <c r="R77" s="289">
        <v>2100</v>
      </c>
      <c r="S77" s="289">
        <v>2200</v>
      </c>
    </row>
    <row r="78" spans="1:19" ht="12.75">
      <c r="A78" s="287"/>
      <c r="B78" s="288" t="s">
        <v>658</v>
      </c>
      <c r="C78" s="288" t="s">
        <v>661</v>
      </c>
      <c r="D78" s="288" t="s">
        <v>662</v>
      </c>
      <c r="E78" s="275">
        <v>36</v>
      </c>
      <c r="F78" s="275">
        <v>42</v>
      </c>
      <c r="G78" s="289">
        <f t="shared" si="19"/>
        <v>2000</v>
      </c>
      <c r="H78" s="289">
        <f t="shared" si="19"/>
        <v>2300</v>
      </c>
      <c r="I78" s="289">
        <f t="shared" si="19"/>
        <v>2400</v>
      </c>
      <c r="J78" s="275">
        <f>IF(F78="n/a",250,350)</f>
        <v>350</v>
      </c>
      <c r="K78" s="290" t="s">
        <v>501</v>
      </c>
      <c r="L78" s="291">
        <v>21</v>
      </c>
      <c r="M78" s="275">
        <f t="shared" si="16"/>
        <v>2350</v>
      </c>
      <c r="N78" s="275">
        <f t="shared" si="17"/>
        <v>2650</v>
      </c>
      <c r="O78" s="275">
        <f t="shared" si="18"/>
        <v>2750</v>
      </c>
      <c r="Q78" s="289">
        <v>1900</v>
      </c>
      <c r="R78" s="289">
        <v>2200</v>
      </c>
      <c r="S78" s="289">
        <v>2300</v>
      </c>
    </row>
    <row r="79" spans="1:19" ht="12.75">
      <c r="A79" s="284" t="s">
        <v>663</v>
      </c>
      <c r="B79" s="284"/>
      <c r="C79" s="284"/>
      <c r="D79" s="284"/>
      <c r="E79" s="285"/>
      <c r="F79" s="285"/>
      <c r="G79" s="286"/>
      <c r="H79" s="286"/>
      <c r="I79" s="286"/>
      <c r="J79" s="286"/>
      <c r="K79" s="294"/>
      <c r="L79" s="292"/>
      <c r="M79" s="275">
        <f t="shared" si="16"/>
        <v>0</v>
      </c>
      <c r="N79" s="275">
        <f t="shared" si="17"/>
        <v>0</v>
      </c>
      <c r="O79" s="275">
        <f t="shared" si="18"/>
        <v>0</v>
      </c>
      <c r="Q79" s="286"/>
      <c r="R79" s="286"/>
      <c r="S79" s="286"/>
    </row>
    <row r="80" spans="1:19" ht="12.75">
      <c r="A80" s="287"/>
      <c r="B80" s="288" t="s">
        <v>664</v>
      </c>
      <c r="C80" s="288" t="s">
        <v>665</v>
      </c>
      <c r="D80" s="288" t="s">
        <v>666</v>
      </c>
      <c r="E80" s="275">
        <v>80</v>
      </c>
      <c r="F80" s="275">
        <v>100</v>
      </c>
      <c r="G80" s="289">
        <f aca="true" t="shared" si="20" ref="G80:G89">Q80+$W$13</f>
        <v>1800</v>
      </c>
      <c r="H80" s="289">
        <f aca="true" t="shared" si="21" ref="H80:H89">R80+$W$13</f>
        <v>2100</v>
      </c>
      <c r="I80" s="289">
        <f aca="true" t="shared" si="22" ref="I80:I89">S80+$W$13</f>
        <v>2200</v>
      </c>
      <c r="J80" s="275">
        <f aca="true" t="shared" si="23" ref="J80:J89">IF(F80="n/a",250,350)</f>
        <v>350</v>
      </c>
      <c r="K80" s="290" t="s">
        <v>501</v>
      </c>
      <c r="L80" s="291">
        <v>17</v>
      </c>
      <c r="M80" s="275">
        <f t="shared" si="16"/>
        <v>2150</v>
      </c>
      <c r="N80" s="275">
        <f t="shared" si="17"/>
        <v>2450</v>
      </c>
      <c r="O80" s="275">
        <f t="shared" si="18"/>
        <v>2550</v>
      </c>
      <c r="Q80" s="289">
        <v>1700</v>
      </c>
      <c r="R80" s="289">
        <v>2000</v>
      </c>
      <c r="S80" s="289">
        <v>2100</v>
      </c>
    </row>
    <row r="81" spans="1:19" ht="12.75">
      <c r="A81" s="287"/>
      <c r="B81" s="288" t="s">
        <v>664</v>
      </c>
      <c r="C81" s="288" t="s">
        <v>667</v>
      </c>
      <c r="D81" s="288" t="s">
        <v>668</v>
      </c>
      <c r="E81" s="275">
        <v>32</v>
      </c>
      <c r="F81" s="275">
        <v>40</v>
      </c>
      <c r="G81" s="289">
        <f t="shared" si="20"/>
        <v>1100</v>
      </c>
      <c r="H81" s="289">
        <f t="shared" si="21"/>
        <v>1400</v>
      </c>
      <c r="I81" s="289">
        <f t="shared" si="22"/>
        <v>1400</v>
      </c>
      <c r="J81" s="275">
        <f t="shared" si="23"/>
        <v>350</v>
      </c>
      <c r="K81" s="290" t="s">
        <v>501</v>
      </c>
      <c r="L81" s="291">
        <v>17</v>
      </c>
      <c r="M81" s="275">
        <f t="shared" si="16"/>
        <v>1450</v>
      </c>
      <c r="N81" s="275">
        <f t="shared" si="17"/>
        <v>1750</v>
      </c>
      <c r="O81" s="275">
        <f t="shared" si="18"/>
        <v>1750</v>
      </c>
      <c r="Q81" s="289">
        <v>1000</v>
      </c>
      <c r="R81" s="289">
        <v>1300</v>
      </c>
      <c r="S81" s="289">
        <v>1300</v>
      </c>
    </row>
    <row r="82" spans="1:19" ht="12.75">
      <c r="A82" s="287"/>
      <c r="B82" s="288" t="s">
        <v>664</v>
      </c>
      <c r="C82" s="288" t="s">
        <v>669</v>
      </c>
      <c r="D82" s="288" t="s">
        <v>670</v>
      </c>
      <c r="E82" s="275">
        <v>47</v>
      </c>
      <c r="F82" s="275">
        <v>60</v>
      </c>
      <c r="G82" s="289">
        <f t="shared" si="20"/>
        <v>1400</v>
      </c>
      <c r="H82" s="289">
        <f t="shared" si="21"/>
        <v>1700</v>
      </c>
      <c r="I82" s="289">
        <f t="shared" si="22"/>
        <v>1800</v>
      </c>
      <c r="J82" s="275">
        <f t="shared" si="23"/>
        <v>350</v>
      </c>
      <c r="K82" s="290" t="s">
        <v>501</v>
      </c>
      <c r="L82" s="291">
        <v>17</v>
      </c>
      <c r="M82" s="275">
        <f t="shared" si="16"/>
        <v>1750</v>
      </c>
      <c r="N82" s="275">
        <f t="shared" si="17"/>
        <v>2050</v>
      </c>
      <c r="O82" s="275">
        <f t="shared" si="18"/>
        <v>2150</v>
      </c>
      <c r="Q82" s="289">
        <v>1300</v>
      </c>
      <c r="R82" s="289">
        <v>1600</v>
      </c>
      <c r="S82" s="289">
        <v>1700</v>
      </c>
    </row>
    <row r="83" spans="1:19" ht="12.75">
      <c r="A83" s="287"/>
      <c r="B83" s="288" t="s">
        <v>664</v>
      </c>
      <c r="C83" s="288" t="s">
        <v>671</v>
      </c>
      <c r="D83" s="288" t="s">
        <v>672</v>
      </c>
      <c r="E83" s="275">
        <v>65</v>
      </c>
      <c r="F83" s="275">
        <v>80</v>
      </c>
      <c r="G83" s="289">
        <f t="shared" si="20"/>
        <v>1600</v>
      </c>
      <c r="H83" s="289">
        <f t="shared" si="21"/>
        <v>2000</v>
      </c>
      <c r="I83" s="289">
        <f t="shared" si="22"/>
        <v>2000</v>
      </c>
      <c r="J83" s="275">
        <f t="shared" si="23"/>
        <v>350</v>
      </c>
      <c r="K83" s="290" t="s">
        <v>501</v>
      </c>
      <c r="L83" s="291">
        <v>17</v>
      </c>
      <c r="M83" s="275">
        <f t="shared" si="16"/>
        <v>1950</v>
      </c>
      <c r="N83" s="275">
        <f t="shared" si="17"/>
        <v>2350</v>
      </c>
      <c r="O83" s="275">
        <f t="shared" si="18"/>
        <v>2350</v>
      </c>
      <c r="Q83" s="289">
        <v>1500</v>
      </c>
      <c r="R83" s="289">
        <v>1900</v>
      </c>
      <c r="S83" s="289">
        <v>1900</v>
      </c>
    </row>
    <row r="84" spans="1:19" ht="12.75">
      <c r="A84" s="287"/>
      <c r="B84" s="288" t="s">
        <v>673</v>
      </c>
      <c r="C84" s="288" t="s">
        <v>674</v>
      </c>
      <c r="D84" s="288" t="s">
        <v>675</v>
      </c>
      <c r="E84" s="275">
        <v>80</v>
      </c>
      <c r="F84" s="275">
        <v>120</v>
      </c>
      <c r="G84" s="289">
        <f t="shared" si="20"/>
        <v>2100</v>
      </c>
      <c r="H84" s="289">
        <f t="shared" si="21"/>
        <v>2400</v>
      </c>
      <c r="I84" s="289">
        <f t="shared" si="22"/>
        <v>2600</v>
      </c>
      <c r="J84" s="275">
        <f t="shared" si="23"/>
        <v>350</v>
      </c>
      <c r="L84" s="291">
        <v>-60</v>
      </c>
      <c r="M84" s="275">
        <f t="shared" si="16"/>
        <v>2450</v>
      </c>
      <c r="N84" s="275">
        <f t="shared" si="17"/>
        <v>2750</v>
      </c>
      <c r="O84" s="275">
        <f t="shared" si="18"/>
        <v>2950</v>
      </c>
      <c r="Q84" s="289">
        <v>2000</v>
      </c>
      <c r="R84" s="289">
        <v>2300</v>
      </c>
      <c r="S84" s="289">
        <v>2500</v>
      </c>
    </row>
    <row r="85" spans="1:19" ht="12.75">
      <c r="A85" s="287"/>
      <c r="B85" s="288" t="s">
        <v>673</v>
      </c>
      <c r="C85" s="288" t="s">
        <v>676</v>
      </c>
      <c r="D85" s="288" t="s">
        <v>677</v>
      </c>
      <c r="E85" s="275">
        <v>65</v>
      </c>
      <c r="F85" s="275" t="s">
        <v>532</v>
      </c>
      <c r="G85" s="289">
        <f t="shared" si="20"/>
        <v>2100</v>
      </c>
      <c r="H85" s="289">
        <f t="shared" si="21"/>
        <v>2500</v>
      </c>
      <c r="I85" s="289">
        <f t="shared" si="22"/>
        <v>2600</v>
      </c>
      <c r="J85" s="275">
        <f t="shared" si="23"/>
        <v>250</v>
      </c>
      <c r="L85" s="291">
        <v>-60</v>
      </c>
      <c r="M85" s="275">
        <f t="shared" si="16"/>
        <v>2350</v>
      </c>
      <c r="N85" s="275">
        <f t="shared" si="17"/>
        <v>2750</v>
      </c>
      <c r="O85" s="275">
        <f t="shared" si="18"/>
        <v>2850</v>
      </c>
      <c r="Q85" s="289">
        <v>2000</v>
      </c>
      <c r="R85" s="289">
        <v>2400</v>
      </c>
      <c r="S85" s="289">
        <v>2500</v>
      </c>
    </row>
    <row r="86" spans="1:19" ht="12.75">
      <c r="A86" s="287"/>
      <c r="B86" s="288" t="s">
        <v>673</v>
      </c>
      <c r="C86" s="288" t="s">
        <v>678</v>
      </c>
      <c r="D86" s="288" t="s">
        <v>679</v>
      </c>
      <c r="E86" s="275">
        <v>40</v>
      </c>
      <c r="F86" s="275">
        <v>65</v>
      </c>
      <c r="G86" s="289">
        <f t="shared" si="20"/>
        <v>1300</v>
      </c>
      <c r="H86" s="289">
        <f t="shared" si="21"/>
        <v>1700</v>
      </c>
      <c r="I86" s="289">
        <f t="shared" si="22"/>
        <v>1700</v>
      </c>
      <c r="J86" s="275">
        <f t="shared" si="23"/>
        <v>350</v>
      </c>
      <c r="L86" s="291">
        <v>-60</v>
      </c>
      <c r="M86" s="275">
        <f t="shared" si="16"/>
        <v>1650</v>
      </c>
      <c r="N86" s="275">
        <f t="shared" si="17"/>
        <v>2050</v>
      </c>
      <c r="O86" s="275">
        <f t="shared" si="18"/>
        <v>2050</v>
      </c>
      <c r="Q86" s="289">
        <v>1200</v>
      </c>
      <c r="R86" s="289">
        <v>1600</v>
      </c>
      <c r="S86" s="289">
        <v>1600</v>
      </c>
    </row>
    <row r="87" spans="1:19" ht="12.75">
      <c r="A87" s="287"/>
      <c r="B87" s="288" t="s">
        <v>673</v>
      </c>
      <c r="C87" s="288" t="s">
        <v>680</v>
      </c>
      <c r="D87" s="288" t="s">
        <v>681</v>
      </c>
      <c r="E87" s="275">
        <v>40</v>
      </c>
      <c r="F87" s="275" t="s">
        <v>532</v>
      </c>
      <c r="G87" s="289">
        <f t="shared" si="20"/>
        <v>1600</v>
      </c>
      <c r="H87" s="289">
        <f t="shared" si="21"/>
        <v>1900</v>
      </c>
      <c r="I87" s="289">
        <f t="shared" si="22"/>
        <v>2000</v>
      </c>
      <c r="J87" s="275">
        <f t="shared" si="23"/>
        <v>250</v>
      </c>
      <c r="L87" s="291">
        <v>-60</v>
      </c>
      <c r="M87" s="275">
        <f t="shared" si="16"/>
        <v>1850</v>
      </c>
      <c r="N87" s="275">
        <f t="shared" si="17"/>
        <v>2150</v>
      </c>
      <c r="O87" s="275">
        <f t="shared" si="18"/>
        <v>2250</v>
      </c>
      <c r="Q87" s="289">
        <v>1500</v>
      </c>
      <c r="R87" s="289">
        <v>1800</v>
      </c>
      <c r="S87" s="289">
        <v>1900</v>
      </c>
    </row>
    <row r="88" spans="1:19" ht="12.75">
      <c r="A88" s="287"/>
      <c r="B88" s="288" t="s">
        <v>673</v>
      </c>
      <c r="C88" s="288" t="s">
        <v>682</v>
      </c>
      <c r="D88" s="288" t="s">
        <v>683</v>
      </c>
      <c r="E88" s="275">
        <v>65</v>
      </c>
      <c r="F88" s="275">
        <v>80</v>
      </c>
      <c r="G88" s="289">
        <f t="shared" si="20"/>
        <v>1800</v>
      </c>
      <c r="H88" s="289">
        <f t="shared" si="21"/>
        <v>2200</v>
      </c>
      <c r="I88" s="289">
        <f t="shared" si="22"/>
        <v>2300</v>
      </c>
      <c r="J88" s="275">
        <f t="shared" si="23"/>
        <v>350</v>
      </c>
      <c r="L88" s="291">
        <v>-60</v>
      </c>
      <c r="M88" s="275">
        <f t="shared" si="16"/>
        <v>2150</v>
      </c>
      <c r="N88" s="275">
        <f t="shared" si="17"/>
        <v>2550</v>
      </c>
      <c r="O88" s="275">
        <f t="shared" si="18"/>
        <v>2650</v>
      </c>
      <c r="Q88" s="289">
        <v>1700</v>
      </c>
      <c r="R88" s="289">
        <v>2100</v>
      </c>
      <c r="S88" s="289">
        <v>2200</v>
      </c>
    </row>
    <row r="89" spans="1:19" ht="12.75">
      <c r="A89" s="287"/>
      <c r="B89" s="288" t="s">
        <v>673</v>
      </c>
      <c r="C89" s="288" t="s">
        <v>684</v>
      </c>
      <c r="D89" s="288" t="s">
        <v>685</v>
      </c>
      <c r="E89" s="275">
        <v>80</v>
      </c>
      <c r="F89" s="275" t="s">
        <v>532</v>
      </c>
      <c r="G89" s="289">
        <f t="shared" si="20"/>
        <v>2100</v>
      </c>
      <c r="H89" s="289">
        <f t="shared" si="21"/>
        <v>2400</v>
      </c>
      <c r="I89" s="289">
        <f t="shared" si="22"/>
        <v>2600</v>
      </c>
      <c r="J89" s="275">
        <f t="shared" si="23"/>
        <v>250</v>
      </c>
      <c r="L89" s="291">
        <v>-60</v>
      </c>
      <c r="M89" s="275">
        <f t="shared" si="16"/>
        <v>2350</v>
      </c>
      <c r="N89" s="275">
        <f t="shared" si="17"/>
        <v>2650</v>
      </c>
      <c r="O89" s="275">
        <f t="shared" si="18"/>
        <v>2850</v>
      </c>
      <c r="Q89" s="289">
        <v>2000</v>
      </c>
      <c r="R89" s="289">
        <v>2300</v>
      </c>
      <c r="S89" s="289">
        <v>2500</v>
      </c>
    </row>
    <row r="90" spans="1:19" ht="12.75">
      <c r="A90" s="284" t="s">
        <v>686</v>
      </c>
      <c r="B90" s="284"/>
      <c r="C90" s="284"/>
      <c r="D90" s="284"/>
      <c r="E90" s="285"/>
      <c r="F90" s="285"/>
      <c r="G90" s="286"/>
      <c r="H90" s="286"/>
      <c r="I90" s="286"/>
      <c r="J90" s="286"/>
      <c r="K90" s="286"/>
      <c r="L90" s="292"/>
      <c r="M90" s="275">
        <f t="shared" si="16"/>
        <v>0</v>
      </c>
      <c r="N90" s="275">
        <f t="shared" si="17"/>
        <v>0</v>
      </c>
      <c r="O90" s="275">
        <f t="shared" si="18"/>
        <v>0</v>
      </c>
      <c r="Q90" s="286"/>
      <c r="R90" s="286"/>
      <c r="S90" s="286"/>
    </row>
    <row r="91" spans="1:19" ht="12.75">
      <c r="A91" s="287"/>
      <c r="B91" s="288" t="s">
        <v>687</v>
      </c>
      <c r="C91" s="288" t="s">
        <v>688</v>
      </c>
      <c r="D91" s="288" t="s">
        <v>689</v>
      </c>
      <c r="E91" s="275">
        <v>82</v>
      </c>
      <c r="F91" s="275">
        <v>120</v>
      </c>
      <c r="G91" s="289">
        <f aca="true" t="shared" si="24" ref="G91:I95">Q91+$W$13</f>
        <v>2200</v>
      </c>
      <c r="H91" s="289">
        <f t="shared" si="24"/>
        <v>2500</v>
      </c>
      <c r="I91" s="289">
        <f t="shared" si="24"/>
        <v>2700</v>
      </c>
      <c r="J91" s="275">
        <f>IF(F91="n/a",250,350)</f>
        <v>350</v>
      </c>
      <c r="L91" s="291">
        <v>-20</v>
      </c>
      <c r="M91" s="275">
        <f t="shared" si="16"/>
        <v>2550</v>
      </c>
      <c r="N91" s="275">
        <f t="shared" si="17"/>
        <v>2850</v>
      </c>
      <c r="O91" s="275">
        <f t="shared" si="18"/>
        <v>3050</v>
      </c>
      <c r="Q91" s="289">
        <v>2100</v>
      </c>
      <c r="R91" s="289">
        <v>2400</v>
      </c>
      <c r="S91" s="289">
        <v>2600</v>
      </c>
    </row>
    <row r="92" spans="1:19" ht="12.75">
      <c r="A92" s="287"/>
      <c r="B92" s="288" t="s">
        <v>687</v>
      </c>
      <c r="C92" s="288" t="s">
        <v>690</v>
      </c>
      <c r="D92" s="288" t="s">
        <v>691</v>
      </c>
      <c r="E92" s="275">
        <v>122</v>
      </c>
      <c r="F92" s="275">
        <v>210</v>
      </c>
      <c r="G92" s="289">
        <f t="shared" si="24"/>
        <v>2600</v>
      </c>
      <c r="H92" s="289">
        <f t="shared" si="24"/>
        <v>2800</v>
      </c>
      <c r="I92" s="289">
        <f t="shared" si="24"/>
        <v>3100</v>
      </c>
      <c r="J92" s="275">
        <f>IF(F92="n/a",250,350)</f>
        <v>350</v>
      </c>
      <c r="L92" s="291">
        <v>-20</v>
      </c>
      <c r="M92" s="275">
        <f t="shared" si="16"/>
        <v>2950</v>
      </c>
      <c r="N92" s="275">
        <f t="shared" si="17"/>
        <v>3150</v>
      </c>
      <c r="O92" s="275">
        <f t="shared" si="18"/>
        <v>3450</v>
      </c>
      <c r="Q92" s="289">
        <v>2500</v>
      </c>
      <c r="R92" s="289">
        <v>2700</v>
      </c>
      <c r="S92" s="289">
        <v>3000</v>
      </c>
    </row>
    <row r="93" spans="1:19" ht="12.75">
      <c r="A93" s="287"/>
      <c r="B93" s="288" t="s">
        <v>687</v>
      </c>
      <c r="C93" s="288" t="s">
        <v>692</v>
      </c>
      <c r="D93" s="288" t="s">
        <v>693</v>
      </c>
      <c r="E93" s="275">
        <v>163</v>
      </c>
      <c r="F93" s="275">
        <v>210</v>
      </c>
      <c r="G93" s="289">
        <f t="shared" si="24"/>
        <v>2700</v>
      </c>
      <c r="H93" s="289">
        <f t="shared" si="24"/>
        <v>3000</v>
      </c>
      <c r="I93" s="289">
        <f t="shared" si="24"/>
        <v>3300</v>
      </c>
      <c r="J93" s="275">
        <f>IF(F93="n/a",250,350)</f>
        <v>350</v>
      </c>
      <c r="L93" s="291">
        <v>-20</v>
      </c>
      <c r="M93" s="275">
        <f t="shared" si="16"/>
        <v>3050</v>
      </c>
      <c r="N93" s="275">
        <f t="shared" si="17"/>
        <v>3350</v>
      </c>
      <c r="O93" s="275">
        <f t="shared" si="18"/>
        <v>3650</v>
      </c>
      <c r="Q93" s="289">
        <v>2600</v>
      </c>
      <c r="R93" s="289">
        <v>2900</v>
      </c>
      <c r="S93" s="289">
        <v>3200</v>
      </c>
    </row>
    <row r="94" spans="1:19" ht="12.75">
      <c r="A94" s="287"/>
      <c r="B94" s="288" t="s">
        <v>687</v>
      </c>
      <c r="C94" s="288" t="s">
        <v>694</v>
      </c>
      <c r="D94" s="288" t="s">
        <v>695</v>
      </c>
      <c r="E94" s="275">
        <v>204</v>
      </c>
      <c r="F94" s="275">
        <v>320</v>
      </c>
      <c r="G94" s="289">
        <f t="shared" si="24"/>
        <v>2900</v>
      </c>
      <c r="H94" s="289">
        <f t="shared" si="24"/>
        <v>3100</v>
      </c>
      <c r="I94" s="289">
        <f t="shared" si="24"/>
        <v>3400</v>
      </c>
      <c r="J94" s="275">
        <f>IF(F94="n/a",250,350)</f>
        <v>350</v>
      </c>
      <c r="L94" s="291">
        <v>-20</v>
      </c>
      <c r="M94" s="275">
        <f t="shared" si="16"/>
        <v>3250</v>
      </c>
      <c r="N94" s="275">
        <f t="shared" si="17"/>
        <v>3450</v>
      </c>
      <c r="O94" s="275">
        <f t="shared" si="18"/>
        <v>3750</v>
      </c>
      <c r="Q94" s="289">
        <v>2800</v>
      </c>
      <c r="R94" s="289">
        <v>3000</v>
      </c>
      <c r="S94" s="289">
        <v>3300</v>
      </c>
    </row>
    <row r="95" spans="1:19" ht="12.75">
      <c r="A95" s="287"/>
      <c r="B95" s="288" t="s">
        <v>687</v>
      </c>
      <c r="C95" s="288" t="s">
        <v>696</v>
      </c>
      <c r="D95" s="288" t="s">
        <v>697</v>
      </c>
      <c r="E95" s="275">
        <v>245</v>
      </c>
      <c r="F95" s="275">
        <v>320</v>
      </c>
      <c r="G95" s="289">
        <f t="shared" si="24"/>
        <v>3000</v>
      </c>
      <c r="H95" s="289">
        <f t="shared" si="24"/>
        <v>3200</v>
      </c>
      <c r="I95" s="289">
        <f t="shared" si="24"/>
        <v>3500</v>
      </c>
      <c r="J95" s="275">
        <f>IF(F95="n/a",250,350)</f>
        <v>350</v>
      </c>
      <c r="L95" s="291">
        <v>-20</v>
      </c>
      <c r="M95" s="275">
        <f t="shared" si="16"/>
        <v>3350</v>
      </c>
      <c r="N95" s="275">
        <f t="shared" si="17"/>
        <v>3550</v>
      </c>
      <c r="O95" s="275">
        <f t="shared" si="18"/>
        <v>3850</v>
      </c>
      <c r="Q95" s="289">
        <v>2900</v>
      </c>
      <c r="R95" s="289">
        <v>3100</v>
      </c>
      <c r="S95" s="289">
        <v>3400</v>
      </c>
    </row>
    <row r="96" spans="1:19" ht="12.75">
      <c r="A96" s="284" t="s">
        <v>698</v>
      </c>
      <c r="B96" s="284"/>
      <c r="C96" s="284"/>
      <c r="D96" s="284"/>
      <c r="E96" s="285"/>
      <c r="F96" s="285"/>
      <c r="G96" s="286"/>
      <c r="H96" s="286"/>
      <c r="I96" s="286"/>
      <c r="J96" s="286"/>
      <c r="K96" s="286"/>
      <c r="L96" s="292"/>
      <c r="M96" s="275">
        <f t="shared" si="16"/>
        <v>0</v>
      </c>
      <c r="N96" s="275">
        <f t="shared" si="17"/>
        <v>0</v>
      </c>
      <c r="O96" s="275">
        <f t="shared" si="18"/>
        <v>0</v>
      </c>
      <c r="Q96" s="286"/>
      <c r="R96" s="286"/>
      <c r="S96" s="286"/>
    </row>
    <row r="97" spans="1:19" ht="12.75">
      <c r="A97" s="287"/>
      <c r="B97" s="288" t="s">
        <v>699</v>
      </c>
      <c r="C97" s="288" t="s">
        <v>700</v>
      </c>
      <c r="D97" s="288" t="s">
        <v>701</v>
      </c>
      <c r="E97" s="275">
        <v>21</v>
      </c>
      <c r="F97" s="275" t="s">
        <v>532</v>
      </c>
      <c r="G97" s="289">
        <f aca="true" t="shared" si="25" ref="G97:I102">Q97+$W$13</f>
        <v>1100</v>
      </c>
      <c r="H97" s="289">
        <f t="shared" si="25"/>
        <v>1400</v>
      </c>
      <c r="I97" s="289">
        <f t="shared" si="25"/>
        <v>1500</v>
      </c>
      <c r="J97" s="275">
        <f aca="true" t="shared" si="26" ref="J97:J102">IF(F97="n/a",250,350)</f>
        <v>250</v>
      </c>
      <c r="K97" s="290"/>
      <c r="L97" s="291">
        <v>32</v>
      </c>
      <c r="M97" s="275">
        <f t="shared" si="16"/>
        <v>1350</v>
      </c>
      <c r="N97" s="275">
        <f t="shared" si="17"/>
        <v>1650</v>
      </c>
      <c r="O97" s="275">
        <f t="shared" si="18"/>
        <v>1750</v>
      </c>
      <c r="Q97" s="289">
        <v>1000</v>
      </c>
      <c r="R97" s="289">
        <v>1300</v>
      </c>
      <c r="S97" s="289">
        <v>1400</v>
      </c>
    </row>
    <row r="98" spans="1:19" ht="12.75">
      <c r="A98" s="287"/>
      <c r="B98" s="288" t="s">
        <v>699</v>
      </c>
      <c r="C98" s="288" t="s">
        <v>702</v>
      </c>
      <c r="D98" s="288" t="s">
        <v>703</v>
      </c>
      <c r="E98" s="275">
        <v>21</v>
      </c>
      <c r="F98" s="275">
        <v>47</v>
      </c>
      <c r="G98" s="289">
        <f t="shared" si="25"/>
        <v>1400</v>
      </c>
      <c r="H98" s="289">
        <f t="shared" si="25"/>
        <v>1700</v>
      </c>
      <c r="I98" s="289">
        <f t="shared" si="25"/>
        <v>1800</v>
      </c>
      <c r="J98" s="275">
        <f t="shared" si="26"/>
        <v>350</v>
      </c>
      <c r="K98" s="290"/>
      <c r="L98" s="291">
        <v>32</v>
      </c>
      <c r="M98" s="275">
        <f t="shared" si="16"/>
        <v>1750</v>
      </c>
      <c r="N98" s="275">
        <f t="shared" si="17"/>
        <v>2050</v>
      </c>
      <c r="O98" s="275">
        <f t="shared" si="18"/>
        <v>2150</v>
      </c>
      <c r="Q98" s="289">
        <v>1300</v>
      </c>
      <c r="R98" s="289">
        <v>1600</v>
      </c>
      <c r="S98" s="289">
        <v>1700</v>
      </c>
    </row>
    <row r="99" spans="1:19" ht="12.75">
      <c r="A99" s="287"/>
      <c r="B99" s="288" t="s">
        <v>699</v>
      </c>
      <c r="C99" s="288" t="s">
        <v>704</v>
      </c>
      <c r="D99" s="288" t="s">
        <v>705</v>
      </c>
      <c r="E99" s="275">
        <v>43</v>
      </c>
      <c r="F99" s="275" t="s">
        <v>532</v>
      </c>
      <c r="G99" s="289">
        <f t="shared" si="25"/>
        <v>1100</v>
      </c>
      <c r="H99" s="289">
        <f t="shared" si="25"/>
        <v>1600</v>
      </c>
      <c r="I99" s="289">
        <f t="shared" si="25"/>
        <v>1500</v>
      </c>
      <c r="J99" s="275">
        <f t="shared" si="26"/>
        <v>250</v>
      </c>
      <c r="K99" s="290"/>
      <c r="L99" s="291">
        <v>32</v>
      </c>
      <c r="M99" s="275">
        <f t="shared" si="16"/>
        <v>1350</v>
      </c>
      <c r="N99" s="275">
        <f t="shared" si="17"/>
        <v>1850</v>
      </c>
      <c r="O99" s="275">
        <f t="shared" si="18"/>
        <v>1750</v>
      </c>
      <c r="Q99" s="289">
        <v>1000</v>
      </c>
      <c r="R99" s="289">
        <v>1500</v>
      </c>
      <c r="S99" s="289">
        <v>1400</v>
      </c>
    </row>
    <row r="100" spans="1:19" ht="12.75">
      <c r="A100" s="287"/>
      <c r="B100" s="288" t="s">
        <v>699</v>
      </c>
      <c r="C100" s="288" t="s">
        <v>706</v>
      </c>
      <c r="D100" s="288" t="s">
        <v>707</v>
      </c>
      <c r="E100" s="275">
        <v>43</v>
      </c>
      <c r="F100" s="275">
        <v>80</v>
      </c>
      <c r="G100" s="289">
        <f t="shared" si="25"/>
        <v>1700</v>
      </c>
      <c r="H100" s="289">
        <f t="shared" si="25"/>
        <v>2000</v>
      </c>
      <c r="I100" s="289">
        <f t="shared" si="25"/>
        <v>2100</v>
      </c>
      <c r="J100" s="275">
        <f t="shared" si="26"/>
        <v>350</v>
      </c>
      <c r="K100" s="290"/>
      <c r="L100" s="291">
        <v>32</v>
      </c>
      <c r="M100" s="275">
        <f t="shared" si="16"/>
        <v>2050</v>
      </c>
      <c r="N100" s="275">
        <f t="shared" si="17"/>
        <v>2350</v>
      </c>
      <c r="O100" s="275">
        <f t="shared" si="18"/>
        <v>2450</v>
      </c>
      <c r="Q100" s="289">
        <v>1600</v>
      </c>
      <c r="R100" s="289">
        <v>1900</v>
      </c>
      <c r="S100" s="289">
        <v>2000</v>
      </c>
    </row>
    <row r="101" spans="1:19" ht="12.75">
      <c r="A101" s="287"/>
      <c r="B101" s="288" t="s">
        <v>699</v>
      </c>
      <c r="C101" s="288" t="s">
        <v>708</v>
      </c>
      <c r="D101" s="288" t="s">
        <v>709</v>
      </c>
      <c r="E101" s="275">
        <v>43</v>
      </c>
      <c r="F101" s="275" t="s">
        <v>532</v>
      </c>
      <c r="G101" s="289">
        <f t="shared" si="25"/>
        <v>1600</v>
      </c>
      <c r="H101" s="289">
        <f t="shared" si="25"/>
        <v>2000</v>
      </c>
      <c r="I101" s="289">
        <f t="shared" si="25"/>
        <v>2100</v>
      </c>
      <c r="J101" s="275">
        <f t="shared" si="26"/>
        <v>250</v>
      </c>
      <c r="K101" s="290"/>
      <c r="L101" s="291">
        <v>32</v>
      </c>
      <c r="M101" s="275">
        <f aca="true" t="shared" si="27" ref="M101:M132">G101+$J101</f>
        <v>1850</v>
      </c>
      <c r="N101" s="275">
        <f aca="true" t="shared" si="28" ref="N101:N132">H101+$J101</f>
        <v>2250</v>
      </c>
      <c r="O101" s="275">
        <f aca="true" t="shared" si="29" ref="O101:O132">I101+$J101</f>
        <v>2350</v>
      </c>
      <c r="Q101" s="289">
        <v>1500</v>
      </c>
      <c r="R101" s="289">
        <v>1900</v>
      </c>
      <c r="S101" s="289">
        <v>2000</v>
      </c>
    </row>
    <row r="102" spans="1:19" ht="12.75">
      <c r="A102" s="287"/>
      <c r="B102" s="288" t="s">
        <v>699</v>
      </c>
      <c r="C102" s="288" t="s">
        <v>710</v>
      </c>
      <c r="D102" s="288" t="s">
        <v>711</v>
      </c>
      <c r="E102" s="275">
        <v>43</v>
      </c>
      <c r="F102" s="275">
        <v>80</v>
      </c>
      <c r="G102" s="289">
        <f t="shared" si="25"/>
        <v>2000</v>
      </c>
      <c r="H102" s="289">
        <f t="shared" si="25"/>
        <v>2300</v>
      </c>
      <c r="I102" s="289">
        <f t="shared" si="25"/>
        <v>2500</v>
      </c>
      <c r="J102" s="275">
        <f t="shared" si="26"/>
        <v>350</v>
      </c>
      <c r="K102" s="290"/>
      <c r="L102" s="291">
        <v>32</v>
      </c>
      <c r="M102" s="275">
        <f t="shared" si="27"/>
        <v>2350</v>
      </c>
      <c r="N102" s="275">
        <f t="shared" si="28"/>
        <v>2650</v>
      </c>
      <c r="O102" s="275">
        <f t="shared" si="29"/>
        <v>2850</v>
      </c>
      <c r="Q102" s="289">
        <v>1900</v>
      </c>
      <c r="R102" s="289">
        <v>2200</v>
      </c>
      <c r="S102" s="289">
        <v>2400</v>
      </c>
    </row>
    <row r="103" spans="1:19" ht="12.75">
      <c r="A103" s="284" t="s">
        <v>712</v>
      </c>
      <c r="B103" s="284"/>
      <c r="C103" s="284"/>
      <c r="D103" s="284"/>
      <c r="E103" s="285"/>
      <c r="F103" s="285"/>
      <c r="G103" s="286"/>
      <c r="H103" s="286"/>
      <c r="I103" s="286"/>
      <c r="J103" s="286"/>
      <c r="K103" s="286"/>
      <c r="L103" s="292"/>
      <c r="M103" s="275">
        <f t="shared" si="27"/>
        <v>0</v>
      </c>
      <c r="N103" s="275">
        <f t="shared" si="28"/>
        <v>0</v>
      </c>
      <c r="O103" s="275">
        <f t="shared" si="29"/>
        <v>0</v>
      </c>
      <c r="Q103" s="286"/>
      <c r="R103" s="286"/>
      <c r="S103" s="286"/>
    </row>
    <row r="104" spans="1:19" ht="12.75">
      <c r="A104" s="287"/>
      <c r="B104" s="288" t="s">
        <v>713</v>
      </c>
      <c r="C104" s="288" t="s">
        <v>714</v>
      </c>
      <c r="D104" s="288" t="s">
        <v>715</v>
      </c>
      <c r="E104" s="275">
        <v>25</v>
      </c>
      <c r="F104" s="275">
        <v>30</v>
      </c>
      <c r="G104" s="289">
        <f aca="true" t="shared" si="30" ref="G104:I107">Q104+$W$13</f>
        <v>1200</v>
      </c>
      <c r="H104" s="289">
        <f t="shared" si="30"/>
        <v>1400</v>
      </c>
      <c r="I104" s="289">
        <f t="shared" si="30"/>
        <v>1500</v>
      </c>
      <c r="J104" s="275">
        <v>250</v>
      </c>
      <c r="K104" s="290" t="s">
        <v>501</v>
      </c>
      <c r="L104" s="291">
        <v>20</v>
      </c>
      <c r="M104" s="275">
        <f t="shared" si="27"/>
        <v>1450</v>
      </c>
      <c r="N104" s="275">
        <f t="shared" si="28"/>
        <v>1650</v>
      </c>
      <c r="O104" s="275">
        <f t="shared" si="29"/>
        <v>1750</v>
      </c>
      <c r="Q104" s="289">
        <v>1100</v>
      </c>
      <c r="R104" s="289">
        <v>1300</v>
      </c>
      <c r="S104" s="289">
        <v>1400</v>
      </c>
    </row>
    <row r="105" spans="1:19" ht="12.75">
      <c r="A105" s="287"/>
      <c r="B105" s="288" t="s">
        <v>713</v>
      </c>
      <c r="C105" s="288" t="s">
        <v>716</v>
      </c>
      <c r="D105" s="288" t="s">
        <v>717</v>
      </c>
      <c r="E105" s="275">
        <v>25</v>
      </c>
      <c r="F105" s="275">
        <v>40</v>
      </c>
      <c r="G105" s="289">
        <f t="shared" si="30"/>
        <v>1200</v>
      </c>
      <c r="H105" s="289">
        <f t="shared" si="30"/>
        <v>1400</v>
      </c>
      <c r="I105" s="289">
        <f t="shared" si="30"/>
        <v>1500</v>
      </c>
      <c r="J105" s="275">
        <v>250</v>
      </c>
      <c r="K105" s="290" t="s">
        <v>501</v>
      </c>
      <c r="L105" s="291">
        <v>20</v>
      </c>
      <c r="M105" s="275">
        <f t="shared" si="27"/>
        <v>1450</v>
      </c>
      <c r="N105" s="275">
        <f t="shared" si="28"/>
        <v>1650</v>
      </c>
      <c r="O105" s="275">
        <f t="shared" si="29"/>
        <v>1750</v>
      </c>
      <c r="Q105" s="289">
        <v>1100</v>
      </c>
      <c r="R105" s="289">
        <v>1300</v>
      </c>
      <c r="S105" s="289">
        <v>1400</v>
      </c>
    </row>
    <row r="106" spans="1:19" ht="12.75">
      <c r="A106" s="287"/>
      <c r="B106" s="288" t="s">
        <v>713</v>
      </c>
      <c r="C106" s="288" t="s">
        <v>718</v>
      </c>
      <c r="D106" s="288" t="s">
        <v>719</v>
      </c>
      <c r="E106" s="275">
        <v>33</v>
      </c>
      <c r="F106" s="275">
        <v>39</v>
      </c>
      <c r="G106" s="289">
        <f t="shared" si="30"/>
        <v>1400</v>
      </c>
      <c r="H106" s="289">
        <f t="shared" si="30"/>
        <v>1500</v>
      </c>
      <c r="I106" s="289">
        <f t="shared" si="30"/>
        <v>1700</v>
      </c>
      <c r="J106" s="275">
        <v>250</v>
      </c>
      <c r="K106" s="290" t="s">
        <v>501</v>
      </c>
      <c r="L106" s="291">
        <v>20</v>
      </c>
      <c r="M106" s="275">
        <f t="shared" si="27"/>
        <v>1650</v>
      </c>
      <c r="N106" s="275">
        <f t="shared" si="28"/>
        <v>1750</v>
      </c>
      <c r="O106" s="275">
        <f t="shared" si="29"/>
        <v>1950</v>
      </c>
      <c r="Q106" s="289">
        <v>1300</v>
      </c>
      <c r="R106" s="289">
        <v>1400</v>
      </c>
      <c r="S106" s="289">
        <v>1600</v>
      </c>
    </row>
    <row r="107" spans="1:19" ht="12.75">
      <c r="A107" s="287"/>
      <c r="B107" s="288" t="s">
        <v>713</v>
      </c>
      <c r="C107" s="288" t="s">
        <v>720</v>
      </c>
      <c r="D107" s="288" t="s">
        <v>721</v>
      </c>
      <c r="E107" s="275">
        <v>33</v>
      </c>
      <c r="F107" s="275">
        <v>50</v>
      </c>
      <c r="G107" s="289">
        <f t="shared" si="30"/>
        <v>1400</v>
      </c>
      <c r="H107" s="289">
        <f t="shared" si="30"/>
        <v>1600</v>
      </c>
      <c r="I107" s="289">
        <f t="shared" si="30"/>
        <v>1700</v>
      </c>
      <c r="J107" s="275">
        <v>250</v>
      </c>
      <c r="K107" s="290" t="s">
        <v>501</v>
      </c>
      <c r="L107" s="291">
        <v>20</v>
      </c>
      <c r="M107" s="275">
        <f t="shared" si="27"/>
        <v>1650</v>
      </c>
      <c r="N107" s="275">
        <f t="shared" si="28"/>
        <v>1850</v>
      </c>
      <c r="O107" s="275">
        <f t="shared" si="29"/>
        <v>1950</v>
      </c>
      <c r="Q107" s="289">
        <v>1300</v>
      </c>
      <c r="R107" s="289">
        <v>1500</v>
      </c>
      <c r="S107" s="289">
        <v>1600</v>
      </c>
    </row>
    <row r="108" spans="1:19" ht="12.75">
      <c r="A108" s="284" t="s">
        <v>722</v>
      </c>
      <c r="B108" s="284"/>
      <c r="C108" s="284"/>
      <c r="D108" s="284"/>
      <c r="E108" s="285"/>
      <c r="F108" s="285"/>
      <c r="G108" s="286"/>
      <c r="H108" s="286"/>
      <c r="I108" s="286"/>
      <c r="J108" s="286"/>
      <c r="K108" s="286"/>
      <c r="L108" s="292"/>
      <c r="M108" s="275">
        <f t="shared" si="27"/>
        <v>0</v>
      </c>
      <c r="N108" s="275">
        <f t="shared" si="28"/>
        <v>0</v>
      </c>
      <c r="O108" s="275">
        <f t="shared" si="29"/>
        <v>0</v>
      </c>
      <c r="Q108" s="286"/>
      <c r="R108" s="286"/>
      <c r="S108" s="286"/>
    </row>
    <row r="109" spans="1:19" ht="12.75">
      <c r="A109" s="287"/>
      <c r="B109" s="288" t="s">
        <v>723</v>
      </c>
      <c r="C109" s="288" t="s">
        <v>724</v>
      </c>
      <c r="D109" s="288" t="s">
        <v>725</v>
      </c>
      <c r="E109" s="275">
        <v>13</v>
      </c>
      <c r="F109" s="275">
        <v>20</v>
      </c>
      <c r="G109" s="289">
        <f aca="true" t="shared" si="31" ref="G109:G140">Q109+$W$13</f>
        <v>1100</v>
      </c>
      <c r="H109" s="289">
        <f aca="true" t="shared" si="32" ref="H109:H140">R109+$W$13</f>
        <v>1200</v>
      </c>
      <c r="I109" s="289">
        <f aca="true" t="shared" si="33" ref="I109:I140">S109+$W$13</f>
        <v>1300</v>
      </c>
      <c r="J109" s="275">
        <v>250</v>
      </c>
      <c r="K109" s="290" t="s">
        <v>501</v>
      </c>
      <c r="L109" s="291">
        <v>20</v>
      </c>
      <c r="M109" s="275">
        <f t="shared" si="27"/>
        <v>1350</v>
      </c>
      <c r="N109" s="275">
        <f t="shared" si="28"/>
        <v>1450</v>
      </c>
      <c r="O109" s="275">
        <f t="shared" si="29"/>
        <v>1550</v>
      </c>
      <c r="Q109" s="289">
        <v>1000</v>
      </c>
      <c r="R109" s="289">
        <v>1100</v>
      </c>
      <c r="S109" s="289">
        <v>1200</v>
      </c>
    </row>
    <row r="110" spans="1:19" ht="12.75">
      <c r="A110" s="287"/>
      <c r="B110" s="288" t="s">
        <v>723</v>
      </c>
      <c r="C110" s="288" t="s">
        <v>726</v>
      </c>
      <c r="D110" s="288" t="s">
        <v>727</v>
      </c>
      <c r="E110" s="275">
        <v>20</v>
      </c>
      <c r="F110" s="275">
        <v>32</v>
      </c>
      <c r="G110" s="289">
        <f t="shared" si="31"/>
        <v>1400</v>
      </c>
      <c r="H110" s="289">
        <f t="shared" si="32"/>
        <v>1600</v>
      </c>
      <c r="I110" s="289">
        <f t="shared" si="33"/>
        <v>1700</v>
      </c>
      <c r="J110" s="275">
        <v>250</v>
      </c>
      <c r="K110" s="290" t="s">
        <v>501</v>
      </c>
      <c r="L110" s="291">
        <v>20</v>
      </c>
      <c r="M110" s="275">
        <f t="shared" si="27"/>
        <v>1650</v>
      </c>
      <c r="N110" s="275">
        <f t="shared" si="28"/>
        <v>1850</v>
      </c>
      <c r="O110" s="275">
        <f t="shared" si="29"/>
        <v>1950</v>
      </c>
      <c r="Q110" s="289">
        <v>1300</v>
      </c>
      <c r="R110" s="289">
        <v>1500</v>
      </c>
      <c r="S110" s="289">
        <v>1600</v>
      </c>
    </row>
    <row r="111" spans="1:19" ht="12.75">
      <c r="A111" s="287"/>
      <c r="B111" s="288" t="s">
        <v>723</v>
      </c>
      <c r="C111" s="288" t="s">
        <v>728</v>
      </c>
      <c r="D111" s="288" t="s">
        <v>729</v>
      </c>
      <c r="E111" s="275">
        <v>25</v>
      </c>
      <c r="F111" s="275">
        <v>42</v>
      </c>
      <c r="G111" s="289">
        <f t="shared" si="31"/>
        <v>1600</v>
      </c>
      <c r="H111" s="289">
        <f t="shared" si="32"/>
        <v>1800</v>
      </c>
      <c r="I111" s="289">
        <f t="shared" si="33"/>
        <v>1900</v>
      </c>
      <c r="J111" s="275">
        <v>250</v>
      </c>
      <c r="K111" s="290" t="s">
        <v>501</v>
      </c>
      <c r="L111" s="291">
        <v>20</v>
      </c>
      <c r="M111" s="275">
        <f t="shared" si="27"/>
        <v>1850</v>
      </c>
      <c r="N111" s="275">
        <f t="shared" si="28"/>
        <v>2050</v>
      </c>
      <c r="O111" s="275">
        <f t="shared" si="29"/>
        <v>2150</v>
      </c>
      <c r="Q111" s="289">
        <v>1500</v>
      </c>
      <c r="R111" s="289">
        <v>1700</v>
      </c>
      <c r="S111" s="289">
        <v>1800</v>
      </c>
    </row>
    <row r="112" spans="1:19" ht="12.75">
      <c r="A112" s="287"/>
      <c r="B112" s="288" t="s">
        <v>723</v>
      </c>
      <c r="C112" s="288" t="s">
        <v>730</v>
      </c>
      <c r="D112" s="288" t="s">
        <v>731</v>
      </c>
      <c r="E112" s="275">
        <v>40</v>
      </c>
      <c r="F112" s="275">
        <v>64</v>
      </c>
      <c r="G112" s="289">
        <f t="shared" si="31"/>
        <v>1800</v>
      </c>
      <c r="H112" s="289">
        <f t="shared" si="32"/>
        <v>2000</v>
      </c>
      <c r="I112" s="289">
        <f t="shared" si="33"/>
        <v>2200</v>
      </c>
      <c r="J112" s="275">
        <v>250</v>
      </c>
      <c r="K112" s="290" t="s">
        <v>501</v>
      </c>
      <c r="L112" s="291">
        <v>20</v>
      </c>
      <c r="M112" s="275">
        <f t="shared" si="27"/>
        <v>2050</v>
      </c>
      <c r="N112" s="275">
        <f t="shared" si="28"/>
        <v>2250</v>
      </c>
      <c r="O112" s="275">
        <f t="shared" si="29"/>
        <v>2450</v>
      </c>
      <c r="Q112" s="289">
        <v>1700</v>
      </c>
      <c r="R112" s="289">
        <v>1900</v>
      </c>
      <c r="S112" s="289">
        <v>2100</v>
      </c>
    </row>
    <row r="113" spans="1:19" ht="12.75">
      <c r="A113" s="287"/>
      <c r="B113" s="288" t="s">
        <v>723</v>
      </c>
      <c r="C113" s="288" t="s">
        <v>732</v>
      </c>
      <c r="D113" s="288" t="s">
        <v>733</v>
      </c>
      <c r="E113" s="275">
        <v>50</v>
      </c>
      <c r="F113" s="275">
        <v>84</v>
      </c>
      <c r="G113" s="289">
        <f t="shared" si="31"/>
        <v>2000</v>
      </c>
      <c r="H113" s="289">
        <f t="shared" si="32"/>
        <v>2200</v>
      </c>
      <c r="I113" s="289">
        <f t="shared" si="33"/>
        <v>2400</v>
      </c>
      <c r="J113" s="275">
        <v>250</v>
      </c>
      <c r="K113" s="290" t="s">
        <v>501</v>
      </c>
      <c r="L113" s="291">
        <v>20</v>
      </c>
      <c r="M113" s="275">
        <f t="shared" si="27"/>
        <v>2250</v>
      </c>
      <c r="N113" s="275">
        <f t="shared" si="28"/>
        <v>2450</v>
      </c>
      <c r="O113" s="275">
        <f t="shared" si="29"/>
        <v>2650</v>
      </c>
      <c r="Q113" s="289">
        <v>1900</v>
      </c>
      <c r="R113" s="289">
        <v>2100</v>
      </c>
      <c r="S113" s="289">
        <v>2300</v>
      </c>
    </row>
    <row r="114" spans="1:19" ht="12.75">
      <c r="A114" s="287"/>
      <c r="B114" s="288" t="s">
        <v>734</v>
      </c>
      <c r="C114" s="288" t="s">
        <v>735</v>
      </c>
      <c r="D114" s="288" t="s">
        <v>736</v>
      </c>
      <c r="E114" s="275">
        <v>32</v>
      </c>
      <c r="F114" s="275" t="s">
        <v>532</v>
      </c>
      <c r="G114" s="289">
        <f t="shared" si="31"/>
        <v>2000</v>
      </c>
      <c r="H114" s="289">
        <f t="shared" si="32"/>
        <v>2300</v>
      </c>
      <c r="I114" s="289">
        <f t="shared" si="33"/>
        <v>2400</v>
      </c>
      <c r="J114" s="275">
        <f aca="true" t="shared" si="34" ref="J114:J151">IF(F114="n/a",250,350)</f>
        <v>250</v>
      </c>
      <c r="L114" s="291">
        <v>-60</v>
      </c>
      <c r="M114" s="275">
        <f t="shared" si="27"/>
        <v>2250</v>
      </c>
      <c r="N114" s="275">
        <f t="shared" si="28"/>
        <v>2550</v>
      </c>
      <c r="O114" s="275">
        <f t="shared" si="29"/>
        <v>2650</v>
      </c>
      <c r="Q114" s="289">
        <v>1900</v>
      </c>
      <c r="R114" s="289">
        <v>2200</v>
      </c>
      <c r="S114" s="289">
        <v>2300</v>
      </c>
    </row>
    <row r="115" spans="1:19" ht="12.75">
      <c r="A115" s="287"/>
      <c r="B115" s="288" t="s">
        <v>734</v>
      </c>
      <c r="C115" s="288" t="s">
        <v>737</v>
      </c>
      <c r="D115" s="288" t="s">
        <v>738</v>
      </c>
      <c r="E115" s="275">
        <v>32</v>
      </c>
      <c r="F115" s="275">
        <v>80</v>
      </c>
      <c r="G115" s="289">
        <f t="shared" si="31"/>
        <v>1800</v>
      </c>
      <c r="H115" s="289">
        <f t="shared" si="32"/>
        <v>2100</v>
      </c>
      <c r="I115" s="289">
        <f t="shared" si="33"/>
        <v>2200</v>
      </c>
      <c r="J115" s="275">
        <f t="shared" si="34"/>
        <v>350</v>
      </c>
      <c r="L115" s="291">
        <v>-60</v>
      </c>
      <c r="M115" s="275">
        <f t="shared" si="27"/>
        <v>2150</v>
      </c>
      <c r="N115" s="275">
        <f t="shared" si="28"/>
        <v>2450</v>
      </c>
      <c r="O115" s="275">
        <f t="shared" si="29"/>
        <v>2550</v>
      </c>
      <c r="Q115" s="289">
        <v>1700</v>
      </c>
      <c r="R115" s="289">
        <v>2000</v>
      </c>
      <c r="S115" s="289">
        <v>2100</v>
      </c>
    </row>
    <row r="116" spans="1:19" ht="12.75">
      <c r="A116" s="287"/>
      <c r="B116" s="288" t="s">
        <v>734</v>
      </c>
      <c r="C116" s="288" t="s">
        <v>739</v>
      </c>
      <c r="D116" s="288" t="s">
        <v>740</v>
      </c>
      <c r="E116" s="275">
        <v>32</v>
      </c>
      <c r="F116" s="275" t="s">
        <v>532</v>
      </c>
      <c r="G116" s="289">
        <f t="shared" si="31"/>
        <v>1900</v>
      </c>
      <c r="H116" s="289">
        <f t="shared" si="32"/>
        <v>2200</v>
      </c>
      <c r="I116" s="289">
        <f t="shared" si="33"/>
        <v>2300</v>
      </c>
      <c r="J116" s="275">
        <f t="shared" si="34"/>
        <v>250</v>
      </c>
      <c r="L116" s="291">
        <v>-60</v>
      </c>
      <c r="M116" s="275">
        <f t="shared" si="27"/>
        <v>2150</v>
      </c>
      <c r="N116" s="275">
        <f t="shared" si="28"/>
        <v>2450</v>
      </c>
      <c r="O116" s="275">
        <f t="shared" si="29"/>
        <v>2550</v>
      </c>
      <c r="Q116" s="289">
        <v>1800</v>
      </c>
      <c r="R116" s="289">
        <v>2100</v>
      </c>
      <c r="S116" s="289">
        <v>2200</v>
      </c>
    </row>
    <row r="117" spans="1:19" ht="12.75">
      <c r="A117" s="287"/>
      <c r="B117" s="288" t="s">
        <v>734</v>
      </c>
      <c r="C117" s="288" t="s">
        <v>741</v>
      </c>
      <c r="D117" s="288" t="s">
        <v>742</v>
      </c>
      <c r="E117" s="275">
        <v>32</v>
      </c>
      <c r="F117" s="275">
        <v>80</v>
      </c>
      <c r="G117" s="289">
        <f t="shared" si="31"/>
        <v>1800</v>
      </c>
      <c r="H117" s="289">
        <f t="shared" si="32"/>
        <v>2100</v>
      </c>
      <c r="I117" s="289">
        <f t="shared" si="33"/>
        <v>2200</v>
      </c>
      <c r="J117" s="275">
        <f t="shared" si="34"/>
        <v>350</v>
      </c>
      <c r="L117" s="291">
        <v>-60</v>
      </c>
      <c r="M117" s="275">
        <f t="shared" si="27"/>
        <v>2150</v>
      </c>
      <c r="N117" s="275">
        <f t="shared" si="28"/>
        <v>2450</v>
      </c>
      <c r="O117" s="275">
        <f t="shared" si="29"/>
        <v>2550</v>
      </c>
      <c r="Q117" s="289">
        <v>1700</v>
      </c>
      <c r="R117" s="289">
        <v>2000</v>
      </c>
      <c r="S117" s="289">
        <v>2100</v>
      </c>
    </row>
    <row r="118" spans="1:19" ht="12.75">
      <c r="A118" s="287"/>
      <c r="B118" s="288" t="s">
        <v>734</v>
      </c>
      <c r="C118" s="288" t="s">
        <v>743</v>
      </c>
      <c r="D118" s="288" t="s">
        <v>744</v>
      </c>
      <c r="E118" s="275">
        <v>40</v>
      </c>
      <c r="F118" s="275" t="s">
        <v>532</v>
      </c>
      <c r="G118" s="289">
        <f t="shared" si="31"/>
        <v>2200</v>
      </c>
      <c r="H118" s="289">
        <f t="shared" si="32"/>
        <v>2600</v>
      </c>
      <c r="I118" s="289">
        <f t="shared" si="33"/>
        <v>2700</v>
      </c>
      <c r="J118" s="275">
        <f t="shared" si="34"/>
        <v>250</v>
      </c>
      <c r="L118" s="291">
        <v>-60</v>
      </c>
      <c r="M118" s="275">
        <f t="shared" si="27"/>
        <v>2450</v>
      </c>
      <c r="N118" s="275">
        <f t="shared" si="28"/>
        <v>2850</v>
      </c>
      <c r="O118" s="275">
        <f t="shared" si="29"/>
        <v>2950</v>
      </c>
      <c r="Q118" s="289">
        <v>2100</v>
      </c>
      <c r="R118" s="289">
        <v>2500</v>
      </c>
      <c r="S118" s="289">
        <v>2600</v>
      </c>
    </row>
    <row r="119" spans="1:19" ht="12.75">
      <c r="A119" s="287"/>
      <c r="B119" s="288" t="s">
        <v>734</v>
      </c>
      <c r="C119" s="288" t="s">
        <v>745</v>
      </c>
      <c r="D119" s="288" t="s">
        <v>746</v>
      </c>
      <c r="E119" s="275">
        <v>40</v>
      </c>
      <c r="F119" s="275">
        <v>80</v>
      </c>
      <c r="G119" s="289">
        <f t="shared" si="31"/>
        <v>2100</v>
      </c>
      <c r="H119" s="289">
        <f t="shared" si="32"/>
        <v>2400</v>
      </c>
      <c r="I119" s="289">
        <f t="shared" si="33"/>
        <v>2600</v>
      </c>
      <c r="J119" s="275">
        <f t="shared" si="34"/>
        <v>350</v>
      </c>
      <c r="L119" s="291">
        <v>-60</v>
      </c>
      <c r="M119" s="275">
        <f t="shared" si="27"/>
        <v>2450</v>
      </c>
      <c r="N119" s="275">
        <f t="shared" si="28"/>
        <v>2750</v>
      </c>
      <c r="O119" s="275">
        <f t="shared" si="29"/>
        <v>2950</v>
      </c>
      <c r="Q119" s="289">
        <v>2000</v>
      </c>
      <c r="R119" s="289">
        <v>2300</v>
      </c>
      <c r="S119" s="289">
        <v>2500</v>
      </c>
    </row>
    <row r="120" spans="1:19" ht="12.75">
      <c r="A120" s="287"/>
      <c r="B120" s="288" t="s">
        <v>734</v>
      </c>
      <c r="C120" s="288" t="s">
        <v>747</v>
      </c>
      <c r="D120" s="288" t="s">
        <v>748</v>
      </c>
      <c r="E120" s="275">
        <v>40</v>
      </c>
      <c r="F120" s="275">
        <v>80</v>
      </c>
      <c r="G120" s="289">
        <f t="shared" si="31"/>
        <v>1900</v>
      </c>
      <c r="H120" s="289">
        <f t="shared" si="32"/>
        <v>2300</v>
      </c>
      <c r="I120" s="289">
        <f t="shared" si="33"/>
        <v>2400</v>
      </c>
      <c r="J120" s="275">
        <f t="shared" si="34"/>
        <v>350</v>
      </c>
      <c r="L120" s="291">
        <v>-60</v>
      </c>
      <c r="M120" s="275">
        <f t="shared" si="27"/>
        <v>2250</v>
      </c>
      <c r="N120" s="275">
        <f t="shared" si="28"/>
        <v>2650</v>
      </c>
      <c r="O120" s="275">
        <f t="shared" si="29"/>
        <v>2750</v>
      </c>
      <c r="Q120" s="289">
        <v>1800</v>
      </c>
      <c r="R120" s="289">
        <v>2200</v>
      </c>
      <c r="S120" s="289">
        <v>2300</v>
      </c>
    </row>
    <row r="121" spans="1:19" ht="12.75">
      <c r="A121" s="287"/>
      <c r="B121" s="288" t="s">
        <v>734</v>
      </c>
      <c r="C121" s="288" t="s">
        <v>749</v>
      </c>
      <c r="D121" s="288" t="s">
        <v>750</v>
      </c>
      <c r="E121" s="275">
        <v>40</v>
      </c>
      <c r="F121" s="275" t="s">
        <v>532</v>
      </c>
      <c r="G121" s="289">
        <f t="shared" si="31"/>
        <v>2000</v>
      </c>
      <c r="H121" s="289">
        <f t="shared" si="32"/>
        <v>2500</v>
      </c>
      <c r="I121" s="289">
        <f t="shared" si="33"/>
        <v>2600</v>
      </c>
      <c r="J121" s="275">
        <f t="shared" si="34"/>
        <v>250</v>
      </c>
      <c r="L121" s="291">
        <v>-60</v>
      </c>
      <c r="M121" s="275">
        <f t="shared" si="27"/>
        <v>2250</v>
      </c>
      <c r="N121" s="275">
        <f t="shared" si="28"/>
        <v>2750</v>
      </c>
      <c r="O121" s="275">
        <f t="shared" si="29"/>
        <v>2850</v>
      </c>
      <c r="Q121" s="289">
        <v>1900</v>
      </c>
      <c r="R121" s="289">
        <v>2400</v>
      </c>
      <c r="S121" s="289">
        <v>2500</v>
      </c>
    </row>
    <row r="122" spans="1:19" ht="12.75">
      <c r="A122" s="287"/>
      <c r="B122" s="288" t="s">
        <v>734</v>
      </c>
      <c r="C122" s="288" t="s">
        <v>751</v>
      </c>
      <c r="D122" s="288" t="s">
        <v>752</v>
      </c>
      <c r="E122" s="275">
        <v>40</v>
      </c>
      <c r="F122" s="275" t="s">
        <v>532</v>
      </c>
      <c r="G122" s="289">
        <f t="shared" si="31"/>
        <v>2200</v>
      </c>
      <c r="H122" s="289">
        <f t="shared" si="32"/>
        <v>2500</v>
      </c>
      <c r="I122" s="289">
        <f t="shared" si="33"/>
        <v>2600</v>
      </c>
      <c r="J122" s="275">
        <f t="shared" si="34"/>
        <v>250</v>
      </c>
      <c r="L122" s="291">
        <v>-60</v>
      </c>
      <c r="M122" s="275">
        <f t="shared" si="27"/>
        <v>2450</v>
      </c>
      <c r="N122" s="275">
        <f t="shared" si="28"/>
        <v>2750</v>
      </c>
      <c r="O122" s="275">
        <f t="shared" si="29"/>
        <v>2850</v>
      </c>
      <c r="Q122" s="289">
        <v>2100</v>
      </c>
      <c r="R122" s="289">
        <v>2400</v>
      </c>
      <c r="S122" s="289">
        <v>2500</v>
      </c>
    </row>
    <row r="123" spans="1:19" ht="12.75">
      <c r="A123" s="287"/>
      <c r="B123" s="288" t="s">
        <v>734</v>
      </c>
      <c r="C123" s="288" t="s">
        <v>753</v>
      </c>
      <c r="D123" s="288" t="s">
        <v>754</v>
      </c>
      <c r="E123" s="275">
        <v>40</v>
      </c>
      <c r="F123" s="275">
        <v>80</v>
      </c>
      <c r="G123" s="289">
        <f t="shared" si="31"/>
        <v>2000</v>
      </c>
      <c r="H123" s="289">
        <f t="shared" si="32"/>
        <v>2400</v>
      </c>
      <c r="I123" s="289">
        <f t="shared" si="33"/>
        <v>2500</v>
      </c>
      <c r="J123" s="275">
        <f t="shared" si="34"/>
        <v>350</v>
      </c>
      <c r="L123" s="291">
        <v>-60</v>
      </c>
      <c r="M123" s="275">
        <f t="shared" si="27"/>
        <v>2350</v>
      </c>
      <c r="N123" s="275">
        <f t="shared" si="28"/>
        <v>2750</v>
      </c>
      <c r="O123" s="275">
        <f t="shared" si="29"/>
        <v>2850</v>
      </c>
      <c r="Q123" s="289">
        <v>1900</v>
      </c>
      <c r="R123" s="289">
        <v>2300</v>
      </c>
      <c r="S123" s="289">
        <v>2400</v>
      </c>
    </row>
    <row r="124" spans="1:19" ht="12.75">
      <c r="A124" s="287"/>
      <c r="B124" s="288" t="s">
        <v>734</v>
      </c>
      <c r="C124" s="288" t="s">
        <v>755</v>
      </c>
      <c r="D124" s="288" t="s">
        <v>756</v>
      </c>
      <c r="E124" s="275">
        <v>40</v>
      </c>
      <c r="F124" s="275">
        <v>80</v>
      </c>
      <c r="G124" s="289">
        <f t="shared" si="31"/>
        <v>1800</v>
      </c>
      <c r="H124" s="289">
        <f t="shared" si="32"/>
        <v>2200</v>
      </c>
      <c r="I124" s="289">
        <f t="shared" si="33"/>
        <v>2300</v>
      </c>
      <c r="J124" s="275">
        <f t="shared" si="34"/>
        <v>350</v>
      </c>
      <c r="L124" s="291">
        <v>-60</v>
      </c>
      <c r="M124" s="275">
        <f t="shared" si="27"/>
        <v>2150</v>
      </c>
      <c r="N124" s="275">
        <f t="shared" si="28"/>
        <v>2550</v>
      </c>
      <c r="O124" s="275">
        <f t="shared" si="29"/>
        <v>2650</v>
      </c>
      <c r="Q124" s="289">
        <v>1700</v>
      </c>
      <c r="R124" s="289">
        <v>2100</v>
      </c>
      <c r="S124" s="289">
        <v>2200</v>
      </c>
    </row>
    <row r="125" spans="1:19" ht="12.75">
      <c r="A125" s="287"/>
      <c r="B125" s="288" t="s">
        <v>734</v>
      </c>
      <c r="C125" s="288" t="s">
        <v>757</v>
      </c>
      <c r="D125" s="288" t="s">
        <v>758</v>
      </c>
      <c r="E125" s="275">
        <v>40</v>
      </c>
      <c r="F125" s="275" t="s">
        <v>532</v>
      </c>
      <c r="G125" s="289">
        <f t="shared" si="31"/>
        <v>2000</v>
      </c>
      <c r="H125" s="289">
        <f t="shared" si="32"/>
        <v>2400</v>
      </c>
      <c r="I125" s="289">
        <f t="shared" si="33"/>
        <v>2500</v>
      </c>
      <c r="J125" s="275">
        <f t="shared" si="34"/>
        <v>250</v>
      </c>
      <c r="L125" s="291">
        <v>-60</v>
      </c>
      <c r="M125" s="275">
        <f t="shared" si="27"/>
        <v>2250</v>
      </c>
      <c r="N125" s="275">
        <f t="shared" si="28"/>
        <v>2650</v>
      </c>
      <c r="O125" s="275">
        <f t="shared" si="29"/>
        <v>2750</v>
      </c>
      <c r="Q125" s="289">
        <v>1900</v>
      </c>
      <c r="R125" s="289">
        <v>2300</v>
      </c>
      <c r="S125" s="289">
        <v>2400</v>
      </c>
    </row>
    <row r="126" spans="1:19" ht="12.75">
      <c r="A126" s="287"/>
      <c r="B126" s="288" t="s">
        <v>734</v>
      </c>
      <c r="C126" s="288" t="s">
        <v>759</v>
      </c>
      <c r="D126" s="288" t="s">
        <v>760</v>
      </c>
      <c r="E126" s="275">
        <v>48</v>
      </c>
      <c r="F126" s="275" t="s">
        <v>532</v>
      </c>
      <c r="G126" s="289">
        <f t="shared" si="31"/>
        <v>2500</v>
      </c>
      <c r="H126" s="289">
        <f t="shared" si="32"/>
        <v>2800</v>
      </c>
      <c r="I126" s="289">
        <f t="shared" si="33"/>
        <v>3000</v>
      </c>
      <c r="J126" s="275">
        <f t="shared" si="34"/>
        <v>250</v>
      </c>
      <c r="L126" s="291">
        <v>-60</v>
      </c>
      <c r="M126" s="275">
        <f t="shared" si="27"/>
        <v>2750</v>
      </c>
      <c r="N126" s="275">
        <f t="shared" si="28"/>
        <v>3050</v>
      </c>
      <c r="O126" s="275">
        <f t="shared" si="29"/>
        <v>3250</v>
      </c>
      <c r="Q126" s="289">
        <v>2400</v>
      </c>
      <c r="R126" s="289">
        <v>2700</v>
      </c>
      <c r="S126" s="289">
        <v>2900</v>
      </c>
    </row>
    <row r="127" spans="1:19" ht="12.75">
      <c r="A127" s="287"/>
      <c r="B127" s="288" t="s">
        <v>734</v>
      </c>
      <c r="C127" s="288" t="s">
        <v>761</v>
      </c>
      <c r="D127" s="288" t="s">
        <v>762</v>
      </c>
      <c r="E127" s="275">
        <v>48</v>
      </c>
      <c r="F127" s="275">
        <v>80</v>
      </c>
      <c r="G127" s="289">
        <f t="shared" si="31"/>
        <v>2300</v>
      </c>
      <c r="H127" s="289">
        <f t="shared" si="32"/>
        <v>2700</v>
      </c>
      <c r="I127" s="289">
        <f t="shared" si="33"/>
        <v>2800</v>
      </c>
      <c r="J127" s="275">
        <f t="shared" si="34"/>
        <v>350</v>
      </c>
      <c r="L127" s="291">
        <v>-60</v>
      </c>
      <c r="M127" s="275">
        <f t="shared" si="27"/>
        <v>2650</v>
      </c>
      <c r="N127" s="275">
        <f t="shared" si="28"/>
        <v>3050</v>
      </c>
      <c r="O127" s="275">
        <f t="shared" si="29"/>
        <v>3150</v>
      </c>
      <c r="Q127" s="289">
        <v>2200</v>
      </c>
      <c r="R127" s="289">
        <v>2600</v>
      </c>
      <c r="S127" s="289">
        <v>2700</v>
      </c>
    </row>
    <row r="128" spans="1:19" ht="12.75">
      <c r="A128" s="287"/>
      <c r="B128" s="288" t="s">
        <v>734</v>
      </c>
      <c r="C128" s="288" t="s">
        <v>763</v>
      </c>
      <c r="D128" s="288" t="s">
        <v>764</v>
      </c>
      <c r="E128" s="275">
        <v>48</v>
      </c>
      <c r="F128" s="275">
        <v>80</v>
      </c>
      <c r="G128" s="289">
        <f t="shared" si="31"/>
        <v>2100</v>
      </c>
      <c r="H128" s="289">
        <f t="shared" si="32"/>
        <v>2500</v>
      </c>
      <c r="I128" s="289">
        <f t="shared" si="33"/>
        <v>2700</v>
      </c>
      <c r="J128" s="275">
        <f t="shared" si="34"/>
        <v>350</v>
      </c>
      <c r="L128" s="291">
        <v>-60</v>
      </c>
      <c r="M128" s="275">
        <f t="shared" si="27"/>
        <v>2450</v>
      </c>
      <c r="N128" s="275">
        <f t="shared" si="28"/>
        <v>2850</v>
      </c>
      <c r="O128" s="275">
        <f t="shared" si="29"/>
        <v>3050</v>
      </c>
      <c r="Q128" s="289">
        <v>2000</v>
      </c>
      <c r="R128" s="289">
        <v>2400</v>
      </c>
      <c r="S128" s="289">
        <v>2600</v>
      </c>
    </row>
    <row r="129" spans="1:19" ht="12.75">
      <c r="A129" s="287"/>
      <c r="B129" s="288" t="s">
        <v>734</v>
      </c>
      <c r="C129" s="288" t="s">
        <v>765</v>
      </c>
      <c r="D129" s="288" t="s">
        <v>766</v>
      </c>
      <c r="E129" s="275">
        <v>48</v>
      </c>
      <c r="F129" s="275" t="s">
        <v>532</v>
      </c>
      <c r="G129" s="289">
        <f t="shared" si="31"/>
        <v>2600</v>
      </c>
      <c r="H129" s="289">
        <f t="shared" si="32"/>
        <v>3100</v>
      </c>
      <c r="I129" s="289">
        <f t="shared" si="33"/>
        <v>3300</v>
      </c>
      <c r="J129" s="275">
        <f t="shared" si="34"/>
        <v>250</v>
      </c>
      <c r="L129" s="291">
        <v>-60</v>
      </c>
      <c r="M129" s="275">
        <f t="shared" si="27"/>
        <v>2850</v>
      </c>
      <c r="N129" s="275">
        <f t="shared" si="28"/>
        <v>3350</v>
      </c>
      <c r="O129" s="275">
        <f t="shared" si="29"/>
        <v>3550</v>
      </c>
      <c r="Q129" s="289">
        <v>2500</v>
      </c>
      <c r="R129" s="289">
        <v>3000</v>
      </c>
      <c r="S129" s="289">
        <v>3200</v>
      </c>
    </row>
    <row r="130" spans="1:19" ht="12.75">
      <c r="A130" s="287"/>
      <c r="B130" s="288" t="s">
        <v>734</v>
      </c>
      <c r="C130" s="288" t="s">
        <v>767</v>
      </c>
      <c r="D130" s="288" t="s">
        <v>768</v>
      </c>
      <c r="E130" s="275">
        <v>48</v>
      </c>
      <c r="F130" s="275" t="s">
        <v>532</v>
      </c>
      <c r="G130" s="289">
        <f t="shared" si="31"/>
        <v>2400</v>
      </c>
      <c r="H130" s="289">
        <f t="shared" si="32"/>
        <v>2800</v>
      </c>
      <c r="I130" s="289">
        <f t="shared" si="33"/>
        <v>2900</v>
      </c>
      <c r="J130" s="275">
        <f t="shared" si="34"/>
        <v>250</v>
      </c>
      <c r="L130" s="291">
        <v>-60</v>
      </c>
      <c r="M130" s="275">
        <f t="shared" si="27"/>
        <v>2650</v>
      </c>
      <c r="N130" s="275">
        <f t="shared" si="28"/>
        <v>3050</v>
      </c>
      <c r="O130" s="275">
        <f t="shared" si="29"/>
        <v>3150</v>
      </c>
      <c r="Q130" s="289">
        <v>2300</v>
      </c>
      <c r="R130" s="289">
        <v>2700</v>
      </c>
      <c r="S130" s="289">
        <v>2800</v>
      </c>
    </row>
    <row r="131" spans="1:19" ht="12.75">
      <c r="A131" s="287"/>
      <c r="B131" s="288" t="s">
        <v>734</v>
      </c>
      <c r="C131" s="288" t="s">
        <v>769</v>
      </c>
      <c r="D131" s="288" t="s">
        <v>770</v>
      </c>
      <c r="E131" s="275">
        <v>48</v>
      </c>
      <c r="F131" s="275">
        <v>80</v>
      </c>
      <c r="G131" s="289">
        <f t="shared" si="31"/>
        <v>2300</v>
      </c>
      <c r="H131" s="289">
        <f t="shared" si="32"/>
        <v>2600</v>
      </c>
      <c r="I131" s="289">
        <f t="shared" si="33"/>
        <v>2800</v>
      </c>
      <c r="J131" s="275">
        <f t="shared" si="34"/>
        <v>350</v>
      </c>
      <c r="L131" s="291">
        <v>-60</v>
      </c>
      <c r="M131" s="275">
        <f t="shared" si="27"/>
        <v>2650</v>
      </c>
      <c r="N131" s="275">
        <f t="shared" si="28"/>
        <v>2950</v>
      </c>
      <c r="O131" s="275">
        <f t="shared" si="29"/>
        <v>3150</v>
      </c>
      <c r="Q131" s="289">
        <v>2200</v>
      </c>
      <c r="R131" s="289">
        <v>2500</v>
      </c>
      <c r="S131" s="289">
        <v>2700</v>
      </c>
    </row>
    <row r="132" spans="1:19" ht="12.75">
      <c r="A132" s="287"/>
      <c r="B132" s="288" t="s">
        <v>734</v>
      </c>
      <c r="C132" s="288" t="s">
        <v>771</v>
      </c>
      <c r="D132" s="288" t="s">
        <v>772</v>
      </c>
      <c r="E132" s="275">
        <v>48</v>
      </c>
      <c r="F132" s="275">
        <v>80</v>
      </c>
      <c r="G132" s="289">
        <f t="shared" si="31"/>
        <v>2000</v>
      </c>
      <c r="H132" s="289">
        <f t="shared" si="32"/>
        <v>2500</v>
      </c>
      <c r="I132" s="289">
        <f t="shared" si="33"/>
        <v>2600</v>
      </c>
      <c r="J132" s="275">
        <f t="shared" si="34"/>
        <v>350</v>
      </c>
      <c r="L132" s="291">
        <v>-60</v>
      </c>
      <c r="M132" s="275">
        <f t="shared" si="27"/>
        <v>2350</v>
      </c>
      <c r="N132" s="275">
        <f t="shared" si="28"/>
        <v>2850</v>
      </c>
      <c r="O132" s="275">
        <f t="shared" si="29"/>
        <v>2950</v>
      </c>
      <c r="Q132" s="289">
        <v>1900</v>
      </c>
      <c r="R132" s="289">
        <v>2400</v>
      </c>
      <c r="S132" s="289">
        <v>2500</v>
      </c>
    </row>
    <row r="133" spans="1:19" ht="12.75">
      <c r="A133" s="287"/>
      <c r="B133" s="288" t="s">
        <v>734</v>
      </c>
      <c r="C133" s="288" t="s">
        <v>773</v>
      </c>
      <c r="D133" s="288" t="s">
        <v>774</v>
      </c>
      <c r="E133" s="275">
        <v>48</v>
      </c>
      <c r="F133" s="275" t="s">
        <v>532</v>
      </c>
      <c r="G133" s="289">
        <f t="shared" si="31"/>
        <v>2200</v>
      </c>
      <c r="H133" s="289">
        <f t="shared" si="32"/>
        <v>2600</v>
      </c>
      <c r="I133" s="289">
        <f t="shared" si="33"/>
        <v>2700</v>
      </c>
      <c r="J133" s="275">
        <f t="shared" si="34"/>
        <v>250</v>
      </c>
      <c r="L133" s="291">
        <v>-60</v>
      </c>
      <c r="M133" s="275">
        <f aca="true" t="shared" si="35" ref="M133:M169">G133+$J133</f>
        <v>2450</v>
      </c>
      <c r="N133" s="275">
        <f aca="true" t="shared" si="36" ref="N133:N169">H133+$J133</f>
        <v>2850</v>
      </c>
      <c r="O133" s="275">
        <f aca="true" t="shared" si="37" ref="O133:O169">I133+$J133</f>
        <v>2950</v>
      </c>
      <c r="Q133" s="289">
        <v>2100</v>
      </c>
      <c r="R133" s="289">
        <v>2500</v>
      </c>
      <c r="S133" s="289">
        <v>2600</v>
      </c>
    </row>
    <row r="134" spans="1:19" ht="12.75">
      <c r="A134" s="287"/>
      <c r="B134" s="288" t="s">
        <v>734</v>
      </c>
      <c r="C134" s="288" t="s">
        <v>775</v>
      </c>
      <c r="D134" s="288" t="s">
        <v>776</v>
      </c>
      <c r="E134" s="275">
        <v>64</v>
      </c>
      <c r="F134" s="275" t="s">
        <v>532</v>
      </c>
      <c r="G134" s="289">
        <f t="shared" si="31"/>
        <v>2800</v>
      </c>
      <c r="H134" s="289">
        <f t="shared" si="32"/>
        <v>3100</v>
      </c>
      <c r="I134" s="289">
        <f t="shared" si="33"/>
        <v>3300</v>
      </c>
      <c r="J134" s="275">
        <f t="shared" si="34"/>
        <v>250</v>
      </c>
      <c r="L134" s="291">
        <v>-60</v>
      </c>
      <c r="M134" s="275">
        <f t="shared" si="35"/>
        <v>3050</v>
      </c>
      <c r="N134" s="275">
        <f t="shared" si="36"/>
        <v>3350</v>
      </c>
      <c r="O134" s="275">
        <f t="shared" si="37"/>
        <v>3550</v>
      </c>
      <c r="Q134" s="289">
        <v>2700</v>
      </c>
      <c r="R134" s="289">
        <v>3000</v>
      </c>
      <c r="S134" s="289">
        <v>3200</v>
      </c>
    </row>
    <row r="135" spans="1:19" ht="12.75">
      <c r="A135" s="287"/>
      <c r="B135" s="288" t="s">
        <v>734</v>
      </c>
      <c r="C135" s="288" t="s">
        <v>777</v>
      </c>
      <c r="D135" s="288" t="s">
        <v>778</v>
      </c>
      <c r="E135" s="275">
        <v>64</v>
      </c>
      <c r="F135" s="275">
        <v>80</v>
      </c>
      <c r="G135" s="289">
        <f t="shared" si="31"/>
        <v>2600</v>
      </c>
      <c r="H135" s="289">
        <f t="shared" si="32"/>
        <v>3000</v>
      </c>
      <c r="I135" s="289">
        <f t="shared" si="33"/>
        <v>3200</v>
      </c>
      <c r="J135" s="275">
        <f t="shared" si="34"/>
        <v>350</v>
      </c>
      <c r="L135" s="291">
        <v>-60</v>
      </c>
      <c r="M135" s="275">
        <f t="shared" si="35"/>
        <v>2950</v>
      </c>
      <c r="N135" s="275">
        <f t="shared" si="36"/>
        <v>3350</v>
      </c>
      <c r="O135" s="275">
        <f t="shared" si="37"/>
        <v>3550</v>
      </c>
      <c r="Q135" s="289">
        <v>2500</v>
      </c>
      <c r="R135" s="289">
        <v>2900</v>
      </c>
      <c r="S135" s="289">
        <v>3100</v>
      </c>
    </row>
    <row r="136" spans="1:19" ht="12.75">
      <c r="A136" s="287"/>
      <c r="B136" s="288" t="s">
        <v>734</v>
      </c>
      <c r="C136" s="288" t="s">
        <v>779</v>
      </c>
      <c r="D136" s="288" t="s">
        <v>780</v>
      </c>
      <c r="E136" s="275">
        <v>64</v>
      </c>
      <c r="F136" s="275">
        <v>80</v>
      </c>
      <c r="G136" s="289">
        <f t="shared" si="31"/>
        <v>2400</v>
      </c>
      <c r="H136" s="289">
        <f t="shared" si="32"/>
        <v>2800</v>
      </c>
      <c r="I136" s="289">
        <f t="shared" si="33"/>
        <v>3000</v>
      </c>
      <c r="J136" s="275">
        <f t="shared" si="34"/>
        <v>350</v>
      </c>
      <c r="L136" s="291">
        <v>-60</v>
      </c>
      <c r="M136" s="275">
        <f t="shared" si="35"/>
        <v>2750</v>
      </c>
      <c r="N136" s="275">
        <f t="shared" si="36"/>
        <v>3150</v>
      </c>
      <c r="O136" s="275">
        <f t="shared" si="37"/>
        <v>3350</v>
      </c>
      <c r="Q136" s="289">
        <v>2300</v>
      </c>
      <c r="R136" s="289">
        <v>2700</v>
      </c>
      <c r="S136" s="289">
        <v>2900</v>
      </c>
    </row>
    <row r="137" spans="1:19" ht="12.75">
      <c r="A137" s="287"/>
      <c r="B137" s="288" t="s">
        <v>734</v>
      </c>
      <c r="C137" s="288" t="s">
        <v>781</v>
      </c>
      <c r="D137" s="288" t="s">
        <v>782</v>
      </c>
      <c r="E137" s="275">
        <v>64</v>
      </c>
      <c r="F137" s="275" t="s">
        <v>532</v>
      </c>
      <c r="G137" s="289">
        <f t="shared" si="31"/>
        <v>2500</v>
      </c>
      <c r="H137" s="289">
        <f t="shared" si="32"/>
        <v>3000</v>
      </c>
      <c r="I137" s="289">
        <f t="shared" si="33"/>
        <v>3200</v>
      </c>
      <c r="J137" s="275">
        <f t="shared" si="34"/>
        <v>250</v>
      </c>
      <c r="L137" s="291">
        <v>-60</v>
      </c>
      <c r="M137" s="275">
        <f t="shared" si="35"/>
        <v>2750</v>
      </c>
      <c r="N137" s="275">
        <f t="shared" si="36"/>
        <v>3250</v>
      </c>
      <c r="O137" s="275">
        <f t="shared" si="37"/>
        <v>3450</v>
      </c>
      <c r="Q137" s="289">
        <v>2400</v>
      </c>
      <c r="R137" s="289">
        <v>2900</v>
      </c>
      <c r="S137" s="289">
        <v>3100</v>
      </c>
    </row>
    <row r="138" spans="1:19" ht="12.75">
      <c r="A138" s="287"/>
      <c r="B138" s="288" t="s">
        <v>734</v>
      </c>
      <c r="C138" s="288" t="s">
        <v>783</v>
      </c>
      <c r="D138" s="288" t="s">
        <v>784</v>
      </c>
      <c r="E138" s="275">
        <v>64</v>
      </c>
      <c r="F138" s="275" t="s">
        <v>532</v>
      </c>
      <c r="G138" s="289">
        <f t="shared" si="31"/>
        <v>2700</v>
      </c>
      <c r="H138" s="289">
        <f t="shared" si="32"/>
        <v>3000</v>
      </c>
      <c r="I138" s="289">
        <f t="shared" si="33"/>
        <v>3300</v>
      </c>
      <c r="J138" s="275">
        <f t="shared" si="34"/>
        <v>250</v>
      </c>
      <c r="L138" s="291">
        <v>-60</v>
      </c>
      <c r="M138" s="275">
        <f t="shared" si="35"/>
        <v>2950</v>
      </c>
      <c r="N138" s="275">
        <f t="shared" si="36"/>
        <v>3250</v>
      </c>
      <c r="O138" s="275">
        <f t="shared" si="37"/>
        <v>3550</v>
      </c>
      <c r="Q138" s="289">
        <v>2600</v>
      </c>
      <c r="R138" s="289">
        <v>2900</v>
      </c>
      <c r="S138" s="289">
        <v>3200</v>
      </c>
    </row>
    <row r="139" spans="1:19" ht="12.75">
      <c r="A139" s="287"/>
      <c r="B139" s="288" t="s">
        <v>734</v>
      </c>
      <c r="C139" s="288" t="s">
        <v>785</v>
      </c>
      <c r="D139" s="288" t="s">
        <v>786</v>
      </c>
      <c r="E139" s="275">
        <v>64</v>
      </c>
      <c r="F139" s="275">
        <v>80</v>
      </c>
      <c r="G139" s="289">
        <f t="shared" si="31"/>
        <v>2600</v>
      </c>
      <c r="H139" s="289">
        <f t="shared" si="32"/>
        <v>2900</v>
      </c>
      <c r="I139" s="289">
        <f t="shared" si="33"/>
        <v>3100</v>
      </c>
      <c r="J139" s="275">
        <f t="shared" si="34"/>
        <v>350</v>
      </c>
      <c r="L139" s="291">
        <v>-60</v>
      </c>
      <c r="M139" s="275">
        <f t="shared" si="35"/>
        <v>2950</v>
      </c>
      <c r="N139" s="275">
        <f t="shared" si="36"/>
        <v>3250</v>
      </c>
      <c r="O139" s="275">
        <f t="shared" si="37"/>
        <v>3450</v>
      </c>
      <c r="Q139" s="289">
        <v>2500</v>
      </c>
      <c r="R139" s="289">
        <v>2800</v>
      </c>
      <c r="S139" s="289">
        <v>3000</v>
      </c>
    </row>
    <row r="140" spans="1:19" ht="12.75">
      <c r="A140" s="287"/>
      <c r="B140" s="288" t="s">
        <v>734</v>
      </c>
      <c r="C140" s="288" t="s">
        <v>787</v>
      </c>
      <c r="D140" s="288" t="s">
        <v>788</v>
      </c>
      <c r="E140" s="275">
        <v>64</v>
      </c>
      <c r="F140" s="275">
        <v>80</v>
      </c>
      <c r="G140" s="289">
        <f t="shared" si="31"/>
        <v>2300</v>
      </c>
      <c r="H140" s="289">
        <f t="shared" si="32"/>
        <v>2800</v>
      </c>
      <c r="I140" s="289">
        <f t="shared" si="33"/>
        <v>2900</v>
      </c>
      <c r="J140" s="275">
        <f t="shared" si="34"/>
        <v>350</v>
      </c>
      <c r="L140" s="291">
        <v>-60</v>
      </c>
      <c r="M140" s="275">
        <f t="shared" si="35"/>
        <v>2650</v>
      </c>
      <c r="N140" s="275">
        <f t="shared" si="36"/>
        <v>3150</v>
      </c>
      <c r="O140" s="275">
        <f t="shared" si="37"/>
        <v>3250</v>
      </c>
      <c r="Q140" s="289">
        <v>2200</v>
      </c>
      <c r="R140" s="289">
        <v>2700</v>
      </c>
      <c r="S140" s="289">
        <v>2800</v>
      </c>
    </row>
    <row r="141" spans="1:19" ht="12.75">
      <c r="A141" s="287"/>
      <c r="B141" s="288" t="s">
        <v>734</v>
      </c>
      <c r="C141" s="288" t="s">
        <v>789</v>
      </c>
      <c r="D141" s="288" t="s">
        <v>790</v>
      </c>
      <c r="E141" s="275">
        <v>64</v>
      </c>
      <c r="F141" s="275" t="s">
        <v>532</v>
      </c>
      <c r="G141" s="289">
        <f aca="true" t="shared" si="38" ref="G141:G164">Q141+$W$13</f>
        <v>2500</v>
      </c>
      <c r="H141" s="289">
        <f aca="true" t="shared" si="39" ref="H141:H164">R141+$W$13</f>
        <v>2900</v>
      </c>
      <c r="I141" s="289">
        <f aca="true" t="shared" si="40" ref="I141:I164">S141+$W$13</f>
        <v>3100</v>
      </c>
      <c r="J141" s="275">
        <f t="shared" si="34"/>
        <v>250</v>
      </c>
      <c r="L141" s="291">
        <v>-60</v>
      </c>
      <c r="M141" s="275">
        <f t="shared" si="35"/>
        <v>2750</v>
      </c>
      <c r="N141" s="275">
        <f t="shared" si="36"/>
        <v>3150</v>
      </c>
      <c r="O141" s="275">
        <f t="shared" si="37"/>
        <v>3350</v>
      </c>
      <c r="Q141" s="289">
        <v>2400</v>
      </c>
      <c r="R141" s="289">
        <v>2800</v>
      </c>
      <c r="S141" s="289">
        <v>3000</v>
      </c>
    </row>
    <row r="142" spans="1:19" ht="12.75">
      <c r="A142" s="287"/>
      <c r="B142" s="288" t="s">
        <v>734</v>
      </c>
      <c r="C142" s="288" t="s">
        <v>791</v>
      </c>
      <c r="D142" s="288" t="s">
        <v>792</v>
      </c>
      <c r="E142" s="275">
        <v>80</v>
      </c>
      <c r="F142" s="275" t="s">
        <v>532</v>
      </c>
      <c r="G142" s="289">
        <f t="shared" si="38"/>
        <v>3000</v>
      </c>
      <c r="H142" s="289">
        <f t="shared" si="39"/>
        <v>3300</v>
      </c>
      <c r="I142" s="289">
        <f t="shared" si="40"/>
        <v>3500</v>
      </c>
      <c r="J142" s="275">
        <f t="shared" si="34"/>
        <v>250</v>
      </c>
      <c r="L142" s="291">
        <v>-60</v>
      </c>
      <c r="M142" s="275">
        <f t="shared" si="35"/>
        <v>3250</v>
      </c>
      <c r="N142" s="275">
        <f t="shared" si="36"/>
        <v>3550</v>
      </c>
      <c r="O142" s="275">
        <f t="shared" si="37"/>
        <v>3750</v>
      </c>
      <c r="Q142" s="289">
        <v>2900</v>
      </c>
      <c r="R142" s="289">
        <v>3200</v>
      </c>
      <c r="S142" s="289">
        <v>3400</v>
      </c>
    </row>
    <row r="143" spans="1:19" ht="12.75">
      <c r="A143" s="287"/>
      <c r="B143" s="288" t="s">
        <v>734</v>
      </c>
      <c r="C143" s="288" t="s">
        <v>793</v>
      </c>
      <c r="D143" s="288" t="s">
        <v>794</v>
      </c>
      <c r="E143" s="275">
        <v>80</v>
      </c>
      <c r="F143" s="275">
        <v>80</v>
      </c>
      <c r="G143" s="289">
        <f t="shared" si="38"/>
        <v>2800</v>
      </c>
      <c r="H143" s="289">
        <f t="shared" si="39"/>
        <v>3100</v>
      </c>
      <c r="I143" s="289">
        <f t="shared" si="40"/>
        <v>3400</v>
      </c>
      <c r="J143" s="275">
        <f t="shared" si="34"/>
        <v>350</v>
      </c>
      <c r="L143" s="291">
        <v>-60</v>
      </c>
      <c r="M143" s="275">
        <f t="shared" si="35"/>
        <v>3150</v>
      </c>
      <c r="N143" s="275">
        <f t="shared" si="36"/>
        <v>3450</v>
      </c>
      <c r="O143" s="275">
        <f t="shared" si="37"/>
        <v>3750</v>
      </c>
      <c r="Q143" s="289">
        <v>2700</v>
      </c>
      <c r="R143" s="289">
        <v>3000</v>
      </c>
      <c r="S143" s="289">
        <v>3300</v>
      </c>
    </row>
    <row r="144" spans="1:19" ht="12.75">
      <c r="A144" s="287"/>
      <c r="B144" s="288" t="s">
        <v>734</v>
      </c>
      <c r="C144" s="288" t="s">
        <v>795</v>
      </c>
      <c r="D144" s="288" t="s">
        <v>796</v>
      </c>
      <c r="E144" s="275">
        <v>80</v>
      </c>
      <c r="F144" s="275">
        <v>80</v>
      </c>
      <c r="G144" s="289">
        <f t="shared" si="38"/>
        <v>2600</v>
      </c>
      <c r="H144" s="289">
        <f t="shared" si="39"/>
        <v>3000</v>
      </c>
      <c r="I144" s="289">
        <f t="shared" si="40"/>
        <v>3200</v>
      </c>
      <c r="J144" s="275">
        <f t="shared" si="34"/>
        <v>350</v>
      </c>
      <c r="L144" s="291">
        <v>-60</v>
      </c>
      <c r="M144" s="275">
        <f t="shared" si="35"/>
        <v>2950</v>
      </c>
      <c r="N144" s="275">
        <f t="shared" si="36"/>
        <v>3350</v>
      </c>
      <c r="O144" s="275">
        <f t="shared" si="37"/>
        <v>3550</v>
      </c>
      <c r="Q144" s="289">
        <v>2500</v>
      </c>
      <c r="R144" s="289">
        <v>2900</v>
      </c>
      <c r="S144" s="289">
        <v>3100</v>
      </c>
    </row>
    <row r="145" spans="1:19" ht="12.75">
      <c r="A145" s="287"/>
      <c r="B145" s="288" t="s">
        <v>734</v>
      </c>
      <c r="C145" s="288" t="s">
        <v>797</v>
      </c>
      <c r="D145" s="288" t="s">
        <v>798</v>
      </c>
      <c r="E145" s="275">
        <v>80</v>
      </c>
      <c r="F145" s="275" t="s">
        <v>532</v>
      </c>
      <c r="G145" s="289">
        <f t="shared" si="38"/>
        <v>2700</v>
      </c>
      <c r="H145" s="289">
        <f t="shared" si="39"/>
        <v>3100</v>
      </c>
      <c r="I145" s="289">
        <f t="shared" si="40"/>
        <v>3400</v>
      </c>
      <c r="J145" s="275">
        <f t="shared" si="34"/>
        <v>250</v>
      </c>
      <c r="L145" s="291">
        <v>-60</v>
      </c>
      <c r="M145" s="275">
        <f t="shared" si="35"/>
        <v>2950</v>
      </c>
      <c r="N145" s="275">
        <f t="shared" si="36"/>
        <v>3350</v>
      </c>
      <c r="O145" s="275">
        <f t="shared" si="37"/>
        <v>3650</v>
      </c>
      <c r="Q145" s="289">
        <v>2600</v>
      </c>
      <c r="R145" s="289">
        <v>3000</v>
      </c>
      <c r="S145" s="289">
        <v>3300</v>
      </c>
    </row>
    <row r="146" spans="1:19" ht="12.75">
      <c r="A146" s="287"/>
      <c r="B146" s="288" t="s">
        <v>734</v>
      </c>
      <c r="C146" s="288" t="s">
        <v>799</v>
      </c>
      <c r="D146" s="288" t="s">
        <v>800</v>
      </c>
      <c r="E146" s="275">
        <v>80</v>
      </c>
      <c r="F146" s="275" t="s">
        <v>532</v>
      </c>
      <c r="G146" s="289">
        <f t="shared" si="38"/>
        <v>2900</v>
      </c>
      <c r="H146" s="289">
        <f t="shared" si="39"/>
        <v>3200</v>
      </c>
      <c r="I146" s="289">
        <f t="shared" si="40"/>
        <v>3500</v>
      </c>
      <c r="J146" s="275">
        <f t="shared" si="34"/>
        <v>250</v>
      </c>
      <c r="L146" s="291">
        <v>-60</v>
      </c>
      <c r="M146" s="275">
        <f t="shared" si="35"/>
        <v>3150</v>
      </c>
      <c r="N146" s="275">
        <f t="shared" si="36"/>
        <v>3450</v>
      </c>
      <c r="O146" s="275">
        <f t="shared" si="37"/>
        <v>3750</v>
      </c>
      <c r="Q146" s="289">
        <v>2800</v>
      </c>
      <c r="R146" s="289">
        <v>3100</v>
      </c>
      <c r="S146" s="289">
        <v>3400</v>
      </c>
    </row>
    <row r="147" spans="1:19" ht="12.75">
      <c r="A147" s="287"/>
      <c r="B147" s="288" t="s">
        <v>734</v>
      </c>
      <c r="C147" s="288" t="s">
        <v>801</v>
      </c>
      <c r="D147" s="288" t="s">
        <v>802</v>
      </c>
      <c r="E147" s="275">
        <v>80</v>
      </c>
      <c r="F147" s="275">
        <v>80</v>
      </c>
      <c r="G147" s="289">
        <f t="shared" si="38"/>
        <v>2800</v>
      </c>
      <c r="H147" s="289">
        <f t="shared" si="39"/>
        <v>3100</v>
      </c>
      <c r="I147" s="289">
        <f t="shared" si="40"/>
        <v>3300</v>
      </c>
      <c r="J147" s="275">
        <f t="shared" si="34"/>
        <v>350</v>
      </c>
      <c r="L147" s="291">
        <v>-60</v>
      </c>
      <c r="M147" s="275">
        <f t="shared" si="35"/>
        <v>3150</v>
      </c>
      <c r="N147" s="275">
        <f t="shared" si="36"/>
        <v>3450</v>
      </c>
      <c r="O147" s="275">
        <f t="shared" si="37"/>
        <v>3650</v>
      </c>
      <c r="Q147" s="289">
        <v>2700</v>
      </c>
      <c r="R147" s="289">
        <v>3000</v>
      </c>
      <c r="S147" s="289">
        <v>3200</v>
      </c>
    </row>
    <row r="148" spans="1:19" ht="12.75">
      <c r="A148" s="287"/>
      <c r="B148" s="288" t="s">
        <v>734</v>
      </c>
      <c r="C148" s="288" t="s">
        <v>803</v>
      </c>
      <c r="D148" s="288" t="s">
        <v>804</v>
      </c>
      <c r="E148" s="275">
        <v>80</v>
      </c>
      <c r="F148" s="275">
        <v>80</v>
      </c>
      <c r="G148" s="289">
        <f t="shared" si="38"/>
        <v>2500</v>
      </c>
      <c r="H148" s="289">
        <f t="shared" si="39"/>
        <v>2900</v>
      </c>
      <c r="I148" s="289">
        <f t="shared" si="40"/>
        <v>3200</v>
      </c>
      <c r="J148" s="275">
        <f t="shared" si="34"/>
        <v>350</v>
      </c>
      <c r="L148" s="291">
        <v>-60</v>
      </c>
      <c r="M148" s="275">
        <f t="shared" si="35"/>
        <v>2850</v>
      </c>
      <c r="N148" s="275">
        <f t="shared" si="36"/>
        <v>3250</v>
      </c>
      <c r="O148" s="275">
        <f t="shared" si="37"/>
        <v>3550</v>
      </c>
      <c r="Q148" s="289">
        <v>2400</v>
      </c>
      <c r="R148" s="289">
        <v>2800</v>
      </c>
      <c r="S148" s="289">
        <v>3100</v>
      </c>
    </row>
    <row r="149" spans="1:19" ht="12.75">
      <c r="A149" s="287"/>
      <c r="B149" s="288" t="s">
        <v>734</v>
      </c>
      <c r="C149" s="288" t="s">
        <v>805</v>
      </c>
      <c r="D149" s="288" t="s">
        <v>806</v>
      </c>
      <c r="E149" s="275">
        <v>80</v>
      </c>
      <c r="F149" s="275" t="s">
        <v>532</v>
      </c>
      <c r="G149" s="289">
        <f t="shared" si="38"/>
        <v>2600</v>
      </c>
      <c r="H149" s="289">
        <f t="shared" si="39"/>
        <v>3100</v>
      </c>
      <c r="I149" s="289">
        <f t="shared" si="40"/>
        <v>3300</v>
      </c>
      <c r="J149" s="275">
        <f t="shared" si="34"/>
        <v>250</v>
      </c>
      <c r="L149" s="291">
        <v>-60</v>
      </c>
      <c r="M149" s="275">
        <f t="shared" si="35"/>
        <v>2850</v>
      </c>
      <c r="N149" s="275">
        <f t="shared" si="36"/>
        <v>3350</v>
      </c>
      <c r="O149" s="275">
        <f t="shared" si="37"/>
        <v>3550</v>
      </c>
      <c r="Q149" s="289">
        <v>2500</v>
      </c>
      <c r="R149" s="289">
        <v>3000</v>
      </c>
      <c r="S149" s="289">
        <v>3200</v>
      </c>
    </row>
    <row r="150" spans="1:19" ht="12.75">
      <c r="A150" s="287"/>
      <c r="B150" s="288" t="s">
        <v>807</v>
      </c>
      <c r="C150" s="288" t="s">
        <v>808</v>
      </c>
      <c r="D150" s="288" t="s">
        <v>809</v>
      </c>
      <c r="E150" s="275">
        <v>41</v>
      </c>
      <c r="F150" s="275" t="s">
        <v>532</v>
      </c>
      <c r="G150" s="289">
        <f t="shared" si="38"/>
        <v>2100</v>
      </c>
      <c r="H150" s="289">
        <f t="shared" si="39"/>
        <v>2500</v>
      </c>
      <c r="I150" s="289">
        <f t="shared" si="40"/>
        <v>2600</v>
      </c>
      <c r="J150" s="275">
        <f t="shared" si="34"/>
        <v>250</v>
      </c>
      <c r="K150" s="290" t="s">
        <v>501</v>
      </c>
      <c r="L150" s="291">
        <v>41</v>
      </c>
      <c r="M150" s="275">
        <f t="shared" si="35"/>
        <v>2350</v>
      </c>
      <c r="N150" s="275">
        <f t="shared" si="36"/>
        <v>2750</v>
      </c>
      <c r="O150" s="275">
        <f t="shared" si="37"/>
        <v>2850</v>
      </c>
      <c r="Q150" s="289">
        <v>2000</v>
      </c>
      <c r="R150" s="289">
        <v>2400</v>
      </c>
      <c r="S150" s="289">
        <v>2500</v>
      </c>
    </row>
    <row r="151" spans="1:19" ht="12.75">
      <c r="A151" s="287"/>
      <c r="B151" s="288" t="s">
        <v>807</v>
      </c>
      <c r="C151" s="288" t="s">
        <v>810</v>
      </c>
      <c r="D151" s="288" t="s">
        <v>811</v>
      </c>
      <c r="E151" s="275">
        <v>41</v>
      </c>
      <c r="F151" s="275" t="s">
        <v>532</v>
      </c>
      <c r="G151" s="289">
        <f t="shared" si="38"/>
        <v>2200</v>
      </c>
      <c r="H151" s="289">
        <f t="shared" si="39"/>
        <v>2600</v>
      </c>
      <c r="I151" s="289">
        <f t="shared" si="40"/>
        <v>2700</v>
      </c>
      <c r="J151" s="275">
        <f t="shared" si="34"/>
        <v>250</v>
      </c>
      <c r="K151" s="290" t="s">
        <v>501</v>
      </c>
      <c r="L151" s="291">
        <v>41</v>
      </c>
      <c r="M151" s="275">
        <f t="shared" si="35"/>
        <v>2450</v>
      </c>
      <c r="N151" s="275">
        <f t="shared" si="36"/>
        <v>2850</v>
      </c>
      <c r="O151" s="275">
        <f t="shared" si="37"/>
        <v>2950</v>
      </c>
      <c r="Q151" s="289">
        <v>2100</v>
      </c>
      <c r="R151" s="289">
        <v>2500</v>
      </c>
      <c r="S151" s="289">
        <v>2600</v>
      </c>
    </row>
    <row r="152" spans="1:19" ht="12.75">
      <c r="A152" s="287"/>
      <c r="B152" s="288" t="s">
        <v>812</v>
      </c>
      <c r="C152" s="288" t="s">
        <v>813</v>
      </c>
      <c r="D152" s="288" t="s">
        <v>814</v>
      </c>
      <c r="E152" s="275">
        <v>25</v>
      </c>
      <c r="F152" s="275">
        <v>48</v>
      </c>
      <c r="G152" s="289">
        <f t="shared" si="38"/>
        <v>2300</v>
      </c>
      <c r="H152" s="289">
        <f t="shared" si="39"/>
        <v>2600</v>
      </c>
      <c r="I152" s="289">
        <f t="shared" si="40"/>
        <v>2800</v>
      </c>
      <c r="J152" s="275">
        <v>250</v>
      </c>
      <c r="K152" s="290" t="s">
        <v>501</v>
      </c>
      <c r="L152" s="291">
        <v>15</v>
      </c>
      <c r="M152" s="275">
        <f t="shared" si="35"/>
        <v>2550</v>
      </c>
      <c r="N152" s="275">
        <f t="shared" si="36"/>
        <v>2850</v>
      </c>
      <c r="O152" s="275">
        <f t="shared" si="37"/>
        <v>3050</v>
      </c>
      <c r="Q152" s="289">
        <v>2200</v>
      </c>
      <c r="R152" s="289">
        <v>2500</v>
      </c>
      <c r="S152" s="289">
        <v>2700</v>
      </c>
    </row>
    <row r="153" spans="1:19" ht="12.75">
      <c r="A153" s="287"/>
      <c r="B153" s="288" t="s">
        <v>812</v>
      </c>
      <c r="C153" s="288" t="s">
        <v>815</v>
      </c>
      <c r="D153" s="288" t="s">
        <v>816</v>
      </c>
      <c r="E153" s="275">
        <v>33</v>
      </c>
      <c r="F153" s="275">
        <v>48</v>
      </c>
      <c r="G153" s="289">
        <f t="shared" si="38"/>
        <v>2300</v>
      </c>
      <c r="H153" s="289">
        <f t="shared" si="39"/>
        <v>2700</v>
      </c>
      <c r="I153" s="289">
        <f t="shared" si="40"/>
        <v>2800</v>
      </c>
      <c r="J153" s="275">
        <v>250</v>
      </c>
      <c r="K153" s="290" t="s">
        <v>501</v>
      </c>
      <c r="L153" s="291">
        <v>15</v>
      </c>
      <c r="M153" s="275">
        <f t="shared" si="35"/>
        <v>2550</v>
      </c>
      <c r="N153" s="275">
        <f t="shared" si="36"/>
        <v>2950</v>
      </c>
      <c r="O153" s="275">
        <f t="shared" si="37"/>
        <v>3050</v>
      </c>
      <c r="Q153" s="289">
        <v>2200</v>
      </c>
      <c r="R153" s="289">
        <v>2600</v>
      </c>
      <c r="S153" s="289">
        <v>2700</v>
      </c>
    </row>
    <row r="154" spans="1:19" ht="12.75">
      <c r="A154" s="287"/>
      <c r="B154" s="288" t="s">
        <v>812</v>
      </c>
      <c r="C154" s="288" t="s">
        <v>817</v>
      </c>
      <c r="D154" s="288" t="s">
        <v>818</v>
      </c>
      <c r="E154" s="275">
        <v>41</v>
      </c>
      <c r="F154" s="275">
        <v>48</v>
      </c>
      <c r="G154" s="289">
        <f t="shared" si="38"/>
        <v>2500</v>
      </c>
      <c r="H154" s="289">
        <f t="shared" si="39"/>
        <v>2800</v>
      </c>
      <c r="I154" s="289">
        <f t="shared" si="40"/>
        <v>3000</v>
      </c>
      <c r="J154" s="275">
        <v>250</v>
      </c>
      <c r="K154" s="290" t="s">
        <v>501</v>
      </c>
      <c r="L154" s="291">
        <v>15</v>
      </c>
      <c r="M154" s="275">
        <f t="shared" si="35"/>
        <v>2750</v>
      </c>
      <c r="N154" s="275">
        <f t="shared" si="36"/>
        <v>3050</v>
      </c>
      <c r="O154" s="275">
        <f t="shared" si="37"/>
        <v>3250</v>
      </c>
      <c r="Q154" s="289">
        <v>2400</v>
      </c>
      <c r="R154" s="289">
        <v>2700</v>
      </c>
      <c r="S154" s="289">
        <v>2900</v>
      </c>
    </row>
    <row r="155" spans="1:19" ht="12.75">
      <c r="A155" s="287"/>
      <c r="B155" s="288" t="s">
        <v>812</v>
      </c>
      <c r="C155" s="288" t="s">
        <v>819</v>
      </c>
      <c r="D155" s="288" t="s">
        <v>820</v>
      </c>
      <c r="E155" s="275">
        <v>21</v>
      </c>
      <c r="F155" s="275">
        <v>48</v>
      </c>
      <c r="G155" s="289">
        <f t="shared" si="38"/>
        <v>1300</v>
      </c>
      <c r="H155" s="289">
        <f t="shared" si="39"/>
        <v>1500</v>
      </c>
      <c r="I155" s="289">
        <f t="shared" si="40"/>
        <v>1500</v>
      </c>
      <c r="J155" s="275">
        <v>250</v>
      </c>
      <c r="K155" s="290" t="s">
        <v>501</v>
      </c>
      <c r="L155" s="291">
        <v>15</v>
      </c>
      <c r="M155" s="275">
        <f t="shared" si="35"/>
        <v>1550</v>
      </c>
      <c r="N155" s="275">
        <f t="shared" si="36"/>
        <v>1750</v>
      </c>
      <c r="O155" s="275">
        <f t="shared" si="37"/>
        <v>1750</v>
      </c>
      <c r="Q155" s="289">
        <v>1200</v>
      </c>
      <c r="R155" s="289">
        <v>1400</v>
      </c>
      <c r="S155" s="289">
        <v>1400</v>
      </c>
    </row>
    <row r="156" spans="1:19" ht="12.75">
      <c r="A156" s="287"/>
      <c r="B156" s="288" t="s">
        <v>812</v>
      </c>
      <c r="C156" s="288" t="s">
        <v>821</v>
      </c>
      <c r="D156" s="288" t="s">
        <v>822</v>
      </c>
      <c r="E156" s="275">
        <v>24</v>
      </c>
      <c r="F156" s="275">
        <v>48</v>
      </c>
      <c r="G156" s="289">
        <f t="shared" si="38"/>
        <v>1400</v>
      </c>
      <c r="H156" s="289">
        <f t="shared" si="39"/>
        <v>1600</v>
      </c>
      <c r="I156" s="289">
        <f t="shared" si="40"/>
        <v>1700</v>
      </c>
      <c r="J156" s="275">
        <v>250</v>
      </c>
      <c r="K156" s="290" t="s">
        <v>501</v>
      </c>
      <c r="L156" s="291">
        <v>15</v>
      </c>
      <c r="M156" s="275">
        <f t="shared" si="35"/>
        <v>1650</v>
      </c>
      <c r="N156" s="275">
        <f t="shared" si="36"/>
        <v>1850</v>
      </c>
      <c r="O156" s="275">
        <f t="shared" si="37"/>
        <v>1950</v>
      </c>
      <c r="Q156" s="289">
        <v>1300</v>
      </c>
      <c r="R156" s="289">
        <v>1500</v>
      </c>
      <c r="S156" s="289">
        <v>1600</v>
      </c>
    </row>
    <row r="157" spans="1:19" ht="12.75">
      <c r="A157" s="287"/>
      <c r="B157" s="288" t="s">
        <v>812</v>
      </c>
      <c r="C157" s="288" t="s">
        <v>823</v>
      </c>
      <c r="D157" s="288" t="s">
        <v>824</v>
      </c>
      <c r="E157" s="275">
        <v>32</v>
      </c>
      <c r="F157" s="275">
        <v>48</v>
      </c>
      <c r="G157" s="289">
        <f t="shared" si="38"/>
        <v>1600</v>
      </c>
      <c r="H157" s="289">
        <f t="shared" si="39"/>
        <v>1900</v>
      </c>
      <c r="I157" s="289">
        <f t="shared" si="40"/>
        <v>1900</v>
      </c>
      <c r="J157" s="275">
        <v>250</v>
      </c>
      <c r="K157" s="290" t="s">
        <v>501</v>
      </c>
      <c r="L157" s="291">
        <v>15</v>
      </c>
      <c r="M157" s="275">
        <f t="shared" si="35"/>
        <v>1850</v>
      </c>
      <c r="N157" s="275">
        <f t="shared" si="36"/>
        <v>2150</v>
      </c>
      <c r="O157" s="275">
        <f t="shared" si="37"/>
        <v>2150</v>
      </c>
      <c r="Q157" s="289">
        <v>1500</v>
      </c>
      <c r="R157" s="289">
        <v>1800</v>
      </c>
      <c r="S157" s="289">
        <v>1800</v>
      </c>
    </row>
    <row r="158" spans="1:19" ht="12.75">
      <c r="A158" s="287"/>
      <c r="B158" s="288" t="s">
        <v>812</v>
      </c>
      <c r="C158" s="288" t="s">
        <v>825</v>
      </c>
      <c r="D158" s="288" t="s">
        <v>826</v>
      </c>
      <c r="E158" s="275">
        <v>40</v>
      </c>
      <c r="F158" s="275">
        <v>48</v>
      </c>
      <c r="G158" s="289">
        <f t="shared" si="38"/>
        <v>1800</v>
      </c>
      <c r="H158" s="289">
        <f t="shared" si="39"/>
        <v>2200</v>
      </c>
      <c r="I158" s="289">
        <f t="shared" si="40"/>
        <v>2200</v>
      </c>
      <c r="J158" s="275">
        <v>250</v>
      </c>
      <c r="K158" s="290" t="s">
        <v>501</v>
      </c>
      <c r="L158" s="291">
        <v>15</v>
      </c>
      <c r="M158" s="275">
        <f t="shared" si="35"/>
        <v>2050</v>
      </c>
      <c r="N158" s="275">
        <f t="shared" si="36"/>
        <v>2450</v>
      </c>
      <c r="O158" s="275">
        <f t="shared" si="37"/>
        <v>2450</v>
      </c>
      <c r="Q158" s="289">
        <v>1700</v>
      </c>
      <c r="R158" s="289">
        <v>2100</v>
      </c>
      <c r="S158" s="289">
        <v>2100</v>
      </c>
    </row>
    <row r="159" spans="1:19" ht="12.75">
      <c r="A159" s="287"/>
      <c r="B159" s="288" t="s">
        <v>812</v>
      </c>
      <c r="C159" s="288" t="s">
        <v>827</v>
      </c>
      <c r="D159" s="288" t="s">
        <v>828</v>
      </c>
      <c r="E159" s="275">
        <v>21</v>
      </c>
      <c r="F159" s="275">
        <v>48</v>
      </c>
      <c r="G159" s="289">
        <f t="shared" si="38"/>
        <v>1900</v>
      </c>
      <c r="H159" s="289">
        <f t="shared" si="39"/>
        <v>2200</v>
      </c>
      <c r="I159" s="289">
        <f t="shared" si="40"/>
        <v>2300</v>
      </c>
      <c r="J159" s="275">
        <v>250</v>
      </c>
      <c r="K159" s="290" t="s">
        <v>501</v>
      </c>
      <c r="L159" s="291">
        <v>15</v>
      </c>
      <c r="M159" s="275">
        <f t="shared" si="35"/>
        <v>2150</v>
      </c>
      <c r="N159" s="275">
        <f t="shared" si="36"/>
        <v>2450</v>
      </c>
      <c r="O159" s="275">
        <f t="shared" si="37"/>
        <v>2550</v>
      </c>
      <c r="Q159" s="289">
        <v>1800</v>
      </c>
      <c r="R159" s="289">
        <v>2100</v>
      </c>
      <c r="S159" s="289">
        <v>2200</v>
      </c>
    </row>
    <row r="160" spans="1:19" ht="12.75">
      <c r="A160" s="287"/>
      <c r="B160" s="288" t="s">
        <v>812</v>
      </c>
      <c r="C160" s="288" t="s">
        <v>829</v>
      </c>
      <c r="D160" s="288" t="s">
        <v>830</v>
      </c>
      <c r="E160" s="275">
        <v>25</v>
      </c>
      <c r="F160" s="275">
        <v>48</v>
      </c>
      <c r="G160" s="289">
        <f t="shared" si="38"/>
        <v>2000</v>
      </c>
      <c r="H160" s="289">
        <f t="shared" si="39"/>
        <v>2400</v>
      </c>
      <c r="I160" s="289">
        <f t="shared" si="40"/>
        <v>2500</v>
      </c>
      <c r="J160" s="275">
        <v>250</v>
      </c>
      <c r="K160" s="290" t="s">
        <v>501</v>
      </c>
      <c r="L160" s="291">
        <v>15</v>
      </c>
      <c r="M160" s="275">
        <f t="shared" si="35"/>
        <v>2250</v>
      </c>
      <c r="N160" s="275">
        <f t="shared" si="36"/>
        <v>2650</v>
      </c>
      <c r="O160" s="275">
        <f t="shared" si="37"/>
        <v>2750</v>
      </c>
      <c r="Q160" s="289">
        <v>1900</v>
      </c>
      <c r="R160" s="289">
        <v>2300</v>
      </c>
      <c r="S160" s="289">
        <v>2400</v>
      </c>
    </row>
    <row r="161" spans="1:19" ht="12.75">
      <c r="A161" s="287"/>
      <c r="B161" s="288" t="s">
        <v>812</v>
      </c>
      <c r="C161" s="288" t="s">
        <v>831</v>
      </c>
      <c r="D161" s="288" t="s">
        <v>832</v>
      </c>
      <c r="E161" s="275">
        <v>63</v>
      </c>
      <c r="F161" s="275">
        <v>48</v>
      </c>
      <c r="G161" s="289">
        <f t="shared" si="38"/>
        <v>2300</v>
      </c>
      <c r="H161" s="289">
        <f t="shared" si="39"/>
        <v>2600</v>
      </c>
      <c r="I161" s="289">
        <f t="shared" si="40"/>
        <v>2700</v>
      </c>
      <c r="J161" s="275">
        <v>250</v>
      </c>
      <c r="K161" s="290" t="s">
        <v>501</v>
      </c>
      <c r="L161" s="291">
        <v>15</v>
      </c>
      <c r="M161" s="275">
        <f t="shared" si="35"/>
        <v>2550</v>
      </c>
      <c r="N161" s="275">
        <f t="shared" si="36"/>
        <v>2850</v>
      </c>
      <c r="O161" s="275">
        <f t="shared" si="37"/>
        <v>2950</v>
      </c>
      <c r="Q161" s="289">
        <v>2200</v>
      </c>
      <c r="R161" s="289">
        <v>2500</v>
      </c>
      <c r="S161" s="289">
        <v>2600</v>
      </c>
    </row>
    <row r="162" spans="1:19" ht="12.75">
      <c r="A162" s="287"/>
      <c r="B162" s="288" t="s">
        <v>812</v>
      </c>
      <c r="C162" s="288" t="s">
        <v>833</v>
      </c>
      <c r="D162" s="288" t="s">
        <v>834</v>
      </c>
      <c r="E162" s="275">
        <v>64</v>
      </c>
      <c r="F162" s="275">
        <v>48</v>
      </c>
      <c r="G162" s="289">
        <f t="shared" si="38"/>
        <v>2300</v>
      </c>
      <c r="H162" s="289">
        <f t="shared" si="39"/>
        <v>2600</v>
      </c>
      <c r="I162" s="289">
        <f t="shared" si="40"/>
        <v>2800</v>
      </c>
      <c r="J162" s="275">
        <v>250</v>
      </c>
      <c r="K162" s="290" t="s">
        <v>501</v>
      </c>
      <c r="L162" s="291">
        <v>15</v>
      </c>
      <c r="M162" s="275">
        <f t="shared" si="35"/>
        <v>2550</v>
      </c>
      <c r="N162" s="275">
        <f t="shared" si="36"/>
        <v>2850</v>
      </c>
      <c r="O162" s="275">
        <f t="shared" si="37"/>
        <v>3050</v>
      </c>
      <c r="Q162" s="289">
        <v>2200</v>
      </c>
      <c r="R162" s="289">
        <v>2500</v>
      </c>
      <c r="S162" s="289">
        <v>2700</v>
      </c>
    </row>
    <row r="163" spans="1:19" ht="12.75">
      <c r="A163" s="287"/>
      <c r="B163" s="288" t="s">
        <v>835</v>
      </c>
      <c r="C163" s="288" t="s">
        <v>836</v>
      </c>
      <c r="D163" s="288" t="s">
        <v>837</v>
      </c>
      <c r="E163" s="275">
        <v>41</v>
      </c>
      <c r="F163" s="275" t="s">
        <v>532</v>
      </c>
      <c r="G163" s="289">
        <f t="shared" si="38"/>
        <v>1500</v>
      </c>
      <c r="H163" s="289">
        <f t="shared" si="39"/>
        <v>1900</v>
      </c>
      <c r="I163" s="289">
        <f t="shared" si="40"/>
        <v>1900</v>
      </c>
      <c r="J163" s="275">
        <f>IF(F163="n/a",250,350)</f>
        <v>250</v>
      </c>
      <c r="L163" s="291">
        <v>-28</v>
      </c>
      <c r="M163" s="275">
        <f t="shared" si="35"/>
        <v>1750</v>
      </c>
      <c r="N163" s="275">
        <f t="shared" si="36"/>
        <v>2150</v>
      </c>
      <c r="O163" s="275">
        <f t="shared" si="37"/>
        <v>2150</v>
      </c>
      <c r="Q163" s="289">
        <v>1400</v>
      </c>
      <c r="R163" s="289">
        <v>1800</v>
      </c>
      <c r="S163" s="289">
        <v>1800</v>
      </c>
    </row>
    <row r="164" spans="1:19" ht="12.75">
      <c r="A164" s="287"/>
      <c r="B164" s="288" t="s">
        <v>835</v>
      </c>
      <c r="C164" s="288" t="s">
        <v>838</v>
      </c>
      <c r="D164" s="288" t="s">
        <v>839</v>
      </c>
      <c r="E164" s="275">
        <v>66</v>
      </c>
      <c r="F164" s="275" t="s">
        <v>532</v>
      </c>
      <c r="G164" s="289">
        <f t="shared" si="38"/>
        <v>2200</v>
      </c>
      <c r="H164" s="289">
        <f t="shared" si="39"/>
        <v>2500</v>
      </c>
      <c r="I164" s="289">
        <f t="shared" si="40"/>
        <v>2700</v>
      </c>
      <c r="J164" s="275">
        <f>IF(F164="n/a",250,350)</f>
        <v>250</v>
      </c>
      <c r="L164" s="291">
        <v>-28</v>
      </c>
      <c r="M164" s="275">
        <f t="shared" si="35"/>
        <v>2450</v>
      </c>
      <c r="N164" s="275">
        <f t="shared" si="36"/>
        <v>2750</v>
      </c>
      <c r="O164" s="275">
        <f t="shared" si="37"/>
        <v>2950</v>
      </c>
      <c r="Q164" s="289">
        <v>2100</v>
      </c>
      <c r="R164" s="289">
        <v>2400</v>
      </c>
      <c r="S164" s="289">
        <v>2600</v>
      </c>
    </row>
    <row r="165" spans="1:19" ht="12.75">
      <c r="A165" s="284" t="s">
        <v>840</v>
      </c>
      <c r="B165" s="284"/>
      <c r="C165" s="284"/>
      <c r="D165" s="284"/>
      <c r="E165" s="285"/>
      <c r="F165" s="285"/>
      <c r="G165" s="286"/>
      <c r="H165" s="286"/>
      <c r="I165" s="286"/>
      <c r="J165" s="286"/>
      <c r="K165" s="286"/>
      <c r="L165" s="292"/>
      <c r="M165" s="275">
        <f t="shared" si="35"/>
        <v>0</v>
      </c>
      <c r="N165" s="275">
        <f t="shared" si="36"/>
        <v>0</v>
      </c>
      <c r="O165" s="275">
        <f t="shared" si="37"/>
        <v>0</v>
      </c>
      <c r="Q165" s="286"/>
      <c r="R165" s="286"/>
      <c r="S165" s="286"/>
    </row>
    <row r="166" spans="1:19" ht="12.75">
      <c r="A166" s="287"/>
      <c r="B166" s="288" t="s">
        <v>841</v>
      </c>
      <c r="C166" s="288" t="s">
        <v>842</v>
      </c>
      <c r="D166" s="288" t="s">
        <v>843</v>
      </c>
      <c r="E166" s="275">
        <v>24</v>
      </c>
      <c r="F166" s="275">
        <v>30</v>
      </c>
      <c r="G166" s="289">
        <f aca="true" t="shared" si="41" ref="G166:I169">Q166+$W$13</f>
        <v>1400</v>
      </c>
      <c r="H166" s="289">
        <f t="shared" si="41"/>
        <v>1600</v>
      </c>
      <c r="I166" s="289">
        <f t="shared" si="41"/>
        <v>1700</v>
      </c>
      <c r="J166" s="275">
        <f>IF(F166="n/a",250,350)</f>
        <v>350</v>
      </c>
      <c r="K166" s="290" t="s">
        <v>501</v>
      </c>
      <c r="L166" s="291">
        <v>10</v>
      </c>
      <c r="M166" s="275">
        <f t="shared" si="35"/>
        <v>1750</v>
      </c>
      <c r="N166" s="275">
        <f t="shared" si="36"/>
        <v>1950</v>
      </c>
      <c r="O166" s="275">
        <f t="shared" si="37"/>
        <v>2050</v>
      </c>
      <c r="Q166" s="289">
        <v>1300</v>
      </c>
      <c r="R166" s="289">
        <v>1500</v>
      </c>
      <c r="S166" s="289">
        <v>1600</v>
      </c>
    </row>
    <row r="167" spans="1:19" ht="12.75">
      <c r="A167" s="287"/>
      <c r="B167" s="288" t="s">
        <v>841</v>
      </c>
      <c r="C167" s="288" t="s">
        <v>844</v>
      </c>
      <c r="D167" s="288" t="s">
        <v>845</v>
      </c>
      <c r="E167" s="275">
        <v>24</v>
      </c>
      <c r="F167" s="275">
        <v>35</v>
      </c>
      <c r="G167" s="289">
        <f t="shared" si="41"/>
        <v>1400</v>
      </c>
      <c r="H167" s="289">
        <f t="shared" si="41"/>
        <v>1600</v>
      </c>
      <c r="I167" s="289">
        <f t="shared" si="41"/>
        <v>1700</v>
      </c>
      <c r="J167" s="275">
        <f>IF(F167="n/a",250,350)</f>
        <v>350</v>
      </c>
      <c r="K167" s="290" t="s">
        <v>501</v>
      </c>
      <c r="L167" s="291">
        <v>10</v>
      </c>
      <c r="M167" s="275">
        <f t="shared" si="35"/>
        <v>1750</v>
      </c>
      <c r="N167" s="275">
        <f t="shared" si="36"/>
        <v>1950</v>
      </c>
      <c r="O167" s="275">
        <f t="shared" si="37"/>
        <v>2050</v>
      </c>
      <c r="Q167" s="289">
        <v>1300</v>
      </c>
      <c r="R167" s="289">
        <v>1500</v>
      </c>
      <c r="S167" s="289">
        <v>1600</v>
      </c>
    </row>
    <row r="168" spans="1:19" ht="12.75">
      <c r="A168" s="287"/>
      <c r="B168" s="288" t="s">
        <v>841</v>
      </c>
      <c r="C168" s="288" t="s">
        <v>846</v>
      </c>
      <c r="D168" s="288" t="s">
        <v>847</v>
      </c>
      <c r="E168" s="275">
        <v>32</v>
      </c>
      <c r="F168" s="275">
        <v>40</v>
      </c>
      <c r="G168" s="289">
        <f t="shared" si="41"/>
        <v>1600</v>
      </c>
      <c r="H168" s="289">
        <f t="shared" si="41"/>
        <v>1900</v>
      </c>
      <c r="I168" s="289">
        <f t="shared" si="41"/>
        <v>2000</v>
      </c>
      <c r="J168" s="275">
        <f>IF(F168="n/a",250,350)</f>
        <v>350</v>
      </c>
      <c r="K168" s="290" t="s">
        <v>501</v>
      </c>
      <c r="L168" s="291">
        <v>10</v>
      </c>
      <c r="M168" s="275">
        <f t="shared" si="35"/>
        <v>1950</v>
      </c>
      <c r="N168" s="275">
        <f t="shared" si="36"/>
        <v>2250</v>
      </c>
      <c r="O168" s="275">
        <f t="shared" si="37"/>
        <v>2350</v>
      </c>
      <c r="Q168" s="289">
        <v>1500</v>
      </c>
      <c r="R168" s="289">
        <v>1800</v>
      </c>
      <c r="S168" s="289">
        <v>1900</v>
      </c>
    </row>
    <row r="169" spans="1:19" ht="12.75">
      <c r="A169" s="287"/>
      <c r="B169" s="288" t="s">
        <v>841</v>
      </c>
      <c r="C169" s="288" t="s">
        <v>848</v>
      </c>
      <c r="D169" s="288" t="s">
        <v>849</v>
      </c>
      <c r="E169" s="275">
        <v>32</v>
      </c>
      <c r="F169" s="275">
        <v>45</v>
      </c>
      <c r="G169" s="289">
        <f t="shared" si="41"/>
        <v>1700</v>
      </c>
      <c r="H169" s="289">
        <f t="shared" si="41"/>
        <v>1900</v>
      </c>
      <c r="I169" s="289">
        <f t="shared" si="41"/>
        <v>2000</v>
      </c>
      <c r="J169" s="275">
        <f>IF(F169="n/a",250,350)</f>
        <v>350</v>
      </c>
      <c r="K169" s="290" t="s">
        <v>501</v>
      </c>
      <c r="L169" s="291">
        <v>10</v>
      </c>
      <c r="M169" s="275">
        <f t="shared" si="35"/>
        <v>2050</v>
      </c>
      <c r="N169" s="275">
        <f t="shared" si="36"/>
        <v>2250</v>
      </c>
      <c r="O169" s="275">
        <f t="shared" si="37"/>
        <v>2350</v>
      </c>
      <c r="Q169" s="289">
        <v>1600</v>
      </c>
      <c r="R169" s="289">
        <v>1800</v>
      </c>
      <c r="S169" s="289">
        <v>1900</v>
      </c>
    </row>
    <row r="170" spans="1:19" ht="12.75">
      <c r="A170" s="284" t="s">
        <v>850</v>
      </c>
      <c r="B170" s="284"/>
      <c r="C170" s="284"/>
      <c r="D170" s="284"/>
      <c r="E170" s="285"/>
      <c r="F170" s="285"/>
      <c r="G170" s="286"/>
      <c r="H170" s="286"/>
      <c r="I170" s="286"/>
      <c r="J170" s="286"/>
      <c r="K170" s="286"/>
      <c r="L170" s="292"/>
      <c r="Q170" s="286"/>
      <c r="R170" s="286"/>
      <c r="S170" s="286"/>
    </row>
    <row r="171" spans="1:19" ht="12.75">
      <c r="A171" s="287"/>
      <c r="B171" s="288" t="s">
        <v>851</v>
      </c>
      <c r="C171" s="288" t="s">
        <v>852</v>
      </c>
      <c r="D171" s="288" t="s">
        <v>853</v>
      </c>
      <c r="E171" s="275">
        <v>49</v>
      </c>
      <c r="F171" s="275">
        <v>80</v>
      </c>
      <c r="G171" s="289">
        <f aca="true" t="shared" si="42" ref="G171:I172">Q171+$W$13</f>
        <v>2000</v>
      </c>
      <c r="H171" s="289">
        <f t="shared" si="42"/>
        <v>2400</v>
      </c>
      <c r="I171" s="289">
        <f t="shared" si="42"/>
        <v>2500</v>
      </c>
      <c r="J171" s="275">
        <v>250</v>
      </c>
      <c r="K171" s="290"/>
      <c r="L171" s="291">
        <v>-60</v>
      </c>
      <c r="Q171" s="289">
        <v>1900</v>
      </c>
      <c r="R171" s="289">
        <v>2300</v>
      </c>
      <c r="S171" s="289">
        <v>2400</v>
      </c>
    </row>
    <row r="172" spans="1:19" ht="12.75">
      <c r="A172" s="287"/>
      <c r="B172" s="288" t="s">
        <v>851</v>
      </c>
      <c r="C172" s="288" t="s">
        <v>854</v>
      </c>
      <c r="D172" s="288" t="s">
        <v>855</v>
      </c>
      <c r="E172" s="275">
        <v>66</v>
      </c>
      <c r="F172" s="275">
        <v>80</v>
      </c>
      <c r="G172" s="289">
        <f t="shared" si="42"/>
        <v>2500</v>
      </c>
      <c r="H172" s="289">
        <f t="shared" si="42"/>
        <v>2800</v>
      </c>
      <c r="I172" s="289">
        <f t="shared" si="42"/>
        <v>3000</v>
      </c>
      <c r="J172" s="275">
        <v>250</v>
      </c>
      <c r="K172" s="290"/>
      <c r="L172" s="291">
        <v>-60</v>
      </c>
      <c r="Q172" s="289">
        <v>2400</v>
      </c>
      <c r="R172" s="289">
        <v>2700</v>
      </c>
      <c r="S172" s="289">
        <v>2900</v>
      </c>
    </row>
    <row r="173" spans="1:19" ht="12.75">
      <c r="A173" s="287"/>
      <c r="B173" s="288"/>
      <c r="C173" s="288"/>
      <c r="D173" s="288"/>
      <c r="G173" s="289"/>
      <c r="H173" s="289"/>
      <c r="I173" s="289"/>
      <c r="K173" s="290"/>
      <c r="L173" s="291"/>
      <c r="Q173" s="289"/>
      <c r="R173" s="289"/>
      <c r="S173" s="289"/>
    </row>
  </sheetData>
  <mergeCells count="3">
    <mergeCell ref="G2:I2"/>
    <mergeCell ref="M2:O2"/>
    <mergeCell ref="Q2:S2"/>
  </mergeCells>
  <conditionalFormatting sqref="M4:O178 G5:I173 Q5:S173">
    <cfRule type="cellIs" priority="1" dxfId="0" operator="greaterThanOrEqual" stopIfTrue="1">
      <formula>2500</formula>
    </cfRule>
  </conditionalFormatting>
  <printOptions/>
  <pageMargins left="0.5" right="0.5" top="0.75" bottom="0.75" header="0.5" footer="0.5"/>
  <pageSetup horizontalDpi="600" verticalDpi="600" orientation="landscape" r:id="rId1"/>
  <headerFooter alignWithMargins="0">
    <oddFooter>&amp;LFreeze risk indicates that at the system or connecting pipe may freeze. Some systems are freeze tollerant and can handle freezing without damage.</oddFooter>
  </headerFooter>
</worksheet>
</file>

<file path=xl/worksheets/sheet8.xml><?xml version="1.0" encoding="utf-8"?>
<worksheet xmlns="http://schemas.openxmlformats.org/spreadsheetml/2006/main" xmlns:r="http://schemas.openxmlformats.org/officeDocument/2006/relationships">
  <sheetPr codeName="Sheet6"/>
  <dimension ref="A1:L155"/>
  <sheetViews>
    <sheetView workbookViewId="0" topLeftCell="A1">
      <selection activeCell="D2" sqref="D2"/>
    </sheetView>
  </sheetViews>
  <sheetFormatPr defaultColWidth="9.140625" defaultRowHeight="12.75"/>
  <cols>
    <col min="1" max="1" width="30.28125" style="5" customWidth="1"/>
    <col min="2" max="2" width="12.7109375" style="5" customWidth="1"/>
    <col min="3" max="3" width="11.57421875" style="5" customWidth="1"/>
    <col min="4" max="4" width="12.8515625" style="5" customWidth="1"/>
    <col min="5" max="5" width="11.28125" style="5" bestFit="1" customWidth="1"/>
    <col min="6" max="6" width="13.28125" style="5" customWidth="1"/>
    <col min="7" max="7" width="20.421875" style="5" customWidth="1"/>
    <col min="8" max="8" width="15.7109375" style="5" customWidth="1"/>
    <col min="9" max="9" width="14.140625" style="5" customWidth="1"/>
    <col min="10" max="10" width="18.28125" style="5" customWidth="1"/>
    <col min="11" max="11" width="11.00390625" style="5" customWidth="1"/>
    <col min="12" max="12" width="12.421875" style="5" customWidth="1"/>
    <col min="13" max="13" width="14.7109375" style="5" customWidth="1"/>
    <col min="14" max="14" width="19.57421875" style="5" customWidth="1"/>
    <col min="15" max="15" width="14.421875" style="5" customWidth="1"/>
    <col min="16" max="16" width="9.140625" style="5" customWidth="1"/>
    <col min="17" max="17" width="12.8515625" style="5" customWidth="1"/>
    <col min="18" max="18" width="9.140625" style="5" customWidth="1"/>
    <col min="19" max="19" width="14.28125" style="5" customWidth="1"/>
    <col min="20" max="21" width="9.140625" style="5" customWidth="1"/>
    <col min="22" max="22" width="13.7109375" style="5" customWidth="1"/>
    <col min="23" max="27" width="9.140625" style="5" customWidth="1"/>
    <col min="28" max="28" width="24.28125" style="5" customWidth="1"/>
    <col min="29" max="29" width="9.140625" style="5" customWidth="1"/>
    <col min="30" max="31" width="13.00390625" style="5" customWidth="1"/>
    <col min="32" max="32" width="9.140625" style="5" customWidth="1"/>
    <col min="33" max="33" width="11.140625" style="5" customWidth="1"/>
    <col min="34" max="16384" width="9.140625" style="5" customWidth="1"/>
  </cols>
  <sheetData>
    <row r="1" spans="1:8" s="157" customFormat="1" ht="51.75" thickBot="1">
      <c r="A1" s="268" t="s">
        <v>216</v>
      </c>
      <c r="B1" s="269" t="s">
        <v>471</v>
      </c>
      <c r="C1" s="270" t="s">
        <v>470</v>
      </c>
      <c r="D1" s="269" t="s">
        <v>468</v>
      </c>
      <c r="E1" s="270" t="s">
        <v>469</v>
      </c>
      <c r="F1" s="260" t="s">
        <v>473</v>
      </c>
      <c r="G1" s="260" t="s">
        <v>472</v>
      </c>
      <c r="H1" s="260" t="s">
        <v>474</v>
      </c>
    </row>
    <row r="2" spans="1:8" ht="13.5" thickBot="1">
      <c r="A2" s="264">
        <v>1</v>
      </c>
      <c r="B2" s="265">
        <v>1210</v>
      </c>
      <c r="C2" s="265">
        <v>1861.9157458448883</v>
      </c>
      <c r="D2" s="266">
        <f>SUM(F10:F23)</f>
        <v>0.3006992338911745</v>
      </c>
      <c r="E2" s="267">
        <f>SUM(L10:L24)</f>
        <v>0.2966177118404372</v>
      </c>
      <c r="F2" s="261">
        <f>SUMPRODUCT(B2:B6,D2:D6)</f>
        <v>1377.5868614203716</v>
      </c>
      <c r="G2" s="261">
        <f>SUMPRODUCT(C2:C6,D2:D6)</f>
        <v>2020.39169492513</v>
      </c>
      <c r="H2" s="262" t="s">
        <v>456</v>
      </c>
    </row>
    <row r="3" spans="1:8" ht="13.5" thickBot="1">
      <c r="A3" s="254">
        <v>2</v>
      </c>
      <c r="B3" s="70">
        <v>1320</v>
      </c>
      <c r="C3" s="70">
        <v>1921.2</v>
      </c>
      <c r="D3" s="252">
        <f>SUM(F24:F47)</f>
        <v>0.35994043788317376</v>
      </c>
      <c r="E3" s="255">
        <f>SUM(L25:L46)</f>
        <v>0.36267057812079084</v>
      </c>
      <c r="F3" s="261">
        <f>SUMPRODUCT(B2:B6,E2:E6)</f>
        <v>1377.5881767873643</v>
      </c>
      <c r="G3" s="261">
        <f>SUMPRODUCT(C2:C6,E2:E6)</f>
        <v>2019.3969445606863</v>
      </c>
      <c r="H3" s="263" t="s">
        <v>223</v>
      </c>
    </row>
    <row r="4" spans="1:5" ht="12.75">
      <c r="A4" s="254">
        <v>3</v>
      </c>
      <c r="B4" s="70">
        <v>1540</v>
      </c>
      <c r="C4" s="70">
        <v>2166.34</v>
      </c>
      <c r="D4" s="252">
        <f>SUM(F48:F113)</f>
        <v>0.24115774407396892</v>
      </c>
      <c r="E4" s="255">
        <f>SUM(L47:L106)</f>
        <v>0.24696608856704846</v>
      </c>
    </row>
    <row r="5" spans="1:5" ht="12.75">
      <c r="A5" s="254">
        <v>4</v>
      </c>
      <c r="B5" s="70">
        <v>1700</v>
      </c>
      <c r="C5" s="70">
        <v>2505.571755519264</v>
      </c>
      <c r="D5" s="252">
        <f>SUM(F114:F149)</f>
        <v>0.09402984880185306</v>
      </c>
      <c r="E5" s="255">
        <f>SUM(L107:L135)</f>
        <v>0.09002777224591271</v>
      </c>
    </row>
    <row r="6" spans="1:5" ht="13.5" thickBot="1">
      <c r="A6" s="256">
        <v>5</v>
      </c>
      <c r="B6" s="259">
        <v>1770</v>
      </c>
      <c r="C6" s="259">
        <v>2628.8</v>
      </c>
      <c r="D6" s="257">
        <f>SUM(F150:F154)</f>
        <v>0.00417273534982973</v>
      </c>
      <c r="E6" s="258">
        <f>SUM(L136:L138)</f>
        <v>0.003717849225810815</v>
      </c>
    </row>
    <row r="7" ht="12.75">
      <c r="A7" s="5" t="s">
        <v>217</v>
      </c>
    </row>
    <row r="8" spans="1:7" ht="13.5" thickBot="1">
      <c r="A8" s="68" t="s">
        <v>220</v>
      </c>
      <c r="B8" s="68"/>
      <c r="C8" s="68"/>
      <c r="F8" s="68"/>
      <c r="G8" s="68" t="s">
        <v>220</v>
      </c>
    </row>
    <row r="9" spans="1:12" ht="43.5" customHeight="1" thickBot="1">
      <c r="A9" s="158" t="s">
        <v>221</v>
      </c>
      <c r="B9" s="158" t="s">
        <v>222</v>
      </c>
      <c r="C9" s="158" t="s">
        <v>223</v>
      </c>
      <c r="D9" s="158" t="s">
        <v>224</v>
      </c>
      <c r="E9" s="158" t="s">
        <v>456</v>
      </c>
      <c r="F9" s="269" t="s">
        <v>468</v>
      </c>
      <c r="G9" s="158" t="s">
        <v>221</v>
      </c>
      <c r="H9" s="158" t="s">
        <v>222</v>
      </c>
      <c r="I9" s="158" t="s">
        <v>223</v>
      </c>
      <c r="J9" s="158" t="s">
        <v>224</v>
      </c>
      <c r="K9" s="158" t="s">
        <v>225</v>
      </c>
      <c r="L9" s="253" t="s">
        <v>469</v>
      </c>
    </row>
    <row r="10" spans="1:12" ht="12.75">
      <c r="A10" s="74" t="s">
        <v>312</v>
      </c>
      <c r="B10" s="69" t="s">
        <v>228</v>
      </c>
      <c r="C10" s="70">
        <v>25885</v>
      </c>
      <c r="D10" s="69">
        <v>1</v>
      </c>
      <c r="E10" s="70">
        <f>VLOOKUP(A10,'[1]MT Housing Units by County'!$A$5:$B$61,2,0)</f>
        <v>13605</v>
      </c>
      <c r="F10" s="251">
        <f>E10/E$155</f>
        <v>0.002954004809784237</v>
      </c>
      <c r="G10" s="69" t="s">
        <v>235</v>
      </c>
      <c r="H10" s="69" t="s">
        <v>232</v>
      </c>
      <c r="I10" s="70">
        <v>64690</v>
      </c>
      <c r="J10" s="69">
        <v>1</v>
      </c>
      <c r="K10" s="69">
        <f aca="true" t="shared" si="0" ref="K10:K41">IF(J10=1,B$2)+IF(J10=2,B$3)+IF(J10=3,B$4)+IF(J10=4,B$5)+IF(J10=5,B$6)</f>
        <v>1210</v>
      </c>
      <c r="L10" s="251">
        <f>I10/I$139</f>
        <v>0.006042602543030541</v>
      </c>
    </row>
    <row r="11" spans="1:12" ht="12.75">
      <c r="A11" s="74" t="s">
        <v>461</v>
      </c>
      <c r="B11" s="69" t="s">
        <v>228</v>
      </c>
      <c r="C11" s="70">
        <v>3867</v>
      </c>
      <c r="D11" s="69">
        <v>1</v>
      </c>
      <c r="E11" s="70">
        <f>VLOOKUP(A11,'[1]MT Housing Units by County'!$A$5:$B$61,2,0)</f>
        <v>1961</v>
      </c>
      <c r="F11" s="251">
        <f aca="true" t="shared" si="1" ref="F11:F74">E11/E$155</f>
        <v>0.0004257848902599698</v>
      </c>
      <c r="G11" s="69" t="s">
        <v>240</v>
      </c>
      <c r="H11" s="69" t="s">
        <v>232</v>
      </c>
      <c r="I11" s="70">
        <v>67102</v>
      </c>
      <c r="J11" s="69">
        <v>1</v>
      </c>
      <c r="K11" s="69">
        <f t="shared" si="0"/>
        <v>1210</v>
      </c>
      <c r="L11" s="251">
        <f aca="true" t="shared" si="2" ref="L11:L74">I11/I$139</f>
        <v>0.006267904094024353</v>
      </c>
    </row>
    <row r="12" spans="1:12" ht="12.75">
      <c r="A12" s="74" t="s">
        <v>163</v>
      </c>
      <c r="B12" s="69" t="s">
        <v>228</v>
      </c>
      <c r="C12" s="70">
        <v>89344</v>
      </c>
      <c r="D12" s="69">
        <v>1</v>
      </c>
      <c r="E12" s="70">
        <f>VLOOKUP(A12,'[1]MT Housing Units by County'!$A$5:$B$61,2,0)</f>
        <v>41319</v>
      </c>
      <c r="F12" s="251">
        <f t="shared" si="1"/>
        <v>0.008971446140056957</v>
      </c>
      <c r="G12" s="69" t="s">
        <v>245</v>
      </c>
      <c r="H12" s="69" t="s">
        <v>232</v>
      </c>
      <c r="I12" s="70">
        <v>1664846</v>
      </c>
      <c r="J12" s="69">
        <v>1</v>
      </c>
      <c r="K12" s="69">
        <f t="shared" si="0"/>
        <v>1210</v>
      </c>
      <c r="L12" s="251">
        <f t="shared" si="2"/>
        <v>0.15551093945515881</v>
      </c>
    </row>
    <row r="13" spans="1:12" ht="12.75">
      <c r="A13" s="74" t="s">
        <v>464</v>
      </c>
      <c r="B13" s="69" t="s">
        <v>228</v>
      </c>
      <c r="C13" s="70">
        <v>10233</v>
      </c>
      <c r="D13" s="69">
        <v>1</v>
      </c>
      <c r="E13" s="70">
        <f>VLOOKUP(A13,'[1]MT Housing Units by County'!$A$5:$B$61,2,0)</f>
        <v>5271</v>
      </c>
      <c r="F13" s="251">
        <f t="shared" si="1"/>
        <v>0.0011444733077818974</v>
      </c>
      <c r="G13" s="69" t="s">
        <v>252</v>
      </c>
      <c r="H13" s="69" t="s">
        <v>232</v>
      </c>
      <c r="I13" s="70">
        <v>236560</v>
      </c>
      <c r="J13" s="69">
        <v>1</v>
      </c>
      <c r="K13" s="69">
        <f t="shared" si="0"/>
        <v>1210</v>
      </c>
      <c r="L13" s="251">
        <f t="shared" si="2"/>
        <v>0.02209673918038808</v>
      </c>
    </row>
    <row r="14" spans="1:12" ht="12.75">
      <c r="A14" s="69" t="s">
        <v>248</v>
      </c>
      <c r="B14" s="69" t="s">
        <v>230</v>
      </c>
      <c r="C14" s="70">
        <v>35323</v>
      </c>
      <c r="D14" s="69">
        <v>1</v>
      </c>
      <c r="E14" s="70">
        <f>VLOOKUP(A14,'[1]OR Housing Units by County'!$A$5:$B$61,2,0)</f>
        <v>19685</v>
      </c>
      <c r="F14" s="251">
        <f t="shared" si="1"/>
        <v>0.004274133383359258</v>
      </c>
      <c r="G14" s="69" t="s">
        <v>257</v>
      </c>
      <c r="H14" s="69" t="s">
        <v>232</v>
      </c>
      <c r="I14" s="70">
        <v>50357</v>
      </c>
      <c r="J14" s="69">
        <v>1</v>
      </c>
      <c r="K14" s="69">
        <f t="shared" si="0"/>
        <v>1210</v>
      </c>
      <c r="L14" s="251">
        <f t="shared" si="2"/>
        <v>0.004703777032916818</v>
      </c>
    </row>
    <row r="15" spans="1:12" ht="12.75">
      <c r="A15" s="69" t="s">
        <v>235</v>
      </c>
      <c r="B15" s="69" t="s">
        <v>232</v>
      </c>
      <c r="C15" s="70">
        <v>64690</v>
      </c>
      <c r="D15" s="69">
        <v>1</v>
      </c>
      <c r="E15" s="70">
        <f>VLOOKUP(A15,'[1]WA Housing Units by County'!$A$5:$B$61,2,0)</f>
        <v>30683</v>
      </c>
      <c r="F15" s="251">
        <f t="shared" si="1"/>
        <v>0.006662089641941179</v>
      </c>
      <c r="G15" s="69" t="s">
        <v>263</v>
      </c>
      <c r="H15" s="69" t="s">
        <v>232</v>
      </c>
      <c r="I15" s="70">
        <v>20768</v>
      </c>
      <c r="J15" s="69">
        <v>1</v>
      </c>
      <c r="K15" s="69">
        <f t="shared" si="0"/>
        <v>1210</v>
      </c>
      <c r="L15" s="251">
        <f t="shared" si="2"/>
        <v>0.0019399098719069142</v>
      </c>
    </row>
    <row r="16" spans="1:12" ht="12.75">
      <c r="A16" s="69" t="s">
        <v>467</v>
      </c>
      <c r="B16" s="69" t="s">
        <v>232</v>
      </c>
      <c r="C16" s="70">
        <v>67102</v>
      </c>
      <c r="D16" s="69">
        <v>1</v>
      </c>
      <c r="E16" s="70">
        <f>VLOOKUP(A16,'[1]WA Housing Units by County'!$A$5:$B$61,2,0)</f>
        <v>32489</v>
      </c>
      <c r="F16" s="251">
        <f t="shared" si="1"/>
        <v>0.007054219938631392</v>
      </c>
      <c r="G16" s="69" t="s">
        <v>269</v>
      </c>
      <c r="H16" s="69" t="s">
        <v>232</v>
      </c>
      <c r="I16" s="70">
        <v>688807</v>
      </c>
      <c r="J16" s="69">
        <v>1</v>
      </c>
      <c r="K16" s="69">
        <f t="shared" si="0"/>
        <v>1210</v>
      </c>
      <c r="L16" s="251">
        <f t="shared" si="2"/>
        <v>0.06434049976591805</v>
      </c>
    </row>
    <row r="17" spans="1:12" ht="12.75">
      <c r="A17" s="69" t="s">
        <v>245</v>
      </c>
      <c r="B17" s="69" t="s">
        <v>232</v>
      </c>
      <c r="C17" s="70">
        <v>1664846</v>
      </c>
      <c r="D17" s="69">
        <v>1</v>
      </c>
      <c r="E17" s="70">
        <f>VLOOKUP(A17,'[1]WA Housing Units by County'!$A$5:$B$61,2,0)</f>
        <v>742237</v>
      </c>
      <c r="F17" s="251">
        <f t="shared" si="1"/>
        <v>0.16115925527378339</v>
      </c>
      <c r="G17" s="69" t="s">
        <v>274</v>
      </c>
      <c r="H17" s="69" t="s">
        <v>232</v>
      </c>
      <c r="I17" s="70">
        <v>205459</v>
      </c>
      <c r="J17" s="69">
        <v>1</v>
      </c>
      <c r="K17" s="69">
        <f t="shared" si="0"/>
        <v>1210</v>
      </c>
      <c r="L17" s="251">
        <f t="shared" si="2"/>
        <v>0.0191916382112925</v>
      </c>
    </row>
    <row r="18" spans="1:12" ht="12.75">
      <c r="A18" s="69" t="s">
        <v>252</v>
      </c>
      <c r="B18" s="69" t="s">
        <v>232</v>
      </c>
      <c r="C18" s="70">
        <v>236560</v>
      </c>
      <c r="D18" s="69">
        <v>1</v>
      </c>
      <c r="E18" s="70">
        <f>VLOOKUP(A18,'[1]WA Housing Units by County'!$A$5:$B$61,2,0)</f>
        <v>92644</v>
      </c>
      <c r="F18" s="251">
        <f t="shared" si="1"/>
        <v>0.020115459139849384</v>
      </c>
      <c r="G18" s="69" t="s">
        <v>280</v>
      </c>
      <c r="H18" s="69" t="s">
        <v>232</v>
      </c>
      <c r="I18" s="70">
        <v>3841</v>
      </c>
      <c r="J18" s="69">
        <v>1</v>
      </c>
      <c r="K18" s="69">
        <f t="shared" si="0"/>
        <v>1210</v>
      </c>
      <c r="L18" s="251">
        <f t="shared" si="2"/>
        <v>0.00035878244501128936</v>
      </c>
    </row>
    <row r="19" spans="1:12" ht="12.75">
      <c r="A19" s="69" t="s">
        <v>257</v>
      </c>
      <c r="B19" s="69" t="s">
        <v>232</v>
      </c>
      <c r="C19" s="70">
        <v>50357</v>
      </c>
      <c r="D19" s="69">
        <v>1</v>
      </c>
      <c r="E19" s="70">
        <f>VLOOKUP(A19,'[1]WA Housing Units by County'!$A$5:$B$61,2,0)</f>
        <v>25515</v>
      </c>
      <c r="F19" s="251">
        <f t="shared" si="1"/>
        <v>0.005539980354402412</v>
      </c>
      <c r="G19" s="69" t="s">
        <v>248</v>
      </c>
      <c r="H19" s="69" t="s">
        <v>230</v>
      </c>
      <c r="I19" s="70">
        <v>35323</v>
      </c>
      <c r="J19" s="69">
        <v>1</v>
      </c>
      <c r="K19" s="69">
        <f t="shared" si="0"/>
        <v>1210</v>
      </c>
      <c r="L19" s="251">
        <f t="shared" si="2"/>
        <v>0.003299472091937978</v>
      </c>
    </row>
    <row r="20" spans="1:12" ht="12.75">
      <c r="A20" s="69" t="s">
        <v>263</v>
      </c>
      <c r="B20" s="69" t="s">
        <v>232</v>
      </c>
      <c r="C20" s="70">
        <v>20768</v>
      </c>
      <c r="D20" s="69">
        <v>1</v>
      </c>
      <c r="E20" s="70">
        <f>VLOOKUP(A20,'[1]WA Housing Units by County'!$A$5:$B$61,2,0)</f>
        <v>13991</v>
      </c>
      <c r="F20" s="251">
        <f t="shared" si="1"/>
        <v>0.0030378156040934408</v>
      </c>
      <c r="G20" s="69" t="s">
        <v>291</v>
      </c>
      <c r="H20" s="69" t="s">
        <v>226</v>
      </c>
      <c r="I20" s="70">
        <v>8404</v>
      </c>
      <c r="J20" s="69">
        <v>1</v>
      </c>
      <c r="K20" s="69">
        <f t="shared" si="0"/>
        <v>1210</v>
      </c>
      <c r="L20" s="251">
        <f t="shared" si="2"/>
        <v>0.0007850059015555522</v>
      </c>
    </row>
    <row r="21" spans="1:12" ht="12.75">
      <c r="A21" s="69" t="s">
        <v>269</v>
      </c>
      <c r="B21" s="69" t="s">
        <v>232</v>
      </c>
      <c r="C21" s="70">
        <v>688807</v>
      </c>
      <c r="D21" s="69">
        <v>1</v>
      </c>
      <c r="E21" s="70">
        <f>VLOOKUP(A21,'[1]WA Housing Units by County'!$A$5:$B$61,2,0)</f>
        <v>277060</v>
      </c>
      <c r="F21" s="251">
        <f t="shared" si="1"/>
        <v>0.060157043189917</v>
      </c>
      <c r="G21" s="69" t="s">
        <v>247</v>
      </c>
      <c r="H21" s="69" t="s">
        <v>228</v>
      </c>
      <c r="I21" s="70">
        <v>25885</v>
      </c>
      <c r="J21" s="69">
        <v>1</v>
      </c>
      <c r="K21" s="69">
        <f t="shared" si="0"/>
        <v>1210</v>
      </c>
      <c r="L21" s="251">
        <f t="shared" si="2"/>
        <v>0.002417881694641298</v>
      </c>
    </row>
    <row r="22" spans="1:12" ht="12.75">
      <c r="A22" s="69" t="s">
        <v>274</v>
      </c>
      <c r="B22" s="69" t="s">
        <v>232</v>
      </c>
      <c r="C22" s="70">
        <v>205459</v>
      </c>
      <c r="D22" s="69">
        <v>1</v>
      </c>
      <c r="E22" s="70">
        <f>VLOOKUP(A22,'[1]WA Housing Units by County'!$A$5:$B$61,2,0)</f>
        <v>86652</v>
      </c>
      <c r="F22" s="251">
        <f t="shared" si="1"/>
        <v>0.01881443769036558</v>
      </c>
      <c r="G22" s="69" t="s">
        <v>265</v>
      </c>
      <c r="H22" s="69" t="s">
        <v>228</v>
      </c>
      <c r="I22" s="70">
        <v>3867</v>
      </c>
      <c r="J22" s="69">
        <v>1</v>
      </c>
      <c r="K22" s="69">
        <f t="shared" si="0"/>
        <v>1210</v>
      </c>
      <c r="L22" s="251">
        <f t="shared" si="2"/>
        <v>0.0003612110686953023</v>
      </c>
    </row>
    <row r="23" spans="1:12" ht="12.75">
      <c r="A23" s="69" t="s">
        <v>280</v>
      </c>
      <c r="B23" s="69" t="s">
        <v>232</v>
      </c>
      <c r="C23" s="70">
        <v>3841</v>
      </c>
      <c r="D23" s="69">
        <v>1</v>
      </c>
      <c r="E23" s="70">
        <f>VLOOKUP(A23,'[1]WA Housing Units by County'!$A$5:$B$61,2,0)</f>
        <v>1792</v>
      </c>
      <c r="F23" s="251">
        <f t="shared" si="1"/>
        <v>0.00038909052694842725</v>
      </c>
      <c r="G23" s="69" t="s">
        <v>270</v>
      </c>
      <c r="H23" s="69" t="s">
        <v>228</v>
      </c>
      <c r="I23" s="70">
        <v>89344</v>
      </c>
      <c r="J23" s="69">
        <v>1</v>
      </c>
      <c r="K23" s="69">
        <f t="shared" si="0"/>
        <v>1210</v>
      </c>
      <c r="L23" s="251">
        <f t="shared" si="2"/>
        <v>0.008345498247094152</v>
      </c>
    </row>
    <row r="24" spans="1:12" ht="12.75">
      <c r="A24" s="69" t="s">
        <v>291</v>
      </c>
      <c r="B24" s="69" t="s">
        <v>226</v>
      </c>
      <c r="C24" s="159">
        <v>13654</v>
      </c>
      <c r="D24" s="69">
        <v>2</v>
      </c>
      <c r="E24" s="70">
        <f>VLOOKUP(A24,'[1]ID Housing Units by County'!$A$5:$B$48,2,0)</f>
        <v>7057</v>
      </c>
      <c r="F24" s="251">
        <f t="shared" si="1"/>
        <v>0.00153226107626956</v>
      </c>
      <c r="G24" s="69" t="s">
        <v>287</v>
      </c>
      <c r="H24" s="69" t="s">
        <v>228</v>
      </c>
      <c r="I24" s="70">
        <v>10233</v>
      </c>
      <c r="J24" s="69">
        <v>1</v>
      </c>
      <c r="K24" s="69">
        <f t="shared" si="0"/>
        <v>1210</v>
      </c>
      <c r="L24" s="251">
        <f t="shared" si="2"/>
        <v>0.000955850236865536</v>
      </c>
    </row>
    <row r="25" spans="1:12" ht="12.75">
      <c r="A25" s="69" t="s">
        <v>237</v>
      </c>
      <c r="B25" s="69" t="s">
        <v>230</v>
      </c>
      <c r="C25" s="70">
        <v>77192</v>
      </c>
      <c r="D25" s="69">
        <v>2</v>
      </c>
      <c r="E25" s="70">
        <f>VLOOKUP(A25,'[1]OR Housing Units by County'!$A$5:$B$61,2,0)</f>
        <v>31980</v>
      </c>
      <c r="F25" s="251">
        <f t="shared" si="1"/>
        <v>0.006943702595876509</v>
      </c>
      <c r="G25" s="69" t="s">
        <v>261</v>
      </c>
      <c r="H25" s="69" t="s">
        <v>232</v>
      </c>
      <c r="I25" s="70">
        <v>336268</v>
      </c>
      <c r="J25" s="69">
        <v>2</v>
      </c>
      <c r="K25" s="69">
        <f t="shared" si="0"/>
        <v>1320</v>
      </c>
      <c r="L25" s="251">
        <f t="shared" si="2"/>
        <v>0.03141032419137106</v>
      </c>
    </row>
    <row r="26" spans="1:12" ht="12.75">
      <c r="A26" s="69" t="s">
        <v>243</v>
      </c>
      <c r="B26" s="69" t="s">
        <v>230</v>
      </c>
      <c r="C26" s="70">
        <v>338251</v>
      </c>
      <c r="D26" s="69">
        <v>2</v>
      </c>
      <c r="E26" s="70">
        <f>VLOOKUP(A26,'[1]OR Housing Units by County'!$A$5:$B$61,2,0)</f>
        <v>136954</v>
      </c>
      <c r="F26" s="251">
        <f t="shared" si="1"/>
        <v>0.029736330372597604</v>
      </c>
      <c r="G26" s="69" t="s">
        <v>272</v>
      </c>
      <c r="H26" s="69" t="s">
        <v>232</v>
      </c>
      <c r="I26" s="70">
        <v>91949</v>
      </c>
      <c r="J26" s="69">
        <v>2</v>
      </c>
      <c r="K26" s="69">
        <f t="shared" si="0"/>
        <v>1320</v>
      </c>
      <c r="L26" s="251">
        <f t="shared" si="2"/>
        <v>0.008588827658511598</v>
      </c>
    </row>
    <row r="27" spans="1:12" ht="12.75">
      <c r="A27" s="69" t="s">
        <v>255</v>
      </c>
      <c r="B27" s="69" t="s">
        <v>230</v>
      </c>
      <c r="C27" s="70">
        <v>45368</v>
      </c>
      <c r="D27" s="69">
        <v>2</v>
      </c>
      <c r="E27" s="70">
        <f>VLOOKUP(A27,'[1]OR Housing Units by County'!$A$5:$B$61,2,0)</f>
        <v>17572</v>
      </c>
      <c r="F27" s="251">
        <f t="shared" si="1"/>
        <v>0.003815345278759913</v>
      </c>
      <c r="G27" s="69" t="s">
        <v>305</v>
      </c>
      <c r="H27" s="69" t="s">
        <v>232</v>
      </c>
      <c r="I27" s="70">
        <v>73490</v>
      </c>
      <c r="J27" s="69">
        <v>2</v>
      </c>
      <c r="K27" s="69">
        <f t="shared" si="0"/>
        <v>1320</v>
      </c>
      <c r="L27" s="251">
        <f t="shared" si="2"/>
        <v>0.006864598251465674</v>
      </c>
    </row>
    <row r="28" spans="1:12" ht="12.75">
      <c r="A28" s="69" t="s">
        <v>302</v>
      </c>
      <c r="B28" s="69" t="s">
        <v>230</v>
      </c>
      <c r="C28" s="70">
        <v>19917</v>
      </c>
      <c r="D28" s="69">
        <v>2</v>
      </c>
      <c r="E28" s="70">
        <f>VLOOKUP(A28,'[1]OR Housing Units by County'!$A$5:$B$61,2,0)</f>
        <v>7818</v>
      </c>
      <c r="F28" s="251">
        <f t="shared" si="1"/>
        <v>0.001697494274376565</v>
      </c>
      <c r="G28" s="69" t="s">
        <v>314</v>
      </c>
      <c r="H28" s="69" t="s">
        <v>232</v>
      </c>
      <c r="I28" s="70">
        <v>68621</v>
      </c>
      <c r="J28" s="69">
        <v>2</v>
      </c>
      <c r="K28" s="69">
        <f t="shared" si="0"/>
        <v>1320</v>
      </c>
      <c r="L28" s="251">
        <f t="shared" si="2"/>
        <v>0.006409791762332645</v>
      </c>
    </row>
    <row r="29" spans="1:12" ht="12.75">
      <c r="A29" s="69" t="s">
        <v>316</v>
      </c>
      <c r="B29" s="69" t="s">
        <v>230</v>
      </c>
      <c r="C29" s="70">
        <v>314901</v>
      </c>
      <c r="D29" s="69">
        <v>2</v>
      </c>
      <c r="E29" s="70">
        <f>VLOOKUP(A29,'[1]OR Housing Units by County'!$A$5:$B$61,2,0)</f>
        <v>138946</v>
      </c>
      <c r="F29" s="251">
        <f t="shared" si="1"/>
        <v>0.030168846181571528</v>
      </c>
      <c r="G29" s="69" t="s">
        <v>318</v>
      </c>
      <c r="H29" s="69" t="s">
        <v>232</v>
      </c>
      <c r="I29" s="70">
        <v>12898</v>
      </c>
      <c r="J29" s="69">
        <v>2</v>
      </c>
      <c r="K29" s="69">
        <f t="shared" si="0"/>
        <v>1320</v>
      </c>
      <c r="L29" s="251">
        <f t="shared" si="2"/>
        <v>0.0012047841644768577</v>
      </c>
    </row>
    <row r="30" spans="1:12" ht="12.75">
      <c r="A30" s="69" t="s">
        <v>284</v>
      </c>
      <c r="B30" s="69" t="s">
        <v>230</v>
      </c>
      <c r="C30" s="70">
        <v>44985</v>
      </c>
      <c r="D30" s="69">
        <v>2</v>
      </c>
      <c r="E30" s="70">
        <f>VLOOKUP(A30,'[1]OR Housing Units by County'!$A$5:$B$61,2,0)</f>
        <v>26889</v>
      </c>
      <c r="F30" s="251">
        <f t="shared" si="1"/>
        <v>0.005838312041917556</v>
      </c>
      <c r="G30" s="69" t="s">
        <v>319</v>
      </c>
      <c r="H30" s="69" t="s">
        <v>232</v>
      </c>
      <c r="I30" s="70">
        <v>101180</v>
      </c>
      <c r="J30" s="69">
        <v>2</v>
      </c>
      <c r="K30" s="69">
        <f t="shared" si="0"/>
        <v>1320</v>
      </c>
      <c r="L30" s="251">
        <f t="shared" si="2"/>
        <v>0.009451082474939405</v>
      </c>
    </row>
    <row r="31" spans="1:12" ht="12.75">
      <c r="A31" s="69" t="s">
        <v>321</v>
      </c>
      <c r="B31" s="69" t="s">
        <v>230</v>
      </c>
      <c r="C31" s="70">
        <v>105337</v>
      </c>
      <c r="D31" s="69">
        <v>2</v>
      </c>
      <c r="E31" s="70">
        <f>VLOOKUP(A31,'[1]OR Housing Units by County'!$A$5:$B$61,2,0)</f>
        <v>42521</v>
      </c>
      <c r="F31" s="251">
        <f t="shared" si="1"/>
        <v>0.009232432085030176</v>
      </c>
      <c r="G31" s="69" t="s">
        <v>322</v>
      </c>
      <c r="H31" s="69" t="s">
        <v>232</v>
      </c>
      <c r="I31" s="70">
        <v>9831</v>
      </c>
      <c r="J31" s="69">
        <v>2</v>
      </c>
      <c r="K31" s="69">
        <f t="shared" si="0"/>
        <v>1320</v>
      </c>
      <c r="L31" s="251">
        <f t="shared" si="2"/>
        <v>0.0009182999783665675</v>
      </c>
    </row>
    <row r="32" spans="1:12" ht="12.75">
      <c r="A32" s="69" t="s">
        <v>327</v>
      </c>
      <c r="B32" s="69" t="s">
        <v>230</v>
      </c>
      <c r="C32" s="70">
        <v>272760</v>
      </c>
      <c r="D32" s="69">
        <v>2</v>
      </c>
      <c r="E32" s="70">
        <f>VLOOKUP(A32,'[1]OR Housing Units by County'!$A$5:$B$61,2,0)</f>
        <v>108174</v>
      </c>
      <c r="F32" s="251">
        <f t="shared" si="1"/>
        <v>0.023487432289129</v>
      </c>
      <c r="G32" s="69" t="s">
        <v>325</v>
      </c>
      <c r="H32" s="69" t="s">
        <v>232</v>
      </c>
      <c r="I32" s="70">
        <v>596598</v>
      </c>
      <c r="J32" s="69">
        <v>2</v>
      </c>
      <c r="K32" s="69">
        <f t="shared" si="0"/>
        <v>1320</v>
      </c>
      <c r="L32" s="251">
        <f t="shared" si="2"/>
        <v>0.05572738587056631</v>
      </c>
    </row>
    <row r="33" spans="1:12" ht="12.75">
      <c r="A33" s="69" t="s">
        <v>331</v>
      </c>
      <c r="B33" s="69" t="s">
        <v>230</v>
      </c>
      <c r="C33" s="70">
        <v>633224</v>
      </c>
      <c r="D33" s="69">
        <v>2</v>
      </c>
      <c r="E33" s="70">
        <f>VLOOKUP(A33,'[1]OR Housing Units by County'!$A$5:$B$61,2,0)</f>
        <v>288561</v>
      </c>
      <c r="F33" s="251">
        <f t="shared" si="1"/>
        <v>0.06265421403279303</v>
      </c>
      <c r="G33" s="69" t="s">
        <v>329</v>
      </c>
      <c r="H33" s="69" t="s">
        <v>232</v>
      </c>
      <c r="I33" s="70">
        <v>160310</v>
      </c>
      <c r="J33" s="69">
        <v>2</v>
      </c>
      <c r="K33" s="69">
        <f t="shared" si="0"/>
        <v>1320</v>
      </c>
      <c r="L33" s="251">
        <f t="shared" si="2"/>
        <v>0.014974333184004113</v>
      </c>
    </row>
    <row r="34" spans="1:12" ht="12.75">
      <c r="A34" s="69" t="s">
        <v>334</v>
      </c>
      <c r="B34" s="69" t="s">
        <v>230</v>
      </c>
      <c r="C34" s="70">
        <v>62396</v>
      </c>
      <c r="D34" s="69">
        <v>2</v>
      </c>
      <c r="E34" s="70">
        <f>VLOOKUP(A34,'[1]OR Housing Units by County'!$A$5:$B$61,2,0)</f>
        <v>24461</v>
      </c>
      <c r="F34" s="251">
        <f t="shared" si="1"/>
        <v>0.005311129118128058</v>
      </c>
      <c r="G34" s="69" t="s">
        <v>237</v>
      </c>
      <c r="H34" s="69" t="s">
        <v>230</v>
      </c>
      <c r="I34" s="70">
        <v>77192</v>
      </c>
      <c r="J34" s="69">
        <v>2</v>
      </c>
      <c r="K34" s="69">
        <f t="shared" si="0"/>
        <v>1320</v>
      </c>
      <c r="L34" s="251">
        <f t="shared" si="2"/>
        <v>0.007210396900627818</v>
      </c>
    </row>
    <row r="35" spans="1:12" ht="12.75">
      <c r="A35" s="69" t="s">
        <v>338</v>
      </c>
      <c r="B35" s="69" t="s">
        <v>230</v>
      </c>
      <c r="C35" s="70">
        <v>24420</v>
      </c>
      <c r="D35" s="69">
        <v>2</v>
      </c>
      <c r="E35" s="70">
        <f>VLOOKUP(A35,'[1]OR Housing Units by County'!$A$5:$B$61,2,0)</f>
        <v>15906</v>
      </c>
      <c r="F35" s="251">
        <f t="shared" si="1"/>
        <v>0.003453612679487547</v>
      </c>
      <c r="G35" s="69" t="s">
        <v>243</v>
      </c>
      <c r="H35" s="69" t="s">
        <v>230</v>
      </c>
      <c r="I35" s="70">
        <v>338251</v>
      </c>
      <c r="J35" s="69">
        <v>2</v>
      </c>
      <c r="K35" s="69">
        <f t="shared" si="0"/>
        <v>1320</v>
      </c>
      <c r="L35" s="251">
        <f t="shared" si="2"/>
        <v>0.03159555345157866</v>
      </c>
    </row>
    <row r="36" spans="1:12" ht="12.75">
      <c r="A36" s="69" t="s">
        <v>219</v>
      </c>
      <c r="B36" s="69" t="s">
        <v>230</v>
      </c>
      <c r="C36" s="70">
        <v>409305</v>
      </c>
      <c r="D36" s="69">
        <v>2</v>
      </c>
      <c r="E36" s="70">
        <f>VLOOKUP(A36,'[1]OR Housing Units by County'!$A$5:$B$61,2,0)</f>
        <v>178913</v>
      </c>
      <c r="F36" s="251">
        <f t="shared" si="1"/>
        <v>0.03884673741513614</v>
      </c>
      <c r="G36" s="69" t="s">
        <v>255</v>
      </c>
      <c r="H36" s="69" t="s">
        <v>230</v>
      </c>
      <c r="I36" s="70">
        <v>45368</v>
      </c>
      <c r="J36" s="69">
        <v>2</v>
      </c>
      <c r="K36" s="69">
        <f t="shared" si="0"/>
        <v>1320</v>
      </c>
      <c r="L36" s="251">
        <f t="shared" si="2"/>
        <v>0.004237761511396036</v>
      </c>
    </row>
    <row r="37" spans="1:12" ht="12.75">
      <c r="A37" s="69" t="s">
        <v>350</v>
      </c>
      <c r="B37" s="69" t="s">
        <v>230</v>
      </c>
      <c r="C37" s="70">
        <v>83424</v>
      </c>
      <c r="D37" s="69">
        <v>2</v>
      </c>
      <c r="E37" s="70">
        <f>VLOOKUP(A37,'[1]OR Housing Units by County'!$A$5:$B$61,2,0)</f>
        <v>30270</v>
      </c>
      <c r="F37" s="251">
        <f t="shared" si="1"/>
        <v>0.006572416434558534</v>
      </c>
      <c r="G37" s="69" t="s">
        <v>302</v>
      </c>
      <c r="H37" s="69" t="s">
        <v>230</v>
      </c>
      <c r="I37" s="70">
        <v>19917</v>
      </c>
      <c r="J37" s="69">
        <v>2</v>
      </c>
      <c r="K37" s="69">
        <f t="shared" si="0"/>
        <v>1320</v>
      </c>
      <c r="L37" s="251">
        <f t="shared" si="2"/>
        <v>0.0018604191505571077</v>
      </c>
    </row>
    <row r="38" spans="1:12" ht="12.75">
      <c r="A38" s="69" t="s">
        <v>261</v>
      </c>
      <c r="B38" s="69" t="s">
        <v>232</v>
      </c>
      <c r="C38" s="70">
        <v>336268</v>
      </c>
      <c r="D38" s="69">
        <v>2</v>
      </c>
      <c r="E38" s="70">
        <f>VLOOKUP(A38,'[1]WA Housing Units by County'!$A$5:$B$61,2,0)</f>
        <v>134030</v>
      </c>
      <c r="F38" s="251">
        <f t="shared" si="1"/>
        <v>0.02910145274938488</v>
      </c>
      <c r="G38" s="69" t="s">
        <v>316</v>
      </c>
      <c r="H38" s="69" t="s">
        <v>230</v>
      </c>
      <c r="I38" s="70">
        <v>314901</v>
      </c>
      <c r="J38" s="69">
        <v>2</v>
      </c>
      <c r="K38" s="69">
        <f t="shared" si="0"/>
        <v>1320</v>
      </c>
      <c r="L38" s="251">
        <f t="shared" si="2"/>
        <v>0.029414462566128622</v>
      </c>
    </row>
    <row r="39" spans="1:12" ht="12.75">
      <c r="A39" s="69" t="s">
        <v>272</v>
      </c>
      <c r="B39" s="69" t="s">
        <v>232</v>
      </c>
      <c r="C39" s="70">
        <v>91949</v>
      </c>
      <c r="D39" s="69">
        <v>2</v>
      </c>
      <c r="E39" s="70">
        <f>VLOOKUP(A39,'[1]WA Housing Units by County'!$A$5:$B$61,2,0)</f>
        <v>38624</v>
      </c>
      <c r="F39" s="251">
        <f t="shared" si="1"/>
        <v>0.008386290464763423</v>
      </c>
      <c r="G39" s="69" t="s">
        <v>284</v>
      </c>
      <c r="H39" s="69" t="s">
        <v>230</v>
      </c>
      <c r="I39" s="70">
        <v>44985</v>
      </c>
      <c r="J39" s="69">
        <v>2</v>
      </c>
      <c r="K39" s="69">
        <f t="shared" si="0"/>
        <v>1320</v>
      </c>
      <c r="L39" s="251">
        <f t="shared" si="2"/>
        <v>0.004201986016358462</v>
      </c>
    </row>
    <row r="40" spans="1:12" ht="12.75">
      <c r="A40" s="69" t="s">
        <v>305</v>
      </c>
      <c r="B40" s="69" t="s">
        <v>232</v>
      </c>
      <c r="C40" s="70">
        <v>73490</v>
      </c>
      <c r="D40" s="69">
        <v>2</v>
      </c>
      <c r="E40" s="70">
        <f>VLOOKUP(A40,'[1]WA Housing Units by County'!$A$5:$B$61,2,0)</f>
        <v>32378</v>
      </c>
      <c r="F40" s="251">
        <f t="shared" si="1"/>
        <v>0.007030118907107242</v>
      </c>
      <c r="G40" s="69" t="s">
        <v>321</v>
      </c>
      <c r="H40" s="69" t="s">
        <v>230</v>
      </c>
      <c r="I40" s="70">
        <v>105337</v>
      </c>
      <c r="J40" s="69">
        <v>2</v>
      </c>
      <c r="K40" s="69">
        <f t="shared" si="0"/>
        <v>1320</v>
      </c>
      <c r="L40" s="251">
        <f t="shared" si="2"/>
        <v>0.009839382038571775</v>
      </c>
    </row>
    <row r="41" spans="1:12" ht="12.75">
      <c r="A41" s="69" t="s">
        <v>314</v>
      </c>
      <c r="B41" s="69" t="s">
        <v>232</v>
      </c>
      <c r="C41" s="70">
        <v>68621</v>
      </c>
      <c r="D41" s="69">
        <v>2</v>
      </c>
      <c r="E41" s="70">
        <f>VLOOKUP(A41,'[1]WA Housing Units by County'!$A$5:$B$61,2,0)</f>
        <v>29585</v>
      </c>
      <c r="F41" s="251">
        <f t="shared" si="1"/>
        <v>0.006423684843621217</v>
      </c>
      <c r="G41" s="69" t="s">
        <v>327</v>
      </c>
      <c r="H41" s="69" t="s">
        <v>230</v>
      </c>
      <c r="I41" s="70">
        <v>272760</v>
      </c>
      <c r="J41" s="69">
        <v>2</v>
      </c>
      <c r="K41" s="69">
        <f t="shared" si="0"/>
        <v>1320</v>
      </c>
      <c r="L41" s="251">
        <f t="shared" si="2"/>
        <v>0.025478130617359877</v>
      </c>
    </row>
    <row r="42" spans="1:12" ht="12.75">
      <c r="A42" s="69" t="s">
        <v>318</v>
      </c>
      <c r="B42" s="69" t="s">
        <v>232</v>
      </c>
      <c r="C42" s="70">
        <v>12898</v>
      </c>
      <c r="D42" s="69">
        <v>2</v>
      </c>
      <c r="E42" s="70">
        <f>VLOOKUP(A42,'[1]WA Housing Units by County'!$A$5:$B$61,2,0)</f>
        <v>9752</v>
      </c>
      <c r="F42" s="251">
        <f t="shared" si="1"/>
        <v>0.002117416751563093</v>
      </c>
      <c r="G42" s="69" t="s">
        <v>331</v>
      </c>
      <c r="H42" s="69" t="s">
        <v>230</v>
      </c>
      <c r="I42" s="70">
        <v>633224</v>
      </c>
      <c r="J42" s="69">
        <v>2</v>
      </c>
      <c r="K42" s="69">
        <f aca="true" t="shared" si="3" ref="K42:K73">IF(J42=1,B$2)+IF(J42=2,B$3)+IF(J42=3,B$4)+IF(J42=4,B$5)+IF(J42=5,B$6)</f>
        <v>1320</v>
      </c>
      <c r="L42" s="251">
        <f t="shared" si="2"/>
        <v>0.05914856937251463</v>
      </c>
    </row>
    <row r="43" spans="1:12" ht="12.75">
      <c r="A43" s="69" t="s">
        <v>319</v>
      </c>
      <c r="B43" s="69" t="s">
        <v>232</v>
      </c>
      <c r="C43" s="70">
        <v>101180</v>
      </c>
      <c r="D43" s="69">
        <v>2</v>
      </c>
      <c r="E43" s="70">
        <f>VLOOKUP(A43,'[1]WA Housing Units by County'!$A$5:$B$61,2,0)</f>
        <v>42681</v>
      </c>
      <c r="F43" s="251">
        <f t="shared" si="1"/>
        <v>0.009267172310650572</v>
      </c>
      <c r="G43" s="69" t="s">
        <v>334</v>
      </c>
      <c r="H43" s="69" t="s">
        <v>230</v>
      </c>
      <c r="I43" s="70">
        <v>62396</v>
      </c>
      <c r="J43" s="69">
        <v>2</v>
      </c>
      <c r="K43" s="69">
        <f t="shared" si="3"/>
        <v>1320</v>
      </c>
      <c r="L43" s="251">
        <f t="shared" si="2"/>
        <v>0.005828323207218019</v>
      </c>
    </row>
    <row r="44" spans="1:12" ht="12.75">
      <c r="A44" s="69" t="s">
        <v>322</v>
      </c>
      <c r="B44" s="69" t="s">
        <v>232</v>
      </c>
      <c r="C44" s="70">
        <v>9831</v>
      </c>
      <c r="D44" s="69">
        <v>2</v>
      </c>
      <c r="E44" s="70">
        <f>VLOOKUP(A44,'[1]WA Housing Units by County'!$A$5:$B$61,2,0)</f>
        <v>4576</v>
      </c>
      <c r="F44" s="251">
        <f t="shared" si="1"/>
        <v>0.0009935704527433053</v>
      </c>
      <c r="G44" s="69" t="s">
        <v>338</v>
      </c>
      <c r="H44" s="69" t="s">
        <v>230</v>
      </c>
      <c r="I44" s="70">
        <v>24420</v>
      </c>
      <c r="J44" s="69">
        <v>2</v>
      </c>
      <c r="K44" s="69">
        <f t="shared" si="3"/>
        <v>1320</v>
      </c>
      <c r="L44" s="251">
        <f t="shared" si="2"/>
        <v>0.0022810380909074946</v>
      </c>
    </row>
    <row r="45" spans="1:12" ht="12.75">
      <c r="A45" s="69" t="s">
        <v>325</v>
      </c>
      <c r="B45" s="69" t="s">
        <v>232</v>
      </c>
      <c r="C45" s="70">
        <v>596598</v>
      </c>
      <c r="D45" s="69">
        <v>2</v>
      </c>
      <c r="E45" s="70">
        <f>VLOOKUP(A45,'[1]WA Housing Units by County'!$A$5:$B$61,2,0)</f>
        <v>236205</v>
      </c>
      <c r="F45" s="251">
        <f t="shared" si="1"/>
        <v>0.05128634370415919</v>
      </c>
      <c r="G45" s="69" t="s">
        <v>219</v>
      </c>
      <c r="H45" s="69" t="s">
        <v>230</v>
      </c>
      <c r="I45" s="70">
        <v>409305</v>
      </c>
      <c r="J45" s="69">
        <v>2</v>
      </c>
      <c r="K45" s="69">
        <f t="shared" si="3"/>
        <v>1320</v>
      </c>
      <c r="L45" s="251">
        <f t="shared" si="2"/>
        <v>0.038232608345572974</v>
      </c>
    </row>
    <row r="46" spans="1:12" ht="12.75">
      <c r="A46" s="69" t="s">
        <v>329</v>
      </c>
      <c r="B46" s="69" t="s">
        <v>232</v>
      </c>
      <c r="C46" s="70">
        <v>160310</v>
      </c>
      <c r="D46" s="69">
        <v>2</v>
      </c>
      <c r="E46" s="70">
        <f>VLOOKUP(A46,'[1]WA Housing Units by County'!$A$5:$B$61,2,0)</f>
        <v>73893</v>
      </c>
      <c r="F46" s="251">
        <f t="shared" si="1"/>
        <v>0.01604412182354918</v>
      </c>
      <c r="G46" s="69" t="s">
        <v>350</v>
      </c>
      <c r="H46" s="69" t="s">
        <v>230</v>
      </c>
      <c r="I46" s="70">
        <v>83424</v>
      </c>
      <c r="J46" s="69">
        <v>2</v>
      </c>
      <c r="K46" s="69">
        <f t="shared" si="3"/>
        <v>1320</v>
      </c>
      <c r="L46" s="251">
        <f t="shared" si="2"/>
        <v>0.007792519315965062</v>
      </c>
    </row>
    <row r="47" spans="1:12" ht="12.75">
      <c r="A47" s="69" t="s">
        <v>233</v>
      </c>
      <c r="B47" s="69" t="s">
        <v>234</v>
      </c>
      <c r="C47" s="69"/>
      <c r="D47" s="69">
        <v>2</v>
      </c>
      <c r="E47" s="69"/>
      <c r="F47" s="251">
        <f t="shared" si="1"/>
        <v>0</v>
      </c>
      <c r="G47" s="69" t="s">
        <v>246</v>
      </c>
      <c r="H47" s="69" t="s">
        <v>226</v>
      </c>
      <c r="I47" s="70">
        <v>74881</v>
      </c>
      <c r="J47" s="69">
        <v>3</v>
      </c>
      <c r="K47" s="69">
        <f t="shared" si="3"/>
        <v>1540</v>
      </c>
      <c r="L47" s="251">
        <f t="shared" si="2"/>
        <v>0.006994529618560365</v>
      </c>
    </row>
    <row r="48" spans="1:12" ht="12.75">
      <c r="A48" s="69" t="s">
        <v>246</v>
      </c>
      <c r="B48" s="69" t="s">
        <v>226</v>
      </c>
      <c r="C48" s="159">
        <v>6561</v>
      </c>
      <c r="D48" s="69">
        <v>3</v>
      </c>
      <c r="E48" s="70">
        <f>VLOOKUP(A48,'[1]ID Housing Units by County'!$A$5:$B$48,2,0)</f>
        <v>3268</v>
      </c>
      <c r="F48" s="251">
        <f t="shared" si="1"/>
        <v>0.0007095691082965738</v>
      </c>
      <c r="G48" s="69" t="s">
        <v>253</v>
      </c>
      <c r="H48" s="69" t="s">
        <v>226</v>
      </c>
      <c r="I48" s="70">
        <v>6561</v>
      </c>
      <c r="J48" s="69">
        <v>3</v>
      </c>
      <c r="K48" s="69">
        <f t="shared" si="3"/>
        <v>1540</v>
      </c>
      <c r="L48" s="251">
        <f t="shared" si="2"/>
        <v>0.0006128538458003305</v>
      </c>
    </row>
    <row r="49" spans="1:12" ht="12.75">
      <c r="A49" s="69" t="s">
        <v>253</v>
      </c>
      <c r="B49" s="69" t="s">
        <v>226</v>
      </c>
      <c r="C49" s="159">
        <v>9066</v>
      </c>
      <c r="D49" s="69">
        <v>3</v>
      </c>
      <c r="E49" s="70">
        <f>VLOOKUP(A49,'[1]ID Housing Units by County'!$A$5:$B$48,2,0)</f>
        <v>4238</v>
      </c>
      <c r="F49" s="251">
        <f t="shared" si="1"/>
        <v>0.0009201817261202203</v>
      </c>
      <c r="G49" s="69" t="s">
        <v>275</v>
      </c>
      <c r="H49" s="69" t="s">
        <v>226</v>
      </c>
      <c r="I49" s="70">
        <v>5311</v>
      </c>
      <c r="J49" s="69">
        <v>3</v>
      </c>
      <c r="K49" s="69">
        <f t="shared" si="3"/>
        <v>1540</v>
      </c>
      <c r="L49" s="251">
        <f t="shared" si="2"/>
        <v>0.0004960930917612491</v>
      </c>
    </row>
    <row r="50" spans="1:12" ht="12.75">
      <c r="A50" s="69" t="s">
        <v>275</v>
      </c>
      <c r="B50" s="69" t="s">
        <v>226</v>
      </c>
      <c r="C50" s="159">
        <v>36071</v>
      </c>
      <c r="D50" s="69">
        <v>3</v>
      </c>
      <c r="E50" s="70">
        <f>VLOOKUP(A50,'[1]ID Housing Units by County'!$A$5:$B$48,2,0)</f>
        <v>19646</v>
      </c>
      <c r="F50" s="251">
        <f t="shared" si="1"/>
        <v>0.004265665453364287</v>
      </c>
      <c r="G50" s="69" t="s">
        <v>281</v>
      </c>
      <c r="H50" s="69" t="s">
        <v>226</v>
      </c>
      <c r="I50" s="70">
        <v>36071</v>
      </c>
      <c r="J50" s="69">
        <v>3</v>
      </c>
      <c r="K50" s="69">
        <f t="shared" si="3"/>
        <v>1540</v>
      </c>
      <c r="L50" s="251">
        <f t="shared" si="2"/>
        <v>0.0033693417271549644</v>
      </c>
    </row>
    <row r="51" spans="1:12" ht="12.75">
      <c r="A51" s="69" t="s">
        <v>281</v>
      </c>
      <c r="B51" s="69" t="s">
        <v>226</v>
      </c>
      <c r="C51" s="159">
        <v>81536</v>
      </c>
      <c r="D51" s="69">
        <v>3</v>
      </c>
      <c r="E51" s="70">
        <f>VLOOKUP(A51,'[1]ID Housing Units by County'!$A$5:$B$48,2,0)</f>
        <v>30484</v>
      </c>
      <c r="F51" s="251">
        <f t="shared" si="1"/>
        <v>0.006618881486325813</v>
      </c>
      <c r="G51" s="69" t="s">
        <v>286</v>
      </c>
      <c r="H51" s="69" t="s">
        <v>226</v>
      </c>
      <c r="I51" s="70">
        <v>81536</v>
      </c>
      <c r="J51" s="69">
        <v>3</v>
      </c>
      <c r="K51" s="69">
        <f t="shared" si="3"/>
        <v>1540</v>
      </c>
      <c r="L51" s="251">
        <f t="shared" si="2"/>
        <v>0.007616163873064434</v>
      </c>
    </row>
    <row r="52" spans="1:12" ht="12.75">
      <c r="A52" s="69" t="s">
        <v>286</v>
      </c>
      <c r="B52" s="69" t="s">
        <v>226</v>
      </c>
      <c r="C52" s="159">
        <v>9977</v>
      </c>
      <c r="D52" s="69">
        <v>3</v>
      </c>
      <c r="E52" s="70">
        <f>VLOOKUP(A52,'[1]ID Housing Units by County'!$A$5:$B$48,2,0)</f>
        <v>4095</v>
      </c>
      <c r="F52" s="251">
        <f t="shared" si="1"/>
        <v>0.000889132649471992</v>
      </c>
      <c r="G52" s="69" t="s">
        <v>261</v>
      </c>
      <c r="H52" s="69" t="s">
        <v>226</v>
      </c>
      <c r="I52" s="70">
        <v>21573</v>
      </c>
      <c r="J52" s="69">
        <v>3</v>
      </c>
      <c r="K52" s="69">
        <f t="shared" si="3"/>
        <v>1540</v>
      </c>
      <c r="L52" s="251">
        <f t="shared" si="2"/>
        <v>0.0020151037975080824</v>
      </c>
    </row>
    <row r="53" spans="1:12" ht="12.75">
      <c r="A53" s="69" t="s">
        <v>261</v>
      </c>
      <c r="B53" s="69" t="s">
        <v>226</v>
      </c>
      <c r="C53" s="159">
        <v>913</v>
      </c>
      <c r="D53" s="69">
        <v>3</v>
      </c>
      <c r="E53" s="70">
        <f>VLOOKUP(A53,'[1]ID Housing Units by County'!$A$5:$B$48,2,0)</f>
        <v>521</v>
      </c>
      <c r="F53" s="251">
        <f t="shared" si="1"/>
        <v>0.00011312285967641216</v>
      </c>
      <c r="G53" s="69" t="s">
        <v>309</v>
      </c>
      <c r="H53" s="69" t="s">
        <v>226</v>
      </c>
      <c r="I53" s="70">
        <v>913</v>
      </c>
      <c r="J53" s="69">
        <v>3</v>
      </c>
      <c r="K53" s="69">
        <f t="shared" si="3"/>
        <v>1540</v>
      </c>
      <c r="L53" s="251">
        <f t="shared" si="2"/>
        <v>8.528205475014507E-05</v>
      </c>
    </row>
    <row r="54" spans="1:12" ht="12.75">
      <c r="A54" s="69" t="s">
        <v>309</v>
      </c>
      <c r="B54" s="69" t="s">
        <v>226</v>
      </c>
      <c r="C54" s="159">
        <v>9359</v>
      </c>
      <c r="D54" s="69">
        <v>3</v>
      </c>
      <c r="E54" s="70">
        <f>VLOOKUP(A54,'[1]ID Housing Units by County'!$A$5:$B$48,2,0)</f>
        <v>4144</v>
      </c>
      <c r="F54" s="251">
        <f t="shared" si="1"/>
        <v>0.0008997718435682381</v>
      </c>
      <c r="G54" s="69" t="s">
        <v>289</v>
      </c>
      <c r="H54" s="69" t="s">
        <v>226</v>
      </c>
      <c r="I54" s="70">
        <v>25627</v>
      </c>
      <c r="J54" s="69">
        <v>3</v>
      </c>
      <c r="K54" s="69">
        <f t="shared" si="3"/>
        <v>1540</v>
      </c>
      <c r="L54" s="251">
        <f t="shared" si="2"/>
        <v>0.0023937822750076314</v>
      </c>
    </row>
    <row r="55" spans="1:12" ht="12.75">
      <c r="A55" s="248" t="s">
        <v>289</v>
      </c>
      <c r="B55" s="69" t="s">
        <v>226</v>
      </c>
      <c r="C55" s="160">
        <v>11350</v>
      </c>
      <c r="D55" s="69">
        <v>3</v>
      </c>
      <c r="E55" s="70">
        <f>VLOOKUP(A55,'[1]ID Housing Units by County'!$A$5:$B$48,2,0)</f>
        <v>3872</v>
      </c>
      <c r="F55" s="251">
        <f t="shared" si="1"/>
        <v>0.0008407134600135661</v>
      </c>
      <c r="G55" s="69" t="s">
        <v>320</v>
      </c>
      <c r="H55" s="69" t="s">
        <v>226</v>
      </c>
      <c r="I55" s="70">
        <v>11350</v>
      </c>
      <c r="J55" s="69">
        <v>3</v>
      </c>
      <c r="K55" s="69">
        <f t="shared" si="3"/>
        <v>1540</v>
      </c>
      <c r="L55" s="251">
        <f t="shared" si="2"/>
        <v>0.0010601876466748593</v>
      </c>
    </row>
    <row r="56" spans="1:12" ht="12.75">
      <c r="A56" s="248" t="s">
        <v>320</v>
      </c>
      <c r="B56" s="69" t="s">
        <v>226</v>
      </c>
      <c r="C56" s="159">
        <v>11890</v>
      </c>
      <c r="D56" s="69">
        <v>3</v>
      </c>
      <c r="E56" s="70">
        <f>VLOOKUP(A56,'[1]ID Housing Units by County'!$A$5:$B$48,2,0)</f>
        <v>6890</v>
      </c>
      <c r="F56" s="251">
        <f t="shared" si="1"/>
        <v>0.0014960009657782722</v>
      </c>
      <c r="G56" s="69" t="s">
        <v>218</v>
      </c>
      <c r="H56" s="69" t="s">
        <v>226</v>
      </c>
      <c r="I56" s="70">
        <v>13743</v>
      </c>
      <c r="J56" s="69">
        <v>3</v>
      </c>
      <c r="K56" s="69">
        <f t="shared" si="3"/>
        <v>1540</v>
      </c>
      <c r="L56" s="251">
        <f t="shared" si="2"/>
        <v>0.0012837144342072767</v>
      </c>
    </row>
    <row r="57" spans="1:12" ht="12.75">
      <c r="A57" s="69" t="s">
        <v>218</v>
      </c>
      <c r="B57" s="69" t="s">
        <v>226</v>
      </c>
      <c r="C57" s="159">
        <v>15030</v>
      </c>
      <c r="D57" s="69">
        <v>3</v>
      </c>
      <c r="E57" s="70">
        <f>VLOOKUP(A57,'[1]ID Housing Units by County'!$A$5:$B$48,2,0)</f>
        <v>7537</v>
      </c>
      <c r="F57" s="251">
        <f t="shared" si="1"/>
        <v>0.0016364817531307457</v>
      </c>
      <c r="G57" s="69" t="s">
        <v>307</v>
      </c>
      <c r="H57" s="69" t="s">
        <v>226</v>
      </c>
      <c r="I57" s="70">
        <v>15030</v>
      </c>
      <c r="J57" s="69">
        <v>3</v>
      </c>
      <c r="K57" s="69">
        <f t="shared" si="3"/>
        <v>1540</v>
      </c>
      <c r="L57" s="251">
        <f t="shared" si="2"/>
        <v>0.001403931306565915</v>
      </c>
    </row>
    <row r="58" spans="1:12" ht="12.75">
      <c r="A58" s="69" t="s">
        <v>307</v>
      </c>
      <c r="B58" s="69" t="s">
        <v>226</v>
      </c>
      <c r="C58" s="159">
        <v>19949</v>
      </c>
      <c r="D58" s="69">
        <v>3</v>
      </c>
      <c r="E58" s="70">
        <f>VLOOKUP(A58,'[1]ID Housing Units by County'!$A$5:$B$48,2,0)</f>
        <v>6287</v>
      </c>
      <c r="F58" s="251">
        <f t="shared" si="1"/>
        <v>0.0013650737404714076</v>
      </c>
      <c r="G58" s="69" t="s">
        <v>335</v>
      </c>
      <c r="H58" s="69" t="s">
        <v>226</v>
      </c>
      <c r="I58" s="70">
        <v>18110</v>
      </c>
      <c r="J58" s="69">
        <v>3</v>
      </c>
      <c r="K58" s="69">
        <f t="shared" si="3"/>
        <v>1540</v>
      </c>
      <c r="L58" s="251">
        <f t="shared" si="2"/>
        <v>0.0016916298045182114</v>
      </c>
    </row>
    <row r="59" spans="1:12" ht="12.75">
      <c r="A59" s="69" t="s">
        <v>335</v>
      </c>
      <c r="B59" s="69" t="s">
        <v>226</v>
      </c>
      <c r="C59" s="159">
        <v>104807</v>
      </c>
      <c r="D59" s="69">
        <v>3</v>
      </c>
      <c r="E59" s="70">
        <f>VLOOKUP(A59,'[1]ID Housing Units by County'!$A$5:$B$48,2,0)</f>
        <v>46607</v>
      </c>
      <c r="F59" s="251">
        <f t="shared" si="1"/>
        <v>0.010119610596811022</v>
      </c>
      <c r="G59" s="69" t="s">
        <v>337</v>
      </c>
      <c r="H59" s="69" t="s">
        <v>226</v>
      </c>
      <c r="I59" s="70">
        <v>104807</v>
      </c>
      <c r="J59" s="69">
        <v>3</v>
      </c>
      <c r="K59" s="69">
        <f t="shared" si="3"/>
        <v>1540</v>
      </c>
      <c r="L59" s="251">
        <f t="shared" si="2"/>
        <v>0.009789875478859204</v>
      </c>
    </row>
    <row r="60" spans="1:12" ht="12.75">
      <c r="A60" s="69" t="s">
        <v>337</v>
      </c>
      <c r="B60" s="69" t="s">
        <v>226</v>
      </c>
      <c r="C60" s="159">
        <v>32509</v>
      </c>
      <c r="D60" s="69">
        <v>3</v>
      </c>
      <c r="E60" s="70">
        <f>VLOOKUP(A60,'[1]ID Housing Units by County'!$A$5:$B$48,2,0)</f>
        <v>13838</v>
      </c>
      <c r="F60" s="251">
        <f t="shared" si="1"/>
        <v>0.003004595263343938</v>
      </c>
      <c r="G60" s="69" t="s">
        <v>314</v>
      </c>
      <c r="H60" s="69" t="s">
        <v>226</v>
      </c>
      <c r="I60" s="70">
        <v>7978</v>
      </c>
      <c r="J60" s="69">
        <v>3</v>
      </c>
      <c r="K60" s="69">
        <f t="shared" si="3"/>
        <v>1540</v>
      </c>
      <c r="L60" s="251">
        <f t="shared" si="2"/>
        <v>0.0007452138365790333</v>
      </c>
    </row>
    <row r="61" spans="1:12" ht="12.75">
      <c r="A61" s="69" t="s">
        <v>314</v>
      </c>
      <c r="B61" s="69" t="s">
        <v>226</v>
      </c>
      <c r="C61" s="159">
        <v>3943</v>
      </c>
      <c r="D61" s="69">
        <v>3</v>
      </c>
      <c r="E61" s="70">
        <f>VLOOKUP(A61,'[1]ID Housing Units by County'!$A$5:$B$48,2,0)</f>
        <v>1795</v>
      </c>
      <c r="F61" s="251">
        <f t="shared" si="1"/>
        <v>0.0003897419061788097</v>
      </c>
      <c r="G61" s="69" t="s">
        <v>343</v>
      </c>
      <c r="H61" s="69" t="s">
        <v>226</v>
      </c>
      <c r="I61" s="70">
        <v>3839</v>
      </c>
      <c r="J61" s="69">
        <v>3</v>
      </c>
      <c r="K61" s="69">
        <f t="shared" si="3"/>
        <v>1540</v>
      </c>
      <c r="L61" s="251">
        <f t="shared" si="2"/>
        <v>0.0003585956278048268</v>
      </c>
    </row>
    <row r="62" spans="1:12" ht="12.75">
      <c r="A62" s="69" t="s">
        <v>343</v>
      </c>
      <c r="B62" s="69" t="s">
        <v>226</v>
      </c>
      <c r="C62" s="159">
        <v>24806</v>
      </c>
      <c r="D62" s="69">
        <v>3</v>
      </c>
      <c r="E62" s="70">
        <f>VLOOKUP(A62,'[1]ID Housing Units by County'!$A$5:$B$48,2,0)</f>
        <v>7630</v>
      </c>
      <c r="F62" s="251">
        <f t="shared" si="1"/>
        <v>0.0016566745092726006</v>
      </c>
      <c r="G62" s="69" t="s">
        <v>347</v>
      </c>
      <c r="H62" s="69" t="s">
        <v>226</v>
      </c>
      <c r="I62" s="70">
        <v>20284</v>
      </c>
      <c r="J62" s="69">
        <v>3</v>
      </c>
      <c r="K62" s="69">
        <f t="shared" si="3"/>
        <v>1540</v>
      </c>
      <c r="L62" s="251">
        <f t="shared" si="2"/>
        <v>0.0018947001079429818</v>
      </c>
    </row>
    <row r="63" spans="1:12" ht="12.75">
      <c r="A63" s="74" t="s">
        <v>458</v>
      </c>
      <c r="B63" s="69" t="s">
        <v>226</v>
      </c>
      <c r="C63" s="159">
        <v>36913</v>
      </c>
      <c r="D63" s="69">
        <v>3</v>
      </c>
      <c r="E63" s="70">
        <f>VLOOKUP(A63,'[1]ID Housing Units by County'!$A$5:$B$48,2,0)</f>
        <v>16203</v>
      </c>
      <c r="F63" s="251">
        <f t="shared" si="1"/>
        <v>0.003518099223295406</v>
      </c>
      <c r="G63" s="69" t="s">
        <v>300</v>
      </c>
      <c r="H63" s="69" t="s">
        <v>226</v>
      </c>
      <c r="I63" s="70">
        <v>13654</v>
      </c>
      <c r="J63" s="69">
        <v>3</v>
      </c>
      <c r="K63" s="69">
        <f t="shared" si="3"/>
        <v>1540</v>
      </c>
      <c r="L63" s="251">
        <f t="shared" si="2"/>
        <v>0.001275401068519694</v>
      </c>
    </row>
    <row r="64" spans="1:12" ht="12.75">
      <c r="A64" s="69" t="s">
        <v>300</v>
      </c>
      <c r="B64" s="69" t="s">
        <v>226</v>
      </c>
      <c r="C64" s="159">
        <v>5708</v>
      </c>
      <c r="D64" s="69">
        <v>3</v>
      </c>
      <c r="E64" s="70">
        <f>VLOOKUP(A64,'[1]ID Housing Units by County'!$A$5:$B$48,2,0)</f>
        <v>2632</v>
      </c>
      <c r="F64" s="251">
        <f t="shared" si="1"/>
        <v>0.0005714767114555026</v>
      </c>
      <c r="G64" s="69" t="s">
        <v>219</v>
      </c>
      <c r="H64" s="69" t="s">
        <v>226</v>
      </c>
      <c r="I64" s="70">
        <v>7858</v>
      </c>
      <c r="J64" s="69">
        <v>3</v>
      </c>
      <c r="K64" s="69">
        <f t="shared" si="3"/>
        <v>1540</v>
      </c>
      <c r="L64" s="251">
        <f t="shared" si="2"/>
        <v>0.0007340048041912814</v>
      </c>
    </row>
    <row r="65" spans="1:12" ht="12.75">
      <c r="A65" s="69" t="s">
        <v>219</v>
      </c>
      <c r="B65" s="69" t="s">
        <v>226</v>
      </c>
      <c r="C65" s="159">
        <v>10298</v>
      </c>
      <c r="D65" s="69">
        <v>3</v>
      </c>
      <c r="E65" s="70">
        <f>VLOOKUP(A65,'[1]ID Housing Units by County'!$A$5:$B$48,2,0)</f>
        <v>4138</v>
      </c>
      <c r="F65" s="251">
        <f t="shared" si="1"/>
        <v>0.0008984690851074732</v>
      </c>
      <c r="G65" s="69" t="s">
        <v>227</v>
      </c>
      <c r="H65" s="69" t="s">
        <v>228</v>
      </c>
      <c r="I65" s="70">
        <v>9721</v>
      </c>
      <c r="J65" s="69">
        <v>3</v>
      </c>
      <c r="K65" s="69">
        <f t="shared" si="3"/>
        <v>1540</v>
      </c>
      <c r="L65" s="251">
        <f t="shared" si="2"/>
        <v>0.0009080250320111284</v>
      </c>
    </row>
    <row r="66" spans="1:12" ht="12.75">
      <c r="A66" s="250" t="s">
        <v>466</v>
      </c>
      <c r="B66" s="69" t="s">
        <v>228</v>
      </c>
      <c r="C66" s="70">
        <v>9721</v>
      </c>
      <c r="D66" s="69">
        <v>3</v>
      </c>
      <c r="E66" s="70">
        <f>VLOOKUP(A66,'[1]MT Housing Units by County'!$A$5:$B$61,2,0)</f>
        <v>4958</v>
      </c>
      <c r="F66" s="251">
        <f t="shared" si="1"/>
        <v>0.001076512741411999</v>
      </c>
      <c r="G66" s="69" t="s">
        <v>236</v>
      </c>
      <c r="H66" s="69" t="s">
        <v>228</v>
      </c>
      <c r="I66" s="70">
        <v>72773</v>
      </c>
      <c r="J66" s="69">
        <v>3</v>
      </c>
      <c r="K66" s="69">
        <f t="shared" si="3"/>
        <v>1540</v>
      </c>
      <c r="L66" s="251">
        <f t="shared" si="2"/>
        <v>0.006797624282948857</v>
      </c>
    </row>
    <row r="67" spans="1:12" ht="12.75">
      <c r="A67" s="69" t="s">
        <v>236</v>
      </c>
      <c r="B67" s="69" t="s">
        <v>228</v>
      </c>
      <c r="C67" s="70">
        <v>72773</v>
      </c>
      <c r="D67" s="69">
        <v>3</v>
      </c>
      <c r="E67" s="70">
        <f>VLOOKUP(A67,'[1]MT Housing Units by County'!$A$5:$B$61,2,0)</f>
        <v>34773</v>
      </c>
      <c r="F67" s="251">
        <f t="shared" si="1"/>
        <v>0.007550136659362534</v>
      </c>
      <c r="G67" s="69" t="s">
        <v>242</v>
      </c>
      <c r="H67" s="69" t="s">
        <v>228</v>
      </c>
      <c r="I67" s="70">
        <v>2662</v>
      </c>
      <c r="J67" s="69">
        <v>3</v>
      </c>
      <c r="K67" s="69">
        <f t="shared" si="3"/>
        <v>1540</v>
      </c>
      <c r="L67" s="251">
        <f t="shared" si="2"/>
        <v>0.00024865370180162776</v>
      </c>
    </row>
    <row r="68" spans="1:12" ht="12.75">
      <c r="A68" s="69" t="s">
        <v>242</v>
      </c>
      <c r="B68" s="69" t="s">
        <v>228</v>
      </c>
      <c r="C68" s="70">
        <v>2662</v>
      </c>
      <c r="D68" s="69">
        <v>3</v>
      </c>
      <c r="E68" s="70">
        <f>VLOOKUP(A68,'[1]MT Housing Units by County'!$A$5:$B$61,2,0)</f>
        <v>2074</v>
      </c>
      <c r="F68" s="251">
        <f t="shared" si="1"/>
        <v>0.00045032017460437397</v>
      </c>
      <c r="G68" s="69" t="s">
        <v>254</v>
      </c>
      <c r="H68" s="69" t="s">
        <v>228</v>
      </c>
      <c r="I68" s="70">
        <v>54075</v>
      </c>
      <c r="J68" s="69">
        <v>3</v>
      </c>
      <c r="K68" s="69">
        <f t="shared" si="3"/>
        <v>1540</v>
      </c>
      <c r="L68" s="251">
        <f t="shared" si="2"/>
        <v>0.005051070219730662</v>
      </c>
    </row>
    <row r="69" spans="1:12" ht="12.75">
      <c r="A69" s="74" t="s">
        <v>460</v>
      </c>
      <c r="B69" s="69" t="s">
        <v>228</v>
      </c>
      <c r="C69" s="70">
        <v>54075</v>
      </c>
      <c r="D69" s="69">
        <v>3</v>
      </c>
      <c r="E69" s="70">
        <f>VLOOKUP(A69,'[1]MT Housing Units by County'!$A$5:$B$61,2,0)</f>
        <v>25672</v>
      </c>
      <c r="F69" s="251">
        <f t="shared" si="1"/>
        <v>0.005574069200792424</v>
      </c>
      <c r="G69" s="69" t="s">
        <v>259</v>
      </c>
      <c r="H69" s="69" t="s">
        <v>228</v>
      </c>
      <c r="I69" s="70">
        <v>18819</v>
      </c>
      <c r="J69" s="69">
        <v>3</v>
      </c>
      <c r="K69" s="69">
        <f t="shared" si="3"/>
        <v>1540</v>
      </c>
      <c r="L69" s="251">
        <f t="shared" si="2"/>
        <v>0.0017578565042091784</v>
      </c>
    </row>
    <row r="70" spans="1:12" ht="12.75">
      <c r="A70" s="74" t="s">
        <v>284</v>
      </c>
      <c r="B70" s="69" t="s">
        <v>228</v>
      </c>
      <c r="C70" s="70">
        <v>18819</v>
      </c>
      <c r="D70" s="69">
        <v>3</v>
      </c>
      <c r="E70" s="70">
        <f>VLOOKUP(A70,'[1]MT Housing Units by County'!$A$5:$B$61,2,0)</f>
        <v>9319</v>
      </c>
      <c r="F70" s="251">
        <f t="shared" si="1"/>
        <v>0.0020234010159778985</v>
      </c>
      <c r="G70" s="69" t="s">
        <v>276</v>
      </c>
      <c r="H70" s="69" t="s">
        <v>228</v>
      </c>
      <c r="I70" s="70">
        <v>6945</v>
      </c>
      <c r="J70" s="69">
        <v>3</v>
      </c>
      <c r="K70" s="69">
        <f t="shared" si="3"/>
        <v>1540</v>
      </c>
      <c r="L70" s="251">
        <f t="shared" si="2"/>
        <v>0.0006487227494411363</v>
      </c>
    </row>
    <row r="71" spans="1:12" ht="12.75">
      <c r="A71" s="74" t="s">
        <v>462</v>
      </c>
      <c r="B71" s="69" t="s">
        <v>228</v>
      </c>
      <c r="C71" s="70">
        <v>6945</v>
      </c>
      <c r="D71" s="69">
        <v>3</v>
      </c>
      <c r="E71" s="70">
        <f>VLOOKUP(A71,'[1]MT Housing Units by County'!$A$5:$B$61,2,0)</f>
        <v>2930</v>
      </c>
      <c r="F71" s="251">
        <f t="shared" si="1"/>
        <v>0.0006361803816734888</v>
      </c>
      <c r="G71" s="69" t="s">
        <v>282</v>
      </c>
      <c r="H71" s="69" t="s">
        <v>228</v>
      </c>
      <c r="I71" s="70">
        <v>35811</v>
      </c>
      <c r="J71" s="69">
        <v>3</v>
      </c>
      <c r="K71" s="69">
        <f t="shared" si="3"/>
        <v>1540</v>
      </c>
      <c r="L71" s="251">
        <f t="shared" si="2"/>
        <v>0.0033450554903148356</v>
      </c>
    </row>
    <row r="72" spans="1:12" ht="12.75">
      <c r="A72" s="74" t="s">
        <v>463</v>
      </c>
      <c r="B72" s="69" t="s">
        <v>228</v>
      </c>
      <c r="C72" s="70">
        <v>35811</v>
      </c>
      <c r="D72" s="69">
        <v>3</v>
      </c>
      <c r="E72" s="70">
        <f>VLOOKUP(A72,'[1]MT Housing Units by County'!$A$5:$B$61,2,0)</f>
        <v>15946</v>
      </c>
      <c r="F72" s="251">
        <f t="shared" si="1"/>
        <v>0.003462297735892646</v>
      </c>
      <c r="G72" s="69" t="s">
        <v>293</v>
      </c>
      <c r="H72" s="69" t="s">
        <v>228</v>
      </c>
      <c r="I72" s="70">
        <v>67908</v>
      </c>
      <c r="J72" s="69">
        <v>3</v>
      </c>
      <c r="K72" s="69">
        <f t="shared" si="3"/>
        <v>1540</v>
      </c>
      <c r="L72" s="251">
        <f t="shared" si="2"/>
        <v>0.0063431914282287526</v>
      </c>
    </row>
    <row r="73" spans="1:12" ht="12.75">
      <c r="A73" s="74" t="s">
        <v>465</v>
      </c>
      <c r="B73" s="69" t="s">
        <v>228</v>
      </c>
      <c r="C73" s="70">
        <v>67908</v>
      </c>
      <c r="D73" s="69">
        <v>3</v>
      </c>
      <c r="E73" s="70">
        <f>VLOOKUP(A73,'[1]MT Housing Units by County'!$A$5:$B$61,2,0)</f>
        <v>16176</v>
      </c>
      <c r="F73" s="251">
        <f t="shared" si="1"/>
        <v>0.003512236810221964</v>
      </c>
      <c r="G73" s="69" t="s">
        <v>231</v>
      </c>
      <c r="H73" s="69" t="s">
        <v>232</v>
      </c>
      <c r="I73" s="70">
        <v>15235</v>
      </c>
      <c r="J73" s="69">
        <v>3</v>
      </c>
      <c r="K73" s="69">
        <f t="shared" si="3"/>
        <v>1540</v>
      </c>
      <c r="L73" s="251">
        <f t="shared" si="2"/>
        <v>0.0014230800702283242</v>
      </c>
    </row>
    <row r="74" spans="1:12" ht="12.75">
      <c r="A74" s="69" t="s">
        <v>298</v>
      </c>
      <c r="B74" s="69" t="s">
        <v>228</v>
      </c>
      <c r="C74" s="69"/>
      <c r="D74" s="69">
        <v>3</v>
      </c>
      <c r="E74" s="70"/>
      <c r="F74" s="251">
        <f t="shared" si="1"/>
        <v>0</v>
      </c>
      <c r="G74" s="69" t="s">
        <v>238</v>
      </c>
      <c r="H74" s="69" t="s">
        <v>232</v>
      </c>
      <c r="I74" s="70">
        <v>21206</v>
      </c>
      <c r="J74" s="69">
        <v>3</v>
      </c>
      <c r="K74" s="69">
        <f aca="true" t="shared" si="4" ref="K74:K105">IF(J74=1,B$2)+IF(J74=2,B$3)+IF(J74=3,B$4)+IF(J74=4,B$5)+IF(J74=5,B$6)</f>
        <v>1540</v>
      </c>
      <c r="L74" s="251">
        <f t="shared" si="2"/>
        <v>0.0019808228401222085</v>
      </c>
    </row>
    <row r="75" spans="1:12" ht="12.75">
      <c r="A75" s="69" t="s">
        <v>229</v>
      </c>
      <c r="B75" s="69" t="s">
        <v>230</v>
      </c>
      <c r="C75" s="70">
        <v>16259</v>
      </c>
      <c r="D75" s="69">
        <v>3</v>
      </c>
      <c r="E75" s="70">
        <f>VLOOKUP(A75,'[1]OR Housing Units by County'!$A$5:$B$61,2,0)</f>
        <v>8402</v>
      </c>
      <c r="F75" s="251">
        <f aca="true" t="shared" si="5" ref="F75:F138">E75/E$155</f>
        <v>0.0018242960978910078</v>
      </c>
      <c r="G75" s="69" t="s">
        <v>237</v>
      </c>
      <c r="H75" s="69" t="s">
        <v>232</v>
      </c>
      <c r="I75" s="70">
        <v>137844</v>
      </c>
      <c r="J75" s="69">
        <v>3</v>
      </c>
      <c r="K75" s="69">
        <f t="shared" si="4"/>
        <v>1540</v>
      </c>
      <c r="L75" s="251">
        <f aca="true" t="shared" si="6" ref="L75:L138">I75/I$139</f>
        <v>0.012875815503810511</v>
      </c>
    </row>
    <row r="76" spans="1:12" ht="12.75">
      <c r="A76" s="69" t="s">
        <v>260</v>
      </c>
      <c r="B76" s="69" t="s">
        <v>230</v>
      </c>
      <c r="C76" s="70">
        <v>61670</v>
      </c>
      <c r="D76" s="69">
        <v>3</v>
      </c>
      <c r="E76" s="70">
        <f>VLOOKUP(A76,'[1]OR Housing Units by County'!$A$5:$B$61,2,0)</f>
        <v>29247</v>
      </c>
      <c r="F76" s="251">
        <f t="shared" si="5"/>
        <v>0.006350296116998132</v>
      </c>
      <c r="G76" s="69" t="s">
        <v>249</v>
      </c>
      <c r="H76" s="69" t="s">
        <v>232</v>
      </c>
      <c r="I76" s="70">
        <v>60835</v>
      </c>
      <c r="J76" s="69">
        <v>3</v>
      </c>
      <c r="K76" s="69">
        <f t="shared" si="4"/>
        <v>1540</v>
      </c>
      <c r="L76" s="251">
        <f t="shared" si="6"/>
        <v>0.005682512377574014</v>
      </c>
    </row>
    <row r="77" spans="1:12" ht="12.75">
      <c r="A77" s="69" t="s">
        <v>271</v>
      </c>
      <c r="B77" s="69" t="s">
        <v>230</v>
      </c>
      <c r="C77" s="70">
        <v>21170</v>
      </c>
      <c r="D77" s="69">
        <v>3</v>
      </c>
      <c r="E77" s="70">
        <f>VLOOKUP(A77,'[1]OR Housing Units by County'!$A$5:$B$61,2,0)</f>
        <v>11406</v>
      </c>
      <c r="F77" s="251">
        <f t="shared" si="5"/>
        <v>0.0024765438339139296</v>
      </c>
      <c r="G77" s="69" t="s">
        <v>255</v>
      </c>
      <c r="H77" s="69" t="s">
        <v>232</v>
      </c>
      <c r="I77" s="70">
        <v>4155</v>
      </c>
      <c r="J77" s="69">
        <v>3</v>
      </c>
      <c r="K77" s="69">
        <f t="shared" si="4"/>
        <v>1540</v>
      </c>
      <c r="L77" s="251">
        <f t="shared" si="6"/>
        <v>0.0003881127464259066</v>
      </c>
    </row>
    <row r="78" spans="1:12" ht="12.75">
      <c r="A78" s="69" t="s">
        <v>278</v>
      </c>
      <c r="B78" s="69" t="s">
        <v>230</v>
      </c>
      <c r="C78" s="70">
        <v>101805</v>
      </c>
      <c r="D78" s="69">
        <v>3</v>
      </c>
      <c r="E78" s="70">
        <f>VLOOKUP(A78,'[1]OR Housing Units by County'!$A$5:$B$61,2,0)</f>
        <v>43284</v>
      </c>
      <c r="F78" s="251">
        <f t="shared" si="5"/>
        <v>0.009398099535957436</v>
      </c>
      <c r="G78" s="69" t="s">
        <v>278</v>
      </c>
      <c r="H78" s="69" t="s">
        <v>232</v>
      </c>
      <c r="I78" s="70">
        <v>34191</v>
      </c>
      <c r="J78" s="69">
        <v>3</v>
      </c>
      <c r="K78" s="69">
        <f t="shared" si="4"/>
        <v>1540</v>
      </c>
      <c r="L78" s="251">
        <f t="shared" si="6"/>
        <v>0.003193733553080186</v>
      </c>
    </row>
    <row r="79" spans="1:12" ht="12.75">
      <c r="A79" s="69" t="s">
        <v>288</v>
      </c>
      <c r="B79" s="69" t="s">
        <v>230</v>
      </c>
      <c r="C79" s="70">
        <v>2074</v>
      </c>
      <c r="D79" s="69">
        <v>3</v>
      </c>
      <c r="E79" s="70">
        <f>VLOOKUP(A79,'[1]OR Housing Units by County'!$A$5:$B$61,2,0)</f>
        <v>1043</v>
      </c>
      <c r="F79" s="251">
        <f t="shared" si="5"/>
        <v>0.0002264628457629518</v>
      </c>
      <c r="G79" s="69" t="s">
        <v>283</v>
      </c>
      <c r="H79" s="69" t="s">
        <v>232</v>
      </c>
      <c r="I79" s="70">
        <v>7188</v>
      </c>
      <c r="J79" s="69">
        <v>3</v>
      </c>
      <c r="K79" s="69">
        <f t="shared" si="4"/>
        <v>1540</v>
      </c>
      <c r="L79" s="251">
        <f t="shared" si="6"/>
        <v>0.0006714210400263338</v>
      </c>
    </row>
    <row r="80" spans="1:12" ht="12.75">
      <c r="A80" s="69" t="s">
        <v>304</v>
      </c>
      <c r="B80" s="69" t="s">
        <v>230</v>
      </c>
      <c r="C80" s="70">
        <v>175822</v>
      </c>
      <c r="D80" s="69">
        <v>3</v>
      </c>
      <c r="E80" s="70">
        <f>VLOOKUP(A80,'[1]OR Housing Units by County'!$A$5:$B$61,2,0)</f>
        <v>75737</v>
      </c>
      <c r="F80" s="251">
        <f t="shared" si="5"/>
        <v>0.01644450292382424</v>
      </c>
      <c r="G80" s="69" t="s">
        <v>289</v>
      </c>
      <c r="H80" s="69" t="s">
        <v>232</v>
      </c>
      <c r="I80" s="70">
        <v>46782</v>
      </c>
      <c r="J80" s="69">
        <v>3</v>
      </c>
      <c r="K80" s="69">
        <f t="shared" si="4"/>
        <v>1540</v>
      </c>
      <c r="L80" s="251">
        <f t="shared" si="6"/>
        <v>0.004369841276365046</v>
      </c>
    </row>
    <row r="81" spans="1:12" ht="12.75">
      <c r="A81" s="69" t="s">
        <v>307</v>
      </c>
      <c r="B81" s="69" t="s">
        <v>230</v>
      </c>
      <c r="C81" s="70">
        <v>16861</v>
      </c>
      <c r="D81" s="69">
        <v>3</v>
      </c>
      <c r="E81" s="70">
        <f>VLOOKUP(A81,'[1]OR Housing Units by County'!$A$5:$B$61,2,0)</f>
        <v>8319</v>
      </c>
      <c r="F81" s="251">
        <f t="shared" si="5"/>
        <v>0.0018062746058504276</v>
      </c>
      <c r="G81" s="69" t="s">
        <v>295</v>
      </c>
      <c r="H81" s="69" t="s">
        <v>232</v>
      </c>
      <c r="I81" s="70">
        <v>2339</v>
      </c>
      <c r="J81" s="69">
        <v>3</v>
      </c>
      <c r="K81" s="69">
        <f t="shared" si="4"/>
        <v>1540</v>
      </c>
      <c r="L81" s="251">
        <f t="shared" si="6"/>
        <v>0.00021848272295792913</v>
      </c>
    </row>
    <row r="82" spans="1:12" ht="12.75">
      <c r="A82" s="69" t="s">
        <v>308</v>
      </c>
      <c r="B82" s="69" t="s">
        <v>230</v>
      </c>
      <c r="C82" s="70">
        <v>74919</v>
      </c>
      <c r="D82" s="69">
        <v>3</v>
      </c>
      <c r="E82" s="70">
        <f>VLOOKUP(A82,'[1]OR Housing Units by County'!$A$5:$B$61,2,0)</f>
        <v>33239</v>
      </c>
      <c r="F82" s="251">
        <f t="shared" si="5"/>
        <v>0.007217064746226995</v>
      </c>
      <c r="G82" s="69" t="s">
        <v>294</v>
      </c>
      <c r="H82" s="69" t="s">
        <v>232</v>
      </c>
      <c r="I82" s="70">
        <v>72019</v>
      </c>
      <c r="J82" s="69">
        <v>3</v>
      </c>
      <c r="K82" s="69">
        <f t="shared" si="4"/>
        <v>1540</v>
      </c>
      <c r="L82" s="251">
        <f t="shared" si="6"/>
        <v>0.006727194196112484</v>
      </c>
    </row>
    <row r="83" spans="1:12" ht="12.75">
      <c r="A83" s="69" t="s">
        <v>330</v>
      </c>
      <c r="B83" s="69" t="s">
        <v>230</v>
      </c>
      <c r="C83" s="70">
        <v>10513</v>
      </c>
      <c r="D83" s="69">
        <v>3</v>
      </c>
      <c r="E83" s="70">
        <f>VLOOKUP(A83,'[1]OR Housing Units by County'!$A$5:$B$61,2,0)</f>
        <v>4276</v>
      </c>
      <c r="F83" s="251">
        <f t="shared" si="5"/>
        <v>0.0009284325297050642</v>
      </c>
      <c r="G83" s="69" t="s">
        <v>307</v>
      </c>
      <c r="H83" s="69" t="s">
        <v>232</v>
      </c>
      <c r="I83" s="70">
        <v>26748</v>
      </c>
      <c r="J83" s="69">
        <v>3</v>
      </c>
      <c r="K83" s="69">
        <f t="shared" si="4"/>
        <v>1540</v>
      </c>
      <c r="L83" s="251">
        <f t="shared" si="6"/>
        <v>0.0024984933192298796</v>
      </c>
    </row>
    <row r="84" spans="1:12" ht="12.75">
      <c r="A84" s="69" t="s">
        <v>336</v>
      </c>
      <c r="B84" s="69" t="s">
        <v>230</v>
      </c>
      <c r="C84" s="70">
        <v>1786</v>
      </c>
      <c r="D84" s="69">
        <v>3</v>
      </c>
      <c r="E84" s="70">
        <f>VLOOKUP(A84,'[1]OR Housing Units by County'!$A$5:$B$61,2,0)</f>
        <v>935</v>
      </c>
      <c r="F84" s="251">
        <f t="shared" si="5"/>
        <v>0.000203013193469185</v>
      </c>
      <c r="G84" s="69" t="s">
        <v>313</v>
      </c>
      <c r="H84" s="69" t="s">
        <v>232</v>
      </c>
      <c r="I84" s="70">
        <v>32021</v>
      </c>
      <c r="J84" s="69">
        <v>3</v>
      </c>
      <c r="K84" s="69">
        <f t="shared" si="4"/>
        <v>1540</v>
      </c>
      <c r="L84" s="251">
        <f t="shared" si="6"/>
        <v>0.0029910368840683405</v>
      </c>
    </row>
    <row r="85" spans="1:12" ht="12.75">
      <c r="A85" s="69" t="s">
        <v>340</v>
      </c>
      <c r="B85" s="69" t="s">
        <v>230</v>
      </c>
      <c r="C85" s="70">
        <v>66803</v>
      </c>
      <c r="D85" s="69">
        <v>3</v>
      </c>
      <c r="E85" s="70">
        <f>VLOOKUP(A85,'[1]OR Housing Units by County'!$A$5:$B$61,2,0)</f>
        <v>27676</v>
      </c>
      <c r="F85" s="251">
        <f t="shared" si="5"/>
        <v>0.006009190526687876</v>
      </c>
      <c r="G85" s="69" t="s">
        <v>317</v>
      </c>
      <c r="H85" s="69" t="s">
        <v>232</v>
      </c>
      <c r="I85" s="70">
        <v>19530</v>
      </c>
      <c r="J85" s="69">
        <v>3</v>
      </c>
      <c r="K85" s="69">
        <f t="shared" si="4"/>
        <v>1540</v>
      </c>
      <c r="L85" s="251">
        <f t="shared" si="6"/>
        <v>0.001824270021106608</v>
      </c>
    </row>
    <row r="86" spans="1:12" ht="12.75">
      <c r="A86" s="69" t="s">
        <v>341</v>
      </c>
      <c r="B86" s="69" t="s">
        <v>230</v>
      </c>
      <c r="C86" s="70">
        <v>24807</v>
      </c>
      <c r="D86" s="69">
        <v>3</v>
      </c>
      <c r="E86" s="70">
        <f>VLOOKUP(A86,'[1]OR Housing Units by County'!$A$5:$B$61,2,0)</f>
        <v>10603</v>
      </c>
      <c r="F86" s="251">
        <f t="shared" si="5"/>
        <v>0.0023021913265815707</v>
      </c>
      <c r="G86" s="69" t="s">
        <v>284</v>
      </c>
      <c r="H86" s="69" t="s">
        <v>232</v>
      </c>
      <c r="I86" s="70">
        <v>9759</v>
      </c>
      <c r="J86" s="69">
        <v>3</v>
      </c>
      <c r="K86" s="69">
        <f t="shared" si="4"/>
        <v>1540</v>
      </c>
      <c r="L86" s="251">
        <f t="shared" si="6"/>
        <v>0.0009115745589339164</v>
      </c>
    </row>
    <row r="87" spans="1:12" ht="12.75">
      <c r="A87" s="69" t="s">
        <v>342</v>
      </c>
      <c r="B87" s="69" t="s">
        <v>230</v>
      </c>
      <c r="C87" s="70">
        <v>7258</v>
      </c>
      <c r="D87" s="69">
        <v>3</v>
      </c>
      <c r="E87" s="70">
        <f>VLOOKUP(A87,'[1]OR Housing Units by County'!$A$5:$B$61,2,0)</f>
        <v>3900</v>
      </c>
      <c r="F87" s="251">
        <f t="shared" si="5"/>
        <v>0.0008467929994971352</v>
      </c>
      <c r="G87" s="69" t="s">
        <v>328</v>
      </c>
      <c r="H87" s="69" t="s">
        <v>232</v>
      </c>
      <c r="I87" s="70">
        <v>38432</v>
      </c>
      <c r="J87" s="69">
        <v>3</v>
      </c>
      <c r="K87" s="69">
        <f t="shared" si="4"/>
        <v>1540</v>
      </c>
      <c r="L87" s="251">
        <f t="shared" si="6"/>
        <v>0.0035898794393839813</v>
      </c>
    </row>
    <row r="88" spans="1:12" ht="12.75">
      <c r="A88" s="69" t="s">
        <v>344</v>
      </c>
      <c r="B88" s="69" t="s">
        <v>230</v>
      </c>
      <c r="C88" s="70">
        <v>23346</v>
      </c>
      <c r="D88" s="69">
        <v>3</v>
      </c>
      <c r="E88" s="70">
        <f>VLOOKUP(A88,'[1]OR Housing Units by County'!$A$5:$B$61,2,0)</f>
        <v>10651</v>
      </c>
      <c r="F88" s="251">
        <f t="shared" si="5"/>
        <v>0.002312613394267689</v>
      </c>
      <c r="G88" s="69" t="s">
        <v>332</v>
      </c>
      <c r="H88" s="69" t="s">
        <v>232</v>
      </c>
      <c r="I88" s="70">
        <v>11604</v>
      </c>
      <c r="J88" s="69">
        <v>3</v>
      </c>
      <c r="K88" s="69">
        <f t="shared" si="4"/>
        <v>1540</v>
      </c>
      <c r="L88" s="251">
        <f t="shared" si="6"/>
        <v>0.0010839134318956006</v>
      </c>
    </row>
    <row r="89" spans="1:12" ht="12.75">
      <c r="A89" s="69" t="s">
        <v>231</v>
      </c>
      <c r="B89" s="69" t="s">
        <v>232</v>
      </c>
      <c r="C89" s="70">
        <v>15235</v>
      </c>
      <c r="D89" s="69">
        <v>3</v>
      </c>
      <c r="E89" s="70">
        <f>VLOOKUP(A89,'[1]WA Housing Units by County'!$A$5:$B$61,2,0)</f>
        <v>5773</v>
      </c>
      <c r="F89" s="251">
        <f t="shared" si="5"/>
        <v>0.0012534707656658877</v>
      </c>
      <c r="G89" s="69" t="s">
        <v>162</v>
      </c>
      <c r="H89" s="69" t="s">
        <v>232</v>
      </c>
      <c r="I89" s="70">
        <v>409736</v>
      </c>
      <c r="J89" s="69">
        <v>3</v>
      </c>
      <c r="K89" s="69">
        <f t="shared" si="4"/>
        <v>1540</v>
      </c>
      <c r="L89" s="251">
        <f t="shared" si="6"/>
        <v>0.03827286745356565</v>
      </c>
    </row>
    <row r="90" spans="1:12" ht="12.75">
      <c r="A90" s="69" t="s">
        <v>238</v>
      </c>
      <c r="B90" s="69" t="s">
        <v>232</v>
      </c>
      <c r="C90" s="70">
        <v>21206</v>
      </c>
      <c r="D90" s="69">
        <v>3</v>
      </c>
      <c r="E90" s="70">
        <f>VLOOKUP(A90,'[1]WA Housing Units by County'!$A$5:$B$61,2,0)</f>
        <v>9111</v>
      </c>
      <c r="F90" s="251">
        <f t="shared" si="5"/>
        <v>0.0019782387226713843</v>
      </c>
      <c r="G90" s="69" t="s">
        <v>345</v>
      </c>
      <c r="H90" s="69" t="s">
        <v>232</v>
      </c>
      <c r="I90" s="70">
        <v>40137</v>
      </c>
      <c r="J90" s="69">
        <v>3</v>
      </c>
      <c r="K90" s="69">
        <f t="shared" si="4"/>
        <v>1540</v>
      </c>
      <c r="L90" s="251">
        <f t="shared" si="6"/>
        <v>0.0037491411078932886</v>
      </c>
    </row>
    <row r="91" spans="1:12" ht="12.75">
      <c r="A91" s="69" t="s">
        <v>237</v>
      </c>
      <c r="B91" s="69" t="s">
        <v>232</v>
      </c>
      <c r="C91" s="70">
        <v>137844</v>
      </c>
      <c r="D91" s="69">
        <v>3</v>
      </c>
      <c r="E91" s="70">
        <f>VLOOKUP(A91,'[1]WA Housing Units by County'!$A$5:$B$61,2,0)</f>
        <v>55963</v>
      </c>
      <c r="F91" s="251">
        <f t="shared" si="5"/>
        <v>0.012151045289963636</v>
      </c>
      <c r="G91" s="69" t="s">
        <v>351</v>
      </c>
      <c r="H91" s="69" t="s">
        <v>232</v>
      </c>
      <c r="I91" s="70">
        <v>53854</v>
      </c>
      <c r="J91" s="69">
        <v>3</v>
      </c>
      <c r="K91" s="69">
        <f t="shared" si="4"/>
        <v>1540</v>
      </c>
      <c r="L91" s="251">
        <f t="shared" si="6"/>
        <v>0.005030426918416552</v>
      </c>
    </row>
    <row r="92" spans="1:12" ht="12.75">
      <c r="A92" s="69" t="s">
        <v>249</v>
      </c>
      <c r="B92" s="69" t="s">
        <v>232</v>
      </c>
      <c r="C92" s="70">
        <v>60835</v>
      </c>
      <c r="D92" s="69">
        <v>3</v>
      </c>
      <c r="E92" s="70">
        <f>VLOOKUP(A92,'[1]WA Housing Units by County'!$A$5:$B$61,2,0)</f>
        <v>30407</v>
      </c>
      <c r="F92" s="251">
        <f t="shared" si="5"/>
        <v>0.0066021627527459974</v>
      </c>
      <c r="G92" s="69" t="s">
        <v>354</v>
      </c>
      <c r="H92" s="69" t="s">
        <v>232</v>
      </c>
      <c r="I92" s="70">
        <v>38386</v>
      </c>
      <c r="J92" s="69">
        <v>3</v>
      </c>
      <c r="K92" s="69">
        <f t="shared" si="4"/>
        <v>1540</v>
      </c>
      <c r="L92" s="251">
        <f t="shared" si="6"/>
        <v>0.0035855826436353433</v>
      </c>
    </row>
    <row r="93" spans="1:12" ht="12.75">
      <c r="A93" s="69" t="s">
        <v>255</v>
      </c>
      <c r="B93" s="69" t="s">
        <v>232</v>
      </c>
      <c r="C93" s="70">
        <v>4155</v>
      </c>
      <c r="D93" s="69">
        <v>3</v>
      </c>
      <c r="E93" s="70">
        <f>VLOOKUP(A93,'[1]WA Housing Units by County'!$A$5:$B$61,2,0)</f>
        <v>2018</v>
      </c>
      <c r="F93" s="251">
        <f t="shared" si="5"/>
        <v>0.0004381610956372356</v>
      </c>
      <c r="G93" s="69" t="s">
        <v>356</v>
      </c>
      <c r="H93" s="69" t="s">
        <v>232</v>
      </c>
      <c r="I93" s="70">
        <v>220785</v>
      </c>
      <c r="J93" s="69">
        <v>3</v>
      </c>
      <c r="K93" s="69">
        <f t="shared" si="4"/>
        <v>1540</v>
      </c>
      <c r="L93" s="251">
        <f t="shared" si="6"/>
        <v>0.020623218464414873</v>
      </c>
    </row>
    <row r="94" spans="1:12" ht="12.75">
      <c r="A94" s="69" t="s">
        <v>278</v>
      </c>
      <c r="B94" s="69" t="s">
        <v>232</v>
      </c>
      <c r="C94" s="70">
        <v>34191</v>
      </c>
      <c r="D94" s="69">
        <v>3</v>
      </c>
      <c r="E94" s="70">
        <f>VLOOKUP(A94,'[1]WA Housing Units by County'!$A$5:$B$61,2,0)</f>
        <v>12944</v>
      </c>
      <c r="F94" s="251">
        <f t="shared" si="5"/>
        <v>0.002810484252689979</v>
      </c>
      <c r="G94" s="69" t="s">
        <v>229</v>
      </c>
      <c r="H94" s="69" t="s">
        <v>230</v>
      </c>
      <c r="I94" s="70">
        <v>16259</v>
      </c>
      <c r="J94" s="69">
        <v>3</v>
      </c>
      <c r="K94" s="69">
        <f t="shared" si="4"/>
        <v>1540</v>
      </c>
      <c r="L94" s="251">
        <f t="shared" si="6"/>
        <v>0.0015187304799371398</v>
      </c>
    </row>
    <row r="95" spans="1:12" ht="12.75">
      <c r="A95" s="69" t="s">
        <v>283</v>
      </c>
      <c r="B95" s="69" t="s">
        <v>232</v>
      </c>
      <c r="C95" s="70">
        <v>7188</v>
      </c>
      <c r="D95" s="69">
        <v>3</v>
      </c>
      <c r="E95" s="70">
        <f>VLOOKUP(A95,'[1]WA Housing Units by County'!$A$5:$B$61,2,0)</f>
        <v>3775</v>
      </c>
      <c r="F95" s="251">
        <f t="shared" si="5"/>
        <v>0.0008196521982312015</v>
      </c>
      <c r="G95" s="69" t="s">
        <v>260</v>
      </c>
      <c r="H95" s="69" t="s">
        <v>230</v>
      </c>
      <c r="I95" s="70">
        <v>61670</v>
      </c>
      <c r="J95" s="69">
        <v>3</v>
      </c>
      <c r="K95" s="69">
        <f t="shared" si="4"/>
        <v>1540</v>
      </c>
      <c r="L95" s="251">
        <f t="shared" si="6"/>
        <v>0.005760508561272121</v>
      </c>
    </row>
    <row r="96" spans="1:12" ht="12.75">
      <c r="A96" s="69" t="s">
        <v>289</v>
      </c>
      <c r="B96" s="69" t="s">
        <v>232</v>
      </c>
      <c r="C96" s="70">
        <v>46782</v>
      </c>
      <c r="D96" s="69">
        <v>3</v>
      </c>
      <c r="E96" s="70">
        <f>VLOOKUP(A96,'[1]WA Housing Units by County'!$A$5:$B$61,2,0)</f>
        <v>16084</v>
      </c>
      <c r="F96" s="251">
        <f t="shared" si="5"/>
        <v>0.003492261180490237</v>
      </c>
      <c r="G96" s="69" t="s">
        <v>271</v>
      </c>
      <c r="H96" s="69" t="s">
        <v>230</v>
      </c>
      <c r="I96" s="70">
        <v>21170</v>
      </c>
      <c r="J96" s="69">
        <v>3</v>
      </c>
      <c r="K96" s="69">
        <f t="shared" si="4"/>
        <v>1540</v>
      </c>
      <c r="L96" s="251">
        <f t="shared" si="6"/>
        <v>0.0019774601304058826</v>
      </c>
    </row>
    <row r="97" spans="1:12" ht="12.75">
      <c r="A97" s="69" t="s">
        <v>295</v>
      </c>
      <c r="B97" s="69" t="s">
        <v>232</v>
      </c>
      <c r="C97" s="70">
        <v>2339</v>
      </c>
      <c r="D97" s="69">
        <v>3</v>
      </c>
      <c r="E97" s="70">
        <f>VLOOKUP(A97,'[1]WA Housing Units by County'!$A$5:$B$61,2,0)</f>
        <v>1288</v>
      </c>
      <c r="F97" s="251">
        <f t="shared" si="5"/>
        <v>0.0002796588162441821</v>
      </c>
      <c r="G97" s="69" t="s">
        <v>278</v>
      </c>
      <c r="H97" s="69" t="s">
        <v>230</v>
      </c>
      <c r="I97" s="70">
        <v>101805</v>
      </c>
      <c r="J97" s="69">
        <v>3</v>
      </c>
      <c r="K97" s="69">
        <f t="shared" si="4"/>
        <v>1540</v>
      </c>
      <c r="L97" s="251">
        <f t="shared" si="6"/>
        <v>0.009509462851958946</v>
      </c>
    </row>
    <row r="98" spans="1:12" ht="12.75">
      <c r="A98" s="69" t="s">
        <v>294</v>
      </c>
      <c r="B98" s="69" t="s">
        <v>232</v>
      </c>
      <c r="C98" s="70">
        <v>72019</v>
      </c>
      <c r="D98" s="69">
        <v>3</v>
      </c>
      <c r="E98" s="70">
        <f>VLOOKUP(A98,'[1]WA Housing Units by County'!$A$5:$B$61,2,0)</f>
        <v>29081</v>
      </c>
      <c r="F98" s="251">
        <f t="shared" si="5"/>
        <v>0.006314253132916971</v>
      </c>
      <c r="G98" s="69" t="s">
        <v>288</v>
      </c>
      <c r="H98" s="69" t="s">
        <v>230</v>
      </c>
      <c r="I98" s="70">
        <v>2074</v>
      </c>
      <c r="J98" s="69">
        <v>3</v>
      </c>
      <c r="K98" s="69">
        <f t="shared" si="4"/>
        <v>1540</v>
      </c>
      <c r="L98" s="251">
        <f t="shared" si="6"/>
        <v>0.00019372944310164388</v>
      </c>
    </row>
    <row r="99" spans="1:12" ht="12.75">
      <c r="A99" s="69" t="s">
        <v>307</v>
      </c>
      <c r="B99" s="69" t="s">
        <v>232</v>
      </c>
      <c r="C99" s="70">
        <v>26748</v>
      </c>
      <c r="D99" s="69">
        <v>3</v>
      </c>
      <c r="E99" s="70">
        <f>VLOOKUP(A99,'[1]WA Housing Units by County'!$A$5:$B$61,2,0)</f>
        <v>14144</v>
      </c>
      <c r="F99" s="251">
        <f t="shared" si="5"/>
        <v>0.0030710359448429436</v>
      </c>
      <c r="G99" s="69" t="s">
        <v>304</v>
      </c>
      <c r="H99" s="69" t="s">
        <v>230</v>
      </c>
      <c r="I99" s="70">
        <v>175822</v>
      </c>
      <c r="J99" s="69">
        <v>3</v>
      </c>
      <c r="K99" s="69">
        <f t="shared" si="4"/>
        <v>1540</v>
      </c>
      <c r="L99" s="251">
        <f t="shared" si="6"/>
        <v>0.0164232874373275</v>
      </c>
    </row>
    <row r="100" spans="1:12" ht="12.75">
      <c r="A100" s="69" t="s">
        <v>313</v>
      </c>
      <c r="B100" s="69" t="s">
        <v>232</v>
      </c>
      <c r="C100" s="70">
        <v>32021</v>
      </c>
      <c r="D100" s="69">
        <v>3</v>
      </c>
      <c r="E100" s="70">
        <f>VLOOKUP(A100,'[1]WA Housing Units by County'!$A$5:$B$61,2,0)</f>
        <v>16475</v>
      </c>
      <c r="F100" s="251">
        <f t="shared" si="5"/>
        <v>0.0035771576068500776</v>
      </c>
      <c r="G100" s="69" t="s">
        <v>307</v>
      </c>
      <c r="H100" s="69" t="s">
        <v>230</v>
      </c>
      <c r="I100" s="70">
        <v>16861</v>
      </c>
      <c r="J100" s="69">
        <v>3</v>
      </c>
      <c r="K100" s="69">
        <f t="shared" si="4"/>
        <v>1540</v>
      </c>
      <c r="L100" s="251">
        <f t="shared" si="6"/>
        <v>0.0015749624590823614</v>
      </c>
    </row>
    <row r="101" spans="1:12" ht="12.75">
      <c r="A101" s="69" t="s">
        <v>317</v>
      </c>
      <c r="B101" s="69" t="s">
        <v>232</v>
      </c>
      <c r="C101" s="70">
        <v>19530</v>
      </c>
      <c r="D101" s="69">
        <v>3</v>
      </c>
      <c r="E101" s="70">
        <f>VLOOKUP(A101,'[1]WA Housing Units by County'!$A$5:$B$61,2,0)</f>
        <v>8633</v>
      </c>
      <c r="F101" s="251">
        <f t="shared" si="5"/>
        <v>0.0018744522986304535</v>
      </c>
      <c r="G101" s="69" t="s">
        <v>308</v>
      </c>
      <c r="H101" s="69" t="s">
        <v>230</v>
      </c>
      <c r="I101" s="70">
        <v>74919</v>
      </c>
      <c r="J101" s="69">
        <v>3</v>
      </c>
      <c r="K101" s="69">
        <f t="shared" si="4"/>
        <v>1540</v>
      </c>
      <c r="L101" s="251">
        <f t="shared" si="6"/>
        <v>0.006998079145483152</v>
      </c>
    </row>
    <row r="102" spans="1:12" ht="12.75">
      <c r="A102" s="69" t="s">
        <v>284</v>
      </c>
      <c r="B102" s="69" t="s">
        <v>232</v>
      </c>
      <c r="C102" s="70">
        <v>9759</v>
      </c>
      <c r="D102" s="69">
        <v>3</v>
      </c>
      <c r="E102" s="70">
        <f>VLOOKUP(A102,'[1]WA Housing Units by County'!$A$5:$B$61,2,0)</f>
        <v>5298</v>
      </c>
      <c r="F102" s="251">
        <f t="shared" si="5"/>
        <v>0.0011503357208553391</v>
      </c>
      <c r="G102" s="69" t="s">
        <v>330</v>
      </c>
      <c r="H102" s="69" t="s">
        <v>230</v>
      </c>
      <c r="I102" s="70">
        <v>10513</v>
      </c>
      <c r="J102" s="69">
        <v>3</v>
      </c>
      <c r="K102" s="69">
        <f t="shared" si="4"/>
        <v>1540</v>
      </c>
      <c r="L102" s="251">
        <f t="shared" si="6"/>
        <v>0.0009820046457702904</v>
      </c>
    </row>
    <row r="103" spans="1:12" ht="12.75">
      <c r="A103" s="69" t="s">
        <v>328</v>
      </c>
      <c r="B103" s="69" t="s">
        <v>232</v>
      </c>
      <c r="C103" s="70">
        <v>38432</v>
      </c>
      <c r="D103" s="69">
        <v>3</v>
      </c>
      <c r="E103" s="70">
        <f>VLOOKUP(A103,'[1]WA Housing Units by County'!$A$5:$B$61,2,0)</f>
        <v>19085</v>
      </c>
      <c r="F103" s="251">
        <f t="shared" si="5"/>
        <v>0.0041438575372827755</v>
      </c>
      <c r="G103" s="69" t="s">
        <v>340</v>
      </c>
      <c r="H103" s="69" t="s">
        <v>230</v>
      </c>
      <c r="I103" s="70">
        <v>66803</v>
      </c>
      <c r="J103" s="69">
        <v>3</v>
      </c>
      <c r="K103" s="69">
        <f t="shared" si="4"/>
        <v>1540</v>
      </c>
      <c r="L103" s="251">
        <f t="shared" si="6"/>
        <v>0.006239974921658204</v>
      </c>
    </row>
    <row r="104" spans="1:12" ht="12.75">
      <c r="A104" s="69" t="s">
        <v>332</v>
      </c>
      <c r="B104" s="69" t="s">
        <v>232</v>
      </c>
      <c r="C104" s="70">
        <v>11604</v>
      </c>
      <c r="D104" s="69">
        <v>3</v>
      </c>
      <c r="E104" s="70">
        <f>VLOOKUP(A104,'[1]WA Housing Units by County'!$A$5:$B$61,2,0)</f>
        <v>6608</v>
      </c>
      <c r="F104" s="251">
        <f t="shared" si="5"/>
        <v>0.0014347713181223256</v>
      </c>
      <c r="G104" s="69" t="s">
        <v>341</v>
      </c>
      <c r="H104" s="69" t="s">
        <v>230</v>
      </c>
      <c r="I104" s="70">
        <v>24807</v>
      </c>
      <c r="J104" s="69">
        <v>3</v>
      </c>
      <c r="K104" s="69">
        <f t="shared" si="4"/>
        <v>1540</v>
      </c>
      <c r="L104" s="251">
        <f t="shared" si="6"/>
        <v>0.002317187220357994</v>
      </c>
    </row>
    <row r="105" spans="1:12" ht="12.75">
      <c r="A105" s="69" t="s">
        <v>162</v>
      </c>
      <c r="B105" s="69" t="s">
        <v>232</v>
      </c>
      <c r="C105" s="70">
        <v>409736</v>
      </c>
      <c r="D105" s="69">
        <v>3</v>
      </c>
      <c r="E105" s="70">
        <f>VLOOKUP(A105,'[1]WA Housing Units by County'!$A$5:$B$61,2,0)</f>
        <v>175005</v>
      </c>
      <c r="F105" s="251">
        <f t="shared" si="5"/>
        <v>0.03799820740435799</v>
      </c>
      <c r="G105" s="69" t="s">
        <v>342</v>
      </c>
      <c r="H105" s="69" t="s">
        <v>230</v>
      </c>
      <c r="I105" s="70">
        <v>7258</v>
      </c>
      <c r="J105" s="69">
        <v>3</v>
      </c>
      <c r="K105" s="69">
        <f t="shared" si="4"/>
        <v>1540</v>
      </c>
      <c r="L105" s="251">
        <f t="shared" si="6"/>
        <v>0.0006779596422525223</v>
      </c>
    </row>
    <row r="106" spans="1:12" ht="12.75">
      <c r="A106" s="69" t="s">
        <v>345</v>
      </c>
      <c r="B106" s="69" t="s">
        <v>232</v>
      </c>
      <c r="C106" s="70">
        <v>40137</v>
      </c>
      <c r="D106" s="69">
        <v>3</v>
      </c>
      <c r="E106" s="70">
        <f>VLOOKUP(A106,'[1]WA Housing Units by County'!$A$5:$B$61,2,0)</f>
        <v>17599</v>
      </c>
      <c r="F106" s="251">
        <f t="shared" si="5"/>
        <v>0.0038212076918333546</v>
      </c>
      <c r="G106" s="69" t="s">
        <v>344</v>
      </c>
      <c r="H106" s="69" t="s">
        <v>230</v>
      </c>
      <c r="I106" s="70">
        <v>23346</v>
      </c>
      <c r="J106" s="69">
        <v>3</v>
      </c>
      <c r="K106" s="69">
        <f aca="true" t="shared" si="7" ref="K106:K137">IF(J106=1,B$2)+IF(J106=2,B$3)+IF(J106=3,B$4)+IF(J106=4,B$5)+IF(J106=5,B$6)</f>
        <v>1540</v>
      </c>
      <c r="L106" s="251">
        <f t="shared" si="6"/>
        <v>0.0021807172510371156</v>
      </c>
    </row>
    <row r="107" spans="1:12" ht="12.75">
      <c r="A107" s="69" t="s">
        <v>351</v>
      </c>
      <c r="B107" s="69" t="s">
        <v>232</v>
      </c>
      <c r="C107" s="70">
        <v>53854</v>
      </c>
      <c r="D107" s="69">
        <v>3</v>
      </c>
      <c r="E107" s="70">
        <f>VLOOKUP(A107,'[1]WA Housing Units by County'!$A$5:$B$61,2,0)</f>
        <v>21147</v>
      </c>
      <c r="F107" s="251">
        <f t="shared" si="5"/>
        <v>0.00459157219496562</v>
      </c>
      <c r="G107" s="69" t="s">
        <v>231</v>
      </c>
      <c r="H107" s="69" t="s">
        <v>226</v>
      </c>
      <c r="I107" s="70">
        <v>283402</v>
      </c>
      <c r="J107" s="69">
        <v>4</v>
      </c>
      <c r="K107" s="69">
        <f t="shared" si="7"/>
        <v>1700</v>
      </c>
      <c r="L107" s="251">
        <f t="shared" si="6"/>
        <v>0.026472184972947</v>
      </c>
    </row>
    <row r="108" spans="1:12" ht="12.75">
      <c r="A108" s="69" t="s">
        <v>354</v>
      </c>
      <c r="B108" s="69" t="s">
        <v>232</v>
      </c>
      <c r="C108" s="70">
        <v>38386</v>
      </c>
      <c r="D108" s="69">
        <v>3</v>
      </c>
      <c r="E108" s="70">
        <f>VLOOKUP(A108,'[1]WA Housing Units by County'!$A$5:$B$61,2,0)</f>
        <v>16676</v>
      </c>
      <c r="F108" s="251">
        <f t="shared" si="5"/>
        <v>0.0036208000152856993</v>
      </c>
      <c r="G108" s="69" t="s">
        <v>241</v>
      </c>
      <c r="H108" s="69" t="s">
        <v>226</v>
      </c>
      <c r="I108" s="70">
        <v>3787</v>
      </c>
      <c r="J108" s="69">
        <v>4</v>
      </c>
      <c r="K108" s="69">
        <f t="shared" si="7"/>
        <v>1700</v>
      </c>
      <c r="L108" s="251">
        <f t="shared" si="6"/>
        <v>0.000353738380436801</v>
      </c>
    </row>
    <row r="109" spans="1:12" ht="12.75">
      <c r="A109" s="69" t="s">
        <v>356</v>
      </c>
      <c r="B109" s="69" t="s">
        <v>232</v>
      </c>
      <c r="C109" s="70">
        <v>220785</v>
      </c>
      <c r="D109" s="69">
        <v>3</v>
      </c>
      <c r="E109" s="70">
        <f>VLOOKUP(A109,'[1]WA Housing Units by County'!$A$5:$B$61,2,0)</f>
        <v>79174</v>
      </c>
      <c r="F109" s="251">
        <f t="shared" si="5"/>
        <v>0.017190766395432357</v>
      </c>
      <c r="G109" s="69" t="s">
        <v>258</v>
      </c>
      <c r="H109" s="69" t="s">
        <v>226</v>
      </c>
      <c r="I109" s="70">
        <v>9066</v>
      </c>
      <c r="J109" s="69">
        <v>4</v>
      </c>
      <c r="K109" s="69">
        <f t="shared" si="7"/>
        <v>1700</v>
      </c>
      <c r="L109" s="251">
        <f t="shared" si="6"/>
        <v>0.0008468423968946496</v>
      </c>
    </row>
    <row r="110" spans="1:12" ht="12.75">
      <c r="A110" s="69" t="s">
        <v>273</v>
      </c>
      <c r="B110" s="69" t="s">
        <v>268</v>
      </c>
      <c r="C110" s="69"/>
      <c r="D110" s="69">
        <v>3</v>
      </c>
      <c r="E110" s="69"/>
      <c r="F110" s="251">
        <f t="shared" si="5"/>
        <v>0</v>
      </c>
      <c r="G110" s="69" t="s">
        <v>264</v>
      </c>
      <c r="H110" s="69" t="s">
        <v>226</v>
      </c>
      <c r="I110" s="70">
        <v>42127</v>
      </c>
      <c r="J110" s="69">
        <v>4</v>
      </c>
      <c r="K110" s="69">
        <f t="shared" si="7"/>
        <v>1700</v>
      </c>
      <c r="L110" s="251">
        <f t="shared" si="6"/>
        <v>0.0039350242283235064</v>
      </c>
    </row>
    <row r="111" spans="1:12" ht="12.75">
      <c r="A111" s="69" t="s">
        <v>279</v>
      </c>
      <c r="B111" s="69" t="s">
        <v>268</v>
      </c>
      <c r="C111" s="69"/>
      <c r="D111" s="69">
        <v>3</v>
      </c>
      <c r="E111" s="69"/>
      <c r="F111" s="251">
        <f t="shared" si="5"/>
        <v>0</v>
      </c>
      <c r="G111" s="69" t="s">
        <v>206</v>
      </c>
      <c r="H111" s="69" t="s">
        <v>226</v>
      </c>
      <c r="I111" s="70">
        <v>17326</v>
      </c>
      <c r="J111" s="69">
        <v>4</v>
      </c>
      <c r="K111" s="69">
        <f t="shared" si="7"/>
        <v>1700</v>
      </c>
      <c r="L111" s="251">
        <f t="shared" si="6"/>
        <v>0.0016183974595848996</v>
      </c>
    </row>
    <row r="112" spans="1:12" ht="12.75">
      <c r="A112" s="69" t="s">
        <v>284</v>
      </c>
      <c r="B112" s="69" t="s">
        <v>285</v>
      </c>
      <c r="C112" s="69"/>
      <c r="D112" s="69">
        <v>3</v>
      </c>
      <c r="E112" s="69"/>
      <c r="F112" s="251">
        <f t="shared" si="5"/>
        <v>0</v>
      </c>
      <c r="G112" s="69" t="s">
        <v>292</v>
      </c>
      <c r="H112" s="69" t="s">
        <v>226</v>
      </c>
      <c r="I112" s="70">
        <v>9977</v>
      </c>
      <c r="J112" s="69">
        <v>4</v>
      </c>
      <c r="K112" s="69">
        <f t="shared" si="7"/>
        <v>1700</v>
      </c>
      <c r="L112" s="251">
        <f t="shared" si="6"/>
        <v>0.0009319376344383323</v>
      </c>
    </row>
    <row r="113" spans="1:12" ht="12.75">
      <c r="A113" s="69" t="s">
        <v>300</v>
      </c>
      <c r="B113" s="69" t="s">
        <v>285</v>
      </c>
      <c r="C113" s="69"/>
      <c r="D113" s="69">
        <v>3</v>
      </c>
      <c r="E113" s="69"/>
      <c r="F113" s="251">
        <f t="shared" si="5"/>
        <v>0</v>
      </c>
      <c r="G113" s="69" t="s">
        <v>297</v>
      </c>
      <c r="H113" s="69" t="s">
        <v>226</v>
      </c>
      <c r="I113" s="70">
        <v>3012</v>
      </c>
      <c r="J113" s="69">
        <v>4</v>
      </c>
      <c r="K113" s="69">
        <f t="shared" si="7"/>
        <v>1700</v>
      </c>
      <c r="L113" s="251">
        <f t="shared" si="6"/>
        <v>0.0002813467129325706</v>
      </c>
    </row>
    <row r="114" spans="1:12" ht="12.75">
      <c r="A114" s="74" t="s">
        <v>455</v>
      </c>
      <c r="B114" s="69" t="s">
        <v>226</v>
      </c>
      <c r="C114" s="159">
        <v>283402</v>
      </c>
      <c r="D114" s="69">
        <v>4</v>
      </c>
      <c r="E114" s="70">
        <f>VLOOKUP(A114,'[1]ID Housing Units by County'!$A$5:$B$48,2,0)</f>
        <v>118516</v>
      </c>
      <c r="F114" s="251">
        <f t="shared" si="5"/>
        <v>0.025732953622667303</v>
      </c>
      <c r="G114" s="69" t="s">
        <v>301</v>
      </c>
      <c r="H114" s="69" t="s">
        <v>226</v>
      </c>
      <c r="I114" s="70">
        <v>865</v>
      </c>
      <c r="J114" s="69">
        <v>4</v>
      </c>
      <c r="K114" s="69">
        <f t="shared" si="7"/>
        <v>1700</v>
      </c>
      <c r="L114" s="251">
        <f t="shared" si="6"/>
        <v>8.079844179504434E-05</v>
      </c>
    </row>
    <row r="115" spans="1:12" ht="12.75">
      <c r="A115" s="69" t="s">
        <v>231</v>
      </c>
      <c r="B115" s="69" t="s">
        <v>226</v>
      </c>
      <c r="C115" s="159">
        <v>3787</v>
      </c>
      <c r="D115" s="69">
        <v>4</v>
      </c>
      <c r="E115" s="70">
        <f>VLOOKUP(A115,'[1]ID Housing Units by County'!$A$5:$B$48,2,0)</f>
        <v>1982</v>
      </c>
      <c r="F115" s="251">
        <f t="shared" si="5"/>
        <v>0.00043034454487264666</v>
      </c>
      <c r="G115" s="69" t="s">
        <v>303</v>
      </c>
      <c r="H115" s="69" t="s">
        <v>226</v>
      </c>
      <c r="I115" s="70">
        <v>124442</v>
      </c>
      <c r="J115" s="69">
        <v>4</v>
      </c>
      <c r="K115" s="69">
        <f t="shared" si="7"/>
        <v>1700</v>
      </c>
      <c r="L115" s="251">
        <f t="shared" si="6"/>
        <v>0.011623953403305095</v>
      </c>
    </row>
    <row r="116" spans="1:12" ht="12.75">
      <c r="A116" s="69" t="s">
        <v>241</v>
      </c>
      <c r="B116" s="69" t="s">
        <v>226</v>
      </c>
      <c r="C116" s="159">
        <v>74881</v>
      </c>
      <c r="D116" s="69">
        <v>4</v>
      </c>
      <c r="E116" s="70">
        <f>VLOOKUP(A116,'[1]ID Housing Units by County'!$A$5:$B$48,2,0)</f>
        <v>29102</v>
      </c>
      <c r="F116" s="251">
        <f t="shared" si="5"/>
        <v>0.006318812787529648</v>
      </c>
      <c r="G116" s="69" t="s">
        <v>306</v>
      </c>
      <c r="H116" s="69" t="s">
        <v>226</v>
      </c>
      <c r="I116" s="70">
        <v>7273</v>
      </c>
      <c r="J116" s="69">
        <v>4</v>
      </c>
      <c r="K116" s="69">
        <f t="shared" si="7"/>
        <v>1700</v>
      </c>
      <c r="L116" s="251">
        <f t="shared" si="6"/>
        <v>0.0006793607713009913</v>
      </c>
    </row>
    <row r="117" spans="1:12" ht="12.75">
      <c r="A117" s="69" t="s">
        <v>258</v>
      </c>
      <c r="B117" s="69" t="s">
        <v>226</v>
      </c>
      <c r="C117" s="159">
        <v>42127</v>
      </c>
      <c r="D117" s="69">
        <v>4</v>
      </c>
      <c r="E117" s="70">
        <f>VLOOKUP(A117,'[1]ID Housing Units by County'!$A$5:$B$48,2,0)</f>
        <v>14303</v>
      </c>
      <c r="F117" s="251">
        <f t="shared" si="5"/>
        <v>0.0031055590440532115</v>
      </c>
      <c r="G117" s="69" t="s">
        <v>311</v>
      </c>
      <c r="H117" s="69" t="s">
        <v>226</v>
      </c>
      <c r="I117" s="70">
        <v>9359</v>
      </c>
      <c r="J117" s="69">
        <v>4</v>
      </c>
      <c r="K117" s="69">
        <f t="shared" si="7"/>
        <v>1700</v>
      </c>
      <c r="L117" s="251">
        <f t="shared" si="6"/>
        <v>0.0008742111176414103</v>
      </c>
    </row>
    <row r="118" spans="1:12" ht="12.75">
      <c r="A118" s="69" t="s">
        <v>264</v>
      </c>
      <c r="B118" s="69" t="s">
        <v>226</v>
      </c>
      <c r="C118" s="159">
        <v>17326</v>
      </c>
      <c r="D118" s="69">
        <v>4</v>
      </c>
      <c r="E118" s="70">
        <f>VLOOKUP(A118,'[1]ID Housing Units by County'!$A$5:$B$48,2,0)</f>
        <v>12186</v>
      </c>
      <c r="F118" s="251">
        <f t="shared" si="5"/>
        <v>0.0026459024338133562</v>
      </c>
      <c r="G118" s="69" t="s">
        <v>315</v>
      </c>
      <c r="H118" s="69" t="s">
        <v>226</v>
      </c>
      <c r="I118" s="70">
        <v>4089</v>
      </c>
      <c r="J118" s="69">
        <v>4</v>
      </c>
      <c r="K118" s="69">
        <f t="shared" si="7"/>
        <v>1700</v>
      </c>
      <c r="L118" s="251">
        <f t="shared" si="6"/>
        <v>0.0003819477786126431</v>
      </c>
    </row>
    <row r="119" spans="1:12" ht="12.75">
      <c r="A119" s="69" t="s">
        <v>206</v>
      </c>
      <c r="B119" s="69" t="s">
        <v>226</v>
      </c>
      <c r="C119" s="159">
        <v>5311</v>
      </c>
      <c r="D119" s="69">
        <v>4</v>
      </c>
      <c r="E119" s="70">
        <f>VLOOKUP(A119,'[1]ID Housing Units by County'!$A$5:$B$48,2,0)</f>
        <v>4349</v>
      </c>
      <c r="F119" s="251">
        <f t="shared" si="5"/>
        <v>0.0009442827576443695</v>
      </c>
      <c r="G119" s="69" t="s">
        <v>323</v>
      </c>
      <c r="H119" s="69" t="s">
        <v>226</v>
      </c>
      <c r="I119" s="70">
        <v>11890</v>
      </c>
      <c r="J119" s="69">
        <v>4</v>
      </c>
      <c r="K119" s="69">
        <f t="shared" si="7"/>
        <v>1700</v>
      </c>
      <c r="L119" s="251">
        <f t="shared" si="6"/>
        <v>0.0011106282924197423</v>
      </c>
    </row>
    <row r="120" spans="1:12" ht="12.75">
      <c r="A120" s="69" t="s">
        <v>292</v>
      </c>
      <c r="B120" s="69" t="s">
        <v>226</v>
      </c>
      <c r="C120" s="159">
        <v>3012</v>
      </c>
      <c r="D120" s="69">
        <v>4</v>
      </c>
      <c r="E120" s="70">
        <f>VLOOKUP(A120,'[1]ID Housing Units by County'!$A$5:$B$48,2,0)</f>
        <v>1290</v>
      </c>
      <c r="F120" s="251">
        <f t="shared" si="5"/>
        <v>0.00028009306906443703</v>
      </c>
      <c r="G120" s="69" t="s">
        <v>326</v>
      </c>
      <c r="H120" s="69" t="s">
        <v>226</v>
      </c>
      <c r="I120" s="70">
        <v>15145</v>
      </c>
      <c r="J120" s="69">
        <v>4</v>
      </c>
      <c r="K120" s="69">
        <f t="shared" si="7"/>
        <v>1700</v>
      </c>
      <c r="L120" s="251">
        <f t="shared" si="6"/>
        <v>0.0014146732959375104</v>
      </c>
    </row>
    <row r="121" spans="1:12" ht="12.75">
      <c r="A121" s="69" t="s">
        <v>297</v>
      </c>
      <c r="B121" s="69" t="s">
        <v>226</v>
      </c>
      <c r="C121" s="159">
        <v>865</v>
      </c>
      <c r="D121" s="69">
        <v>4</v>
      </c>
      <c r="E121" s="70">
        <f>VLOOKUP(A121,'[1]ID Housing Units by County'!$A$5:$B$48,2,0)</f>
        <v>601</v>
      </c>
      <c r="F121" s="251">
        <f t="shared" si="5"/>
        <v>0.0001304929724866098</v>
      </c>
      <c r="G121" s="69" t="s">
        <v>333</v>
      </c>
      <c r="H121" s="69" t="s">
        <v>226</v>
      </c>
      <c r="I121" s="70">
        <v>19949</v>
      </c>
      <c r="J121" s="69">
        <v>4</v>
      </c>
      <c r="K121" s="69">
        <f t="shared" si="7"/>
        <v>1700</v>
      </c>
      <c r="L121" s="251">
        <f t="shared" si="6"/>
        <v>0.001863408225860508</v>
      </c>
    </row>
    <row r="122" spans="1:12" ht="12.75">
      <c r="A122" s="69" t="s">
        <v>301</v>
      </c>
      <c r="B122" s="69" t="s">
        <v>226</v>
      </c>
      <c r="C122" s="159">
        <v>124442</v>
      </c>
      <c r="D122" s="69">
        <v>4</v>
      </c>
      <c r="E122" s="70">
        <f>VLOOKUP(A122,'[1]ID Housing Units by County'!$A$5:$B$48,2,0)</f>
        <v>47965</v>
      </c>
      <c r="F122" s="251">
        <f t="shared" si="5"/>
        <v>0.010414468261764126</v>
      </c>
      <c r="G122" s="69" t="s">
        <v>339</v>
      </c>
      <c r="H122" s="69" t="s">
        <v>226</v>
      </c>
      <c r="I122" s="70">
        <v>32509</v>
      </c>
      <c r="J122" s="69">
        <v>4</v>
      </c>
      <c r="K122" s="69">
        <f t="shared" si="7"/>
        <v>1700</v>
      </c>
      <c r="L122" s="251">
        <f t="shared" si="6"/>
        <v>0.003036620282445198</v>
      </c>
    </row>
    <row r="123" spans="1:12" ht="12.75">
      <c r="A123" s="69" t="s">
        <v>303</v>
      </c>
      <c r="B123" s="69" t="s">
        <v>226</v>
      </c>
      <c r="C123" s="159">
        <v>7273</v>
      </c>
      <c r="D123" s="69">
        <v>4</v>
      </c>
      <c r="E123" s="70">
        <f>VLOOKUP(A123,'[1]ID Housing Units by County'!$A$5:$B$48,2,0)</f>
        <v>3188</v>
      </c>
      <c r="F123" s="251">
        <f t="shared" si="5"/>
        <v>0.0006921989954863762</v>
      </c>
      <c r="G123" s="69" t="s">
        <v>284</v>
      </c>
      <c r="H123" s="69" t="s">
        <v>226</v>
      </c>
      <c r="I123" s="70">
        <v>3943</v>
      </c>
      <c r="J123" s="69">
        <v>4</v>
      </c>
      <c r="K123" s="69">
        <f t="shared" si="7"/>
        <v>1700</v>
      </c>
      <c r="L123" s="251">
        <f t="shared" si="6"/>
        <v>0.0003683101225408784</v>
      </c>
    </row>
    <row r="124" spans="1:12" ht="12.75">
      <c r="A124" s="69" t="s">
        <v>306</v>
      </c>
      <c r="B124" s="69" t="s">
        <v>226</v>
      </c>
      <c r="C124" s="159">
        <v>21573</v>
      </c>
      <c r="D124" s="69">
        <v>4</v>
      </c>
      <c r="E124" s="70">
        <f>VLOOKUP(A124,'[1]ID Housing Units by County'!$A$5:$B$48,2,0)</f>
        <v>7862</v>
      </c>
      <c r="F124" s="251">
        <f t="shared" si="5"/>
        <v>0.0017070478364221737</v>
      </c>
      <c r="G124" s="69" t="s">
        <v>346</v>
      </c>
      <c r="H124" s="69" t="s">
        <v>226</v>
      </c>
      <c r="I124" s="70">
        <v>20284</v>
      </c>
      <c r="J124" s="69">
        <v>4</v>
      </c>
      <c r="K124" s="69">
        <f t="shared" si="7"/>
        <v>1700</v>
      </c>
      <c r="L124" s="251">
        <f t="shared" si="6"/>
        <v>0.0018947001079429818</v>
      </c>
    </row>
    <row r="125" spans="1:12" ht="12.75">
      <c r="A125" s="69" t="s">
        <v>311</v>
      </c>
      <c r="B125" s="69" t="s">
        <v>226</v>
      </c>
      <c r="C125" s="159">
        <v>4089</v>
      </c>
      <c r="D125" s="69">
        <v>4</v>
      </c>
      <c r="E125" s="70">
        <f>VLOOKUP(A125,'[1]ID Housing Units by County'!$A$5:$B$48,2,0)</f>
        <v>2983</v>
      </c>
      <c r="F125" s="251">
        <f t="shared" si="5"/>
        <v>0.0006476880814102448</v>
      </c>
      <c r="G125" s="69" t="s">
        <v>349</v>
      </c>
      <c r="H125" s="69" t="s">
        <v>226</v>
      </c>
      <c r="I125" s="70">
        <v>36913</v>
      </c>
      <c r="J125" s="69">
        <v>4</v>
      </c>
      <c r="K125" s="69">
        <f t="shared" si="7"/>
        <v>1700</v>
      </c>
      <c r="L125" s="251">
        <f t="shared" si="6"/>
        <v>0.00344799177107569</v>
      </c>
    </row>
    <row r="126" spans="1:12" ht="12.75">
      <c r="A126" s="69" t="s">
        <v>315</v>
      </c>
      <c r="B126" s="69" t="s">
        <v>226</v>
      </c>
      <c r="C126" s="159">
        <v>25627</v>
      </c>
      <c r="D126" s="69">
        <v>4</v>
      </c>
      <c r="E126" s="70">
        <f>VLOOKUP(A126,'[1]ID Housing Units by County'!$A$5:$B$48,2,0)</f>
        <v>10527</v>
      </c>
      <c r="F126" s="251">
        <f t="shared" si="5"/>
        <v>0.0022856897194118825</v>
      </c>
      <c r="G126" s="69" t="s">
        <v>353</v>
      </c>
      <c r="H126" s="69" t="s">
        <v>226</v>
      </c>
      <c r="I126" s="70">
        <v>10406</v>
      </c>
      <c r="J126" s="69">
        <v>4</v>
      </c>
      <c r="K126" s="69">
        <f t="shared" si="7"/>
        <v>1700</v>
      </c>
      <c r="L126" s="251">
        <f t="shared" si="6"/>
        <v>0.0009720099252245449</v>
      </c>
    </row>
    <row r="127" spans="1:12" ht="12.75">
      <c r="A127" s="69" t="s">
        <v>323</v>
      </c>
      <c r="B127" s="69" t="s">
        <v>226</v>
      </c>
      <c r="C127" s="159">
        <v>15145</v>
      </c>
      <c r="D127" s="69">
        <v>4</v>
      </c>
      <c r="E127" s="70">
        <f>VLOOKUP(A127,'[1]ID Housing Units by County'!$A$5:$B$48,2,0)</f>
        <v>5888</v>
      </c>
      <c r="F127" s="251">
        <f t="shared" si="5"/>
        <v>0.0012784403028305467</v>
      </c>
      <c r="G127" s="69" t="s">
        <v>355</v>
      </c>
      <c r="H127" s="69" t="s">
        <v>226</v>
      </c>
      <c r="I127" s="70">
        <v>20846</v>
      </c>
      <c r="J127" s="69">
        <v>4</v>
      </c>
      <c r="K127" s="69">
        <f t="shared" si="7"/>
        <v>1700</v>
      </c>
      <c r="L127" s="251">
        <f t="shared" si="6"/>
        <v>0.001947195742958953</v>
      </c>
    </row>
    <row r="128" spans="1:12" ht="12.75">
      <c r="A128" s="69" t="s">
        <v>326</v>
      </c>
      <c r="B128" s="69" t="s">
        <v>226</v>
      </c>
      <c r="C128" s="159">
        <v>13743</v>
      </c>
      <c r="D128" s="69">
        <v>4</v>
      </c>
      <c r="E128" s="70">
        <f>VLOOKUP(A128,'[1]ID Housing Units by County'!$A$5:$B$48,2,0)</f>
        <v>5505</v>
      </c>
      <c r="F128" s="251">
        <f t="shared" si="5"/>
        <v>0.0011952808877517256</v>
      </c>
      <c r="G128" s="69" t="s">
        <v>357</v>
      </c>
      <c r="H128" s="69" t="s">
        <v>226</v>
      </c>
      <c r="I128" s="70">
        <v>5708</v>
      </c>
      <c r="J128" s="69">
        <v>4</v>
      </c>
      <c r="K128" s="69">
        <f t="shared" si="7"/>
        <v>1700</v>
      </c>
      <c r="L128" s="251">
        <f t="shared" si="6"/>
        <v>0.0005331763072440614</v>
      </c>
    </row>
    <row r="129" spans="1:12" ht="12.75">
      <c r="A129" s="69" t="s">
        <v>333</v>
      </c>
      <c r="B129" s="69" t="s">
        <v>226</v>
      </c>
      <c r="C129" s="159">
        <v>18110</v>
      </c>
      <c r="D129" s="69">
        <v>4</v>
      </c>
      <c r="E129" s="70">
        <f>VLOOKUP(A129,'[1]ID Housing Units by County'!$A$5:$B$48,2,0)</f>
        <v>6713</v>
      </c>
      <c r="F129" s="251">
        <f t="shared" si="5"/>
        <v>0.00145756959118571</v>
      </c>
      <c r="G129" s="69" t="s">
        <v>358</v>
      </c>
      <c r="H129" s="69" t="s">
        <v>226</v>
      </c>
      <c r="I129" s="70">
        <v>62970</v>
      </c>
      <c r="J129" s="69">
        <v>4</v>
      </c>
      <c r="K129" s="69">
        <f t="shared" si="7"/>
        <v>1700</v>
      </c>
      <c r="L129" s="251">
        <f t="shared" si="6"/>
        <v>0.005881939745472765</v>
      </c>
    </row>
    <row r="130" spans="1:12" ht="12.75">
      <c r="A130" s="69" t="s">
        <v>339</v>
      </c>
      <c r="B130" s="69" t="s">
        <v>226</v>
      </c>
      <c r="C130" s="159">
        <v>7978</v>
      </c>
      <c r="D130" s="69">
        <v>4</v>
      </c>
      <c r="E130" s="70">
        <f>VLOOKUP(A130,'[1]ID Housing Units by County'!$A$5:$B$48,2,0)</f>
        <v>4154</v>
      </c>
      <c r="F130" s="251">
        <f t="shared" si="5"/>
        <v>0.0009019431076695127</v>
      </c>
      <c r="G130" s="69" t="s">
        <v>266</v>
      </c>
      <c r="H130" s="69" t="s">
        <v>230</v>
      </c>
      <c r="I130" s="70">
        <v>17686</v>
      </c>
      <c r="J130" s="69">
        <v>4</v>
      </c>
      <c r="K130" s="69">
        <f t="shared" si="7"/>
        <v>1700</v>
      </c>
      <c r="L130" s="251">
        <f t="shared" si="6"/>
        <v>0.0016520245567481552</v>
      </c>
    </row>
    <row r="131" spans="1:12" ht="12.75">
      <c r="A131" s="69" t="s">
        <v>284</v>
      </c>
      <c r="B131" s="69" t="s">
        <v>226</v>
      </c>
      <c r="C131" s="159">
        <v>3839</v>
      </c>
      <c r="D131" s="69">
        <v>4</v>
      </c>
      <c r="E131" s="70">
        <f>VLOOKUP(A131,'[1]ID Housing Units by County'!$A$5:$B$48,2,0)</f>
        <v>1651</v>
      </c>
      <c r="F131" s="251">
        <f t="shared" si="5"/>
        <v>0.0003584757031204539</v>
      </c>
      <c r="G131" s="69" t="s">
        <v>277</v>
      </c>
      <c r="H131" s="69" t="s">
        <v>230</v>
      </c>
      <c r="I131" s="70">
        <v>110810</v>
      </c>
      <c r="J131" s="69">
        <v>4</v>
      </c>
      <c r="K131" s="69">
        <f t="shared" si="7"/>
        <v>1700</v>
      </c>
      <c r="L131" s="251">
        <f t="shared" si="6"/>
        <v>0.01035060732405649</v>
      </c>
    </row>
    <row r="132" spans="1:12" ht="12.75">
      <c r="A132" s="74" t="s">
        <v>457</v>
      </c>
      <c r="B132" s="69" t="s">
        <v>226</v>
      </c>
      <c r="C132" s="159">
        <v>20284</v>
      </c>
      <c r="D132" s="69">
        <v>4</v>
      </c>
      <c r="E132" s="70">
        <f>VLOOKUP(A132,'[1]ID Housing Units by County'!$A$5:$B$48,2,0)</f>
        <v>7498</v>
      </c>
      <c r="F132" s="251">
        <f t="shared" si="5"/>
        <v>0.0016280138231357744</v>
      </c>
      <c r="G132" s="69" t="s">
        <v>294</v>
      </c>
      <c r="H132" s="69" t="s">
        <v>230</v>
      </c>
      <c r="I132" s="70">
        <v>7855</v>
      </c>
      <c r="J132" s="69">
        <v>4</v>
      </c>
      <c r="K132" s="69">
        <f t="shared" si="7"/>
        <v>1700</v>
      </c>
      <c r="L132" s="251">
        <f t="shared" si="6"/>
        <v>0.0007337245783815876</v>
      </c>
    </row>
    <row r="133" spans="1:12" ht="12.75">
      <c r="A133" s="74" t="s">
        <v>459</v>
      </c>
      <c r="B133" s="69" t="s">
        <v>226</v>
      </c>
      <c r="C133" s="159">
        <v>4062</v>
      </c>
      <c r="D133" s="69">
        <v>4</v>
      </c>
      <c r="E133" s="70">
        <f>VLOOKUP(A133,'[1]ID Housing Units by County'!$A$5:$B$48,2,0)</f>
        <v>1755</v>
      </c>
      <c r="F133" s="251">
        <f t="shared" si="5"/>
        <v>0.0003810568497737109</v>
      </c>
      <c r="G133" s="69" t="s">
        <v>310</v>
      </c>
      <c r="H133" s="69" t="s">
        <v>230</v>
      </c>
      <c r="I133" s="70">
        <v>63435</v>
      </c>
      <c r="J133" s="69">
        <v>4</v>
      </c>
      <c r="K133" s="69">
        <f t="shared" si="7"/>
        <v>1700</v>
      </c>
      <c r="L133" s="251">
        <f t="shared" si="6"/>
        <v>0.005925374745975304</v>
      </c>
    </row>
    <row r="134" spans="1:12" ht="12.75">
      <c r="A134" s="69" t="s">
        <v>353</v>
      </c>
      <c r="B134" s="69" t="s">
        <v>226</v>
      </c>
      <c r="C134" s="159">
        <v>20846</v>
      </c>
      <c r="D134" s="69">
        <v>4</v>
      </c>
      <c r="E134" s="70">
        <f>VLOOKUP(A134,'[1]ID Housing Units by County'!$A$5:$B$48,2,0)</f>
        <v>7949</v>
      </c>
      <c r="F134" s="251">
        <f t="shared" si="5"/>
        <v>0.0017259378341032635</v>
      </c>
      <c r="G134" s="69" t="s">
        <v>312</v>
      </c>
      <c r="H134" s="69" t="s">
        <v>230</v>
      </c>
      <c r="I134" s="70">
        <v>7173</v>
      </c>
      <c r="J134" s="69">
        <v>4</v>
      </c>
      <c r="K134" s="69">
        <f t="shared" si="7"/>
        <v>1700</v>
      </c>
      <c r="L134" s="251">
        <f t="shared" si="6"/>
        <v>0.0006700199109778648</v>
      </c>
    </row>
    <row r="135" spans="1:12" ht="12.75">
      <c r="A135" s="69" t="s">
        <v>355</v>
      </c>
      <c r="B135" s="69" t="s">
        <v>226</v>
      </c>
      <c r="C135" s="159">
        <v>8404</v>
      </c>
      <c r="D135" s="69">
        <v>4</v>
      </c>
      <c r="E135" s="70">
        <f>VLOOKUP(A135,'[1]ID Housing Units by County'!$A$5:$B$48,2,0)</f>
        <v>2844</v>
      </c>
      <c r="F135" s="251">
        <f t="shared" si="5"/>
        <v>0.0006175075104025263</v>
      </c>
      <c r="G135" s="69" t="s">
        <v>348</v>
      </c>
      <c r="H135" s="69" t="s">
        <v>230</v>
      </c>
      <c r="I135" s="70">
        <v>1559</v>
      </c>
      <c r="J135" s="69">
        <v>4</v>
      </c>
      <c r="K135" s="69">
        <f t="shared" si="7"/>
        <v>1700</v>
      </c>
      <c r="L135" s="251">
        <f t="shared" si="6"/>
        <v>0.00014562401243754233</v>
      </c>
    </row>
    <row r="136" spans="1:12" ht="12.75">
      <c r="A136" s="69" t="s">
        <v>357</v>
      </c>
      <c r="B136" s="69" t="s">
        <v>226</v>
      </c>
      <c r="C136" s="159">
        <v>62970</v>
      </c>
      <c r="D136" s="69">
        <v>4</v>
      </c>
      <c r="E136" s="70">
        <f>VLOOKUP(A136,'[1]ID Housing Units by County'!$A$5:$B$48,2,0)</f>
        <v>25595</v>
      </c>
      <c r="F136" s="251">
        <f t="shared" si="5"/>
        <v>0.00555735046721261</v>
      </c>
      <c r="G136" s="69" t="s">
        <v>352</v>
      </c>
      <c r="H136" s="69" t="s">
        <v>226</v>
      </c>
      <c r="I136" s="70">
        <v>4062</v>
      </c>
      <c r="J136" s="69">
        <v>5</v>
      </c>
      <c r="K136" s="69">
        <f t="shared" si="7"/>
        <v>1770</v>
      </c>
      <c r="L136" s="251">
        <f t="shared" si="6"/>
        <v>0.00037942574632539896</v>
      </c>
    </row>
    <row r="137" spans="1:12" ht="12.75">
      <c r="A137" s="69" t="s">
        <v>358</v>
      </c>
      <c r="B137" s="69" t="s">
        <v>226</v>
      </c>
      <c r="C137" s="159">
        <v>7858</v>
      </c>
      <c r="D137" s="69">
        <v>4</v>
      </c>
      <c r="E137" s="70">
        <f>VLOOKUP(A137,'[1]ID Housing Units by County'!$A$5:$B$48,2,0)</f>
        <v>8084</v>
      </c>
      <c r="F137" s="251">
        <f t="shared" si="5"/>
        <v>0.001755249899470472</v>
      </c>
      <c r="G137" s="69" t="s">
        <v>299</v>
      </c>
      <c r="H137" s="69" t="s">
        <v>230</v>
      </c>
      <c r="I137" s="70">
        <v>7295</v>
      </c>
      <c r="J137" s="69">
        <v>5</v>
      </c>
      <c r="K137" s="69">
        <f t="shared" si="7"/>
        <v>1770</v>
      </c>
      <c r="L137" s="251">
        <f t="shared" si="6"/>
        <v>0.0006814157605720792</v>
      </c>
    </row>
    <row r="138" spans="1:12" ht="12.75">
      <c r="A138" s="69" t="s">
        <v>266</v>
      </c>
      <c r="B138" s="69" t="s">
        <v>230</v>
      </c>
      <c r="C138" s="70">
        <v>17686</v>
      </c>
      <c r="D138" s="69">
        <v>4</v>
      </c>
      <c r="E138" s="70">
        <f>VLOOKUP(A138,'[1]OR Housing Units by County'!$A$5:$B$61,2,0)</f>
        <v>8264</v>
      </c>
      <c r="F138" s="251">
        <f t="shared" si="5"/>
        <v>0.0017943326532934168</v>
      </c>
      <c r="G138" s="69" t="s">
        <v>324</v>
      </c>
      <c r="H138" s="69" t="s">
        <v>230</v>
      </c>
      <c r="I138" s="70">
        <v>28445</v>
      </c>
      <c r="J138" s="69">
        <v>5</v>
      </c>
      <c r="K138" s="69">
        <f>IF(J138=1,B$2)+IF(J138=2,B$3)+IF(J138=3,B$4)+IF(J138=4,B$5)+IF(J138=5,B$6)</f>
        <v>1770</v>
      </c>
      <c r="L138" s="251">
        <f t="shared" si="6"/>
        <v>0.0026570077189133367</v>
      </c>
    </row>
    <row r="139" spans="1:9" ht="12.75">
      <c r="A139" s="69" t="s">
        <v>277</v>
      </c>
      <c r="B139" s="69" t="s">
        <v>230</v>
      </c>
      <c r="C139" s="70">
        <v>110810</v>
      </c>
      <c r="D139" s="69">
        <v>4</v>
      </c>
      <c r="E139" s="70">
        <f>VLOOKUP(A139,'[1]OR Housing Units by County'!$A$5:$B$61,2,0)</f>
        <v>54583</v>
      </c>
      <c r="F139" s="251">
        <f aca="true" t="shared" si="8" ref="F139:F154">E139/E$155</f>
        <v>0.011851410843987727</v>
      </c>
      <c r="I139" s="249">
        <f>SUM(I10:I138)</f>
        <v>10705652</v>
      </c>
    </row>
    <row r="140" spans="1:6" ht="12.75">
      <c r="A140" s="69" t="s">
        <v>294</v>
      </c>
      <c r="B140" s="69" t="s">
        <v>230</v>
      </c>
      <c r="C140" s="70">
        <v>7855</v>
      </c>
      <c r="D140" s="69">
        <v>4</v>
      </c>
      <c r="E140" s="70">
        <f>VLOOKUP(A140,'[1]OR Housing Units by County'!$A$5:$B$61,2,0)</f>
        <v>4004</v>
      </c>
      <c r="F140" s="251">
        <f t="shared" si="8"/>
        <v>0.0008693741461503922</v>
      </c>
    </row>
    <row r="141" spans="1:6" ht="12.75">
      <c r="A141" s="69" t="s">
        <v>310</v>
      </c>
      <c r="B141" s="69" t="s">
        <v>230</v>
      </c>
      <c r="C141" s="70">
        <v>63435</v>
      </c>
      <c r="D141" s="69">
        <v>4</v>
      </c>
      <c r="E141" s="70">
        <f>VLOOKUP(A141,'[1]OR Housing Units by County'!$A$5:$B$61,2,0)</f>
        <v>28883</v>
      </c>
      <c r="F141" s="251">
        <f t="shared" si="8"/>
        <v>0.0062712621037117324</v>
      </c>
    </row>
    <row r="142" spans="1:6" ht="12.75">
      <c r="A142" s="69" t="s">
        <v>312</v>
      </c>
      <c r="B142" s="69" t="s">
        <v>230</v>
      </c>
      <c r="C142" s="70">
        <v>7173</v>
      </c>
      <c r="D142" s="69">
        <v>4</v>
      </c>
      <c r="E142" s="233">
        <f>VLOOKUP(A142,'[1]OR Housing Units by County'!$A$5:$B$61,2,0)</f>
        <v>3999</v>
      </c>
      <c r="F142" s="251">
        <f t="shared" si="8"/>
        <v>0.0008682885140997548</v>
      </c>
    </row>
    <row r="143" spans="1:6" ht="12.75">
      <c r="A143" s="69" t="s">
        <v>348</v>
      </c>
      <c r="B143" s="69" t="s">
        <v>230</v>
      </c>
      <c r="C143" s="70">
        <v>1559</v>
      </c>
      <c r="D143" s="69">
        <v>4</v>
      </c>
      <c r="E143" s="233">
        <f>VLOOKUP(A143,'[1]OR Housing Units by County'!$A$5:$B$61,2,0)</f>
        <v>842</v>
      </c>
      <c r="F143" s="251">
        <f t="shared" si="8"/>
        <v>0.00018282043732733023</v>
      </c>
    </row>
    <row r="144" spans="1:6" ht="12.75">
      <c r="A144" s="69" t="s">
        <v>239</v>
      </c>
      <c r="B144" s="69" t="s">
        <v>234</v>
      </c>
      <c r="C144" s="69"/>
      <c r="D144" s="69">
        <v>4</v>
      </c>
      <c r="F144" s="251">
        <f t="shared" si="8"/>
        <v>0</v>
      </c>
    </row>
    <row r="145" spans="1:6" ht="12.75">
      <c r="A145" s="69" t="s">
        <v>244</v>
      </c>
      <c r="B145" s="69" t="s">
        <v>234</v>
      </c>
      <c r="C145" s="69"/>
      <c r="D145" s="69">
        <v>4</v>
      </c>
      <c r="F145" s="251">
        <f t="shared" si="8"/>
        <v>0</v>
      </c>
    </row>
    <row r="146" spans="1:6" ht="12.75">
      <c r="A146" s="69" t="s">
        <v>250</v>
      </c>
      <c r="B146" s="69" t="s">
        <v>251</v>
      </c>
      <c r="C146" s="69"/>
      <c r="D146" s="69">
        <v>4</v>
      </c>
      <c r="F146" s="251">
        <f t="shared" si="8"/>
        <v>0</v>
      </c>
    </row>
    <row r="147" spans="1:6" ht="12.75">
      <c r="A147" s="69" t="s">
        <v>267</v>
      </c>
      <c r="B147" s="69" t="s">
        <v>268</v>
      </c>
      <c r="C147" s="69"/>
      <c r="D147" s="69">
        <v>4</v>
      </c>
      <c r="F147" s="251">
        <f t="shared" si="8"/>
        <v>0</v>
      </c>
    </row>
    <row r="148" spans="1:6" ht="12.75">
      <c r="A148" s="69" t="s">
        <v>290</v>
      </c>
      <c r="B148" s="69" t="s">
        <v>285</v>
      </c>
      <c r="C148" s="69"/>
      <c r="D148" s="69">
        <v>4</v>
      </c>
      <c r="F148" s="251">
        <f t="shared" si="8"/>
        <v>0</v>
      </c>
    </row>
    <row r="149" spans="1:6" ht="12.75">
      <c r="A149" s="69" t="s">
        <v>296</v>
      </c>
      <c r="B149" s="69" t="s">
        <v>285</v>
      </c>
      <c r="C149" s="69"/>
      <c r="D149" s="69">
        <v>4</v>
      </c>
      <c r="F149" s="251">
        <f t="shared" si="8"/>
        <v>0</v>
      </c>
    </row>
    <row r="150" spans="1:6" ht="12.75">
      <c r="A150" s="69" t="s">
        <v>352</v>
      </c>
      <c r="B150" s="69" t="s">
        <v>226</v>
      </c>
      <c r="C150" s="159">
        <v>10406</v>
      </c>
      <c r="D150" s="69">
        <v>5</v>
      </c>
      <c r="E150" s="233">
        <f>VLOOKUP(A150,'[1]ID Housing Units by County'!$A$5:$B$48,2,0)</f>
        <v>4452</v>
      </c>
      <c r="F150" s="251">
        <f t="shared" si="8"/>
        <v>0.000966646777887499</v>
      </c>
    </row>
    <row r="151" spans="1:6" ht="12.75">
      <c r="A151" s="69" t="s">
        <v>299</v>
      </c>
      <c r="B151" s="69" t="s">
        <v>230</v>
      </c>
      <c r="C151" s="70">
        <v>7295</v>
      </c>
      <c r="D151" s="69">
        <v>5</v>
      </c>
      <c r="E151" s="233">
        <f>VLOOKUP(A151,'[1]OR Housing Units by County'!$A$5:$B$61,2,0)</f>
        <v>3533</v>
      </c>
      <c r="F151" s="251">
        <f t="shared" si="8"/>
        <v>0.0007671076069803535</v>
      </c>
    </row>
    <row r="152" spans="1:6" ht="12.75">
      <c r="A152" s="69" t="s">
        <v>324</v>
      </c>
      <c r="B152" s="69" t="s">
        <v>230</v>
      </c>
      <c r="C152" s="70">
        <v>28445</v>
      </c>
      <c r="D152" s="69">
        <v>5</v>
      </c>
      <c r="E152" s="233">
        <f>VLOOKUP(A152,'[1]OR Housing Units by County'!$A$5:$B$61,2,0)</f>
        <v>11233</v>
      </c>
      <c r="F152" s="251">
        <f t="shared" si="8"/>
        <v>0.0024389809649618768</v>
      </c>
    </row>
    <row r="153" spans="1:6" ht="12.75">
      <c r="A153" s="69" t="s">
        <v>256</v>
      </c>
      <c r="B153" s="69" t="s">
        <v>251</v>
      </c>
      <c r="C153" s="69"/>
      <c r="D153" s="69">
        <v>5</v>
      </c>
      <c r="F153" s="251">
        <f t="shared" si="8"/>
        <v>0</v>
      </c>
    </row>
    <row r="154" spans="1:6" ht="12.75">
      <c r="A154" s="69" t="s">
        <v>262</v>
      </c>
      <c r="B154" s="69" t="s">
        <v>251</v>
      </c>
      <c r="C154" s="69"/>
      <c r="D154" s="69">
        <v>5</v>
      </c>
      <c r="F154" s="251">
        <f t="shared" si="8"/>
        <v>0</v>
      </c>
    </row>
    <row r="155" ht="12.75">
      <c r="E155" s="249">
        <f>SUM(E10:E154)</f>
        <v>4605612</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7"/>
  <dimension ref="A2:AC105"/>
  <sheetViews>
    <sheetView workbookViewId="0" topLeftCell="R15">
      <selection activeCell="N31" sqref="N31"/>
    </sheetView>
  </sheetViews>
  <sheetFormatPr defaultColWidth="9.140625" defaultRowHeight="12.75"/>
  <cols>
    <col min="1" max="1" width="19.140625" style="0" customWidth="1"/>
    <col min="16" max="16" width="27.421875" style="0" customWidth="1"/>
    <col min="17" max="17" width="18.57421875" style="0" customWidth="1"/>
  </cols>
  <sheetData>
    <row r="2" spans="1:14" ht="12.75">
      <c r="A2" s="161"/>
      <c r="B2" s="161"/>
      <c r="C2" s="161"/>
      <c r="D2" s="161"/>
      <c r="E2" s="161"/>
      <c r="F2" s="161"/>
      <c r="G2" s="161"/>
      <c r="H2" s="161"/>
      <c r="I2" s="161"/>
      <c r="J2" s="161"/>
      <c r="K2" s="161"/>
      <c r="L2" s="161"/>
      <c r="M2" s="161"/>
      <c r="N2" t="s">
        <v>359</v>
      </c>
    </row>
    <row r="3" spans="1:13" ht="12.75">
      <c r="A3" s="161"/>
      <c r="B3" s="161"/>
      <c r="C3" s="161"/>
      <c r="D3" s="161"/>
      <c r="E3" s="161"/>
      <c r="F3" s="161"/>
      <c r="G3" s="161"/>
      <c r="H3" s="161"/>
      <c r="I3" s="161"/>
      <c r="J3" s="161"/>
      <c r="K3" s="161"/>
      <c r="L3" s="161"/>
      <c r="M3" s="161"/>
    </row>
    <row r="4" spans="1:29" ht="12.75">
      <c r="A4" s="162" t="s">
        <v>360</v>
      </c>
      <c r="B4" s="163" t="s">
        <v>165</v>
      </c>
      <c r="C4" s="163" t="s">
        <v>166</v>
      </c>
      <c r="D4" s="163" t="s">
        <v>167</v>
      </c>
      <c r="E4" s="163" t="s">
        <v>168</v>
      </c>
      <c r="F4" s="163" t="s">
        <v>169</v>
      </c>
      <c r="G4" s="163" t="s">
        <v>170</v>
      </c>
      <c r="H4" s="163" t="s">
        <v>171</v>
      </c>
      <c r="I4" s="163" t="s">
        <v>172</v>
      </c>
      <c r="J4" s="163" t="s">
        <v>173</v>
      </c>
      <c r="K4" s="163" t="s">
        <v>174</v>
      </c>
      <c r="L4" s="163" t="s">
        <v>175</v>
      </c>
      <c r="M4" s="163" t="s">
        <v>176</v>
      </c>
      <c r="R4" s="163" t="s">
        <v>165</v>
      </c>
      <c r="S4" s="163" t="s">
        <v>166</v>
      </c>
      <c r="T4" s="163" t="s">
        <v>167</v>
      </c>
      <c r="U4" s="163" t="s">
        <v>168</v>
      </c>
      <c r="V4" s="163" t="s">
        <v>169</v>
      </c>
      <c r="W4" s="163" t="s">
        <v>170</v>
      </c>
      <c r="X4" s="163" t="s">
        <v>171</v>
      </c>
      <c r="Y4" s="163" t="s">
        <v>172</v>
      </c>
      <c r="Z4" s="163" t="s">
        <v>173</v>
      </c>
      <c r="AA4" s="163" t="s">
        <v>174</v>
      </c>
      <c r="AB4" s="163" t="s">
        <v>175</v>
      </c>
      <c r="AC4" s="163" t="s">
        <v>176</v>
      </c>
    </row>
    <row r="5" spans="1:29" ht="12.75">
      <c r="A5" s="164" t="s">
        <v>361</v>
      </c>
      <c r="B5" s="164">
        <v>0.028150936176119967</v>
      </c>
      <c r="C5" s="164">
        <v>0.039445601369528176</v>
      </c>
      <c r="D5" s="164">
        <v>0.06552386145122872</v>
      </c>
      <c r="E5" s="164">
        <v>0.06812976182018846</v>
      </c>
      <c r="F5" s="164">
        <v>0.0855635430023921</v>
      </c>
      <c r="G5" s="164">
        <v>0.08798030878731579</v>
      </c>
      <c r="H5" s="164">
        <v>0.09337016319708442</v>
      </c>
      <c r="I5" s="164">
        <v>0.09041534733371172</v>
      </c>
      <c r="J5" s="164">
        <v>0.07615675205070084</v>
      </c>
      <c r="K5" s="164">
        <v>0.04638174992879421</v>
      </c>
      <c r="L5" s="164">
        <v>0.02694632968588649</v>
      </c>
      <c r="M5" s="164">
        <v>0.021672464990937137</v>
      </c>
      <c r="N5" s="165">
        <f>'Input Assumptions'!H$8</f>
        <v>0.9566261668292665</v>
      </c>
      <c r="P5" s="162" t="s">
        <v>188</v>
      </c>
      <c r="Q5" s="164" t="s">
        <v>361</v>
      </c>
      <c r="R5" s="164">
        <f aca="true" t="shared" si="0" ref="R5:AC8">($N5*B5)+($N11*B11)</f>
        <v>0.02900443786678404</v>
      </c>
      <c r="S5" s="164">
        <f t="shared" si="0"/>
        <v>0.03937589933716996</v>
      </c>
      <c r="T5" s="164">
        <f t="shared" si="0"/>
        <v>0.06514339765020068</v>
      </c>
      <c r="U5" s="164">
        <f t="shared" si="0"/>
        <v>0.06785314301315457</v>
      </c>
      <c r="V5" s="164">
        <f t="shared" si="0"/>
        <v>0.0851512039088746</v>
      </c>
      <c r="W5" s="164">
        <f t="shared" si="0"/>
        <v>0.08725534890600298</v>
      </c>
      <c r="X5" s="164">
        <f t="shared" si="0"/>
        <v>0.09334178763566282</v>
      </c>
      <c r="Y5" s="164">
        <f t="shared" si="0"/>
        <v>0.09103731434741119</v>
      </c>
      <c r="Z5" s="164">
        <f t="shared" si="0"/>
        <v>0.07615556247765645</v>
      </c>
      <c r="AA5" s="164">
        <f t="shared" si="0"/>
        <v>0.046909144520871644</v>
      </c>
      <c r="AB5" s="164">
        <f t="shared" si="0"/>
        <v>0.027329562202731136</v>
      </c>
      <c r="AC5" s="164">
        <f t="shared" si="0"/>
        <v>0.02226482700600753</v>
      </c>
    </row>
    <row r="6" spans="1:29" ht="12.75">
      <c r="A6" s="164" t="s">
        <v>362</v>
      </c>
      <c r="B6" s="164">
        <v>0.01446000611615639</v>
      </c>
      <c r="C6" s="164">
        <v>0.019697754252514365</v>
      </c>
      <c r="D6" s="164">
        <v>0.01881823629639468</v>
      </c>
      <c r="E6" s="164">
        <v>0.02398454197112447</v>
      </c>
      <c r="F6" s="164">
        <v>0.03665776022305697</v>
      </c>
      <c r="G6" s="164">
        <v>0.03046988886263771</v>
      </c>
      <c r="H6" s="164">
        <v>0.0388367397754856</v>
      </c>
      <c r="I6" s="164">
        <v>0.018016614674359947</v>
      </c>
      <c r="J6" s="164">
        <v>0.03246726996365416</v>
      </c>
      <c r="K6" s="164">
        <v>0.026183290438953545</v>
      </c>
      <c r="L6" s="164">
        <v>0.017088259498566787</v>
      </c>
      <c r="M6" s="164">
        <v>0.016360222125678895</v>
      </c>
      <c r="N6" s="165">
        <f>'Input Assumptions'!H$8</f>
        <v>0.9566261668292665</v>
      </c>
      <c r="P6" s="166" t="s">
        <v>363</v>
      </c>
      <c r="Q6" s="164" t="s">
        <v>362</v>
      </c>
      <c r="R6" s="164">
        <f t="shared" si="0"/>
        <v>0.014751123034311387</v>
      </c>
      <c r="S6" s="164">
        <f t="shared" si="0"/>
        <v>0.01972213682044143</v>
      </c>
      <c r="T6" s="164">
        <f t="shared" si="0"/>
        <v>0.019152116505056275</v>
      </c>
      <c r="U6" s="164">
        <f t="shared" si="0"/>
        <v>0.02403873613193099</v>
      </c>
      <c r="V6" s="164">
        <f t="shared" si="0"/>
        <v>0.03594230692000436</v>
      </c>
      <c r="W6" s="164">
        <f t="shared" si="0"/>
        <v>0.030193866364760145</v>
      </c>
      <c r="X6" s="164">
        <f t="shared" si="0"/>
        <v>0.03871795924665562</v>
      </c>
      <c r="Y6" s="164">
        <f t="shared" si="0"/>
        <v>0.017921892196808127</v>
      </c>
      <c r="Z6" s="164">
        <f t="shared" si="0"/>
        <v>0.03216599879517513</v>
      </c>
      <c r="AA6" s="164">
        <f t="shared" si="0"/>
        <v>0.026641500996509738</v>
      </c>
      <c r="AB6" s="164">
        <f t="shared" si="0"/>
        <v>0.017048597676991805</v>
      </c>
      <c r="AC6" s="164">
        <f t="shared" si="0"/>
        <v>0.016551377174932894</v>
      </c>
    </row>
    <row r="7" spans="1:29" ht="12.75">
      <c r="A7" s="164" t="s">
        <v>364</v>
      </c>
      <c r="B7" s="164">
        <v>0</v>
      </c>
      <c r="C7" s="164">
        <v>0</v>
      </c>
      <c r="D7" s="164">
        <v>-0.0007108563723795056</v>
      </c>
      <c r="E7" s="164">
        <v>-0.0004043794454662938</v>
      </c>
      <c r="F7" s="164">
        <v>-0.00018448399284467793</v>
      </c>
      <c r="G7" s="164">
        <v>-0.0006407247202825262</v>
      </c>
      <c r="H7" s="164">
        <v>-0.0031661731880372763</v>
      </c>
      <c r="I7" s="164">
        <v>-0.0035278298412196856</v>
      </c>
      <c r="J7" s="164">
        <v>-0.0020850305850310573</v>
      </c>
      <c r="K7" s="164">
        <v>9.953665559427588E-05</v>
      </c>
      <c r="L7" s="164">
        <v>0</v>
      </c>
      <c r="M7" s="164">
        <v>0</v>
      </c>
      <c r="N7" s="165">
        <f>'Input Assumptions'!H$8</f>
        <v>0.9566261668292665</v>
      </c>
      <c r="P7" s="167">
        <f>'Load &amp; Coinc Fctrs'!K28</f>
        <v>10.431844421383099</v>
      </c>
      <c r="Q7" s="164" t="s">
        <v>364</v>
      </c>
      <c r="R7" s="164">
        <f t="shared" si="0"/>
        <v>0</v>
      </c>
      <c r="S7" s="164">
        <f t="shared" si="0"/>
        <v>0</v>
      </c>
      <c r="T7" s="164">
        <f t="shared" si="0"/>
        <v>-0.0006800238066755641</v>
      </c>
      <c r="U7" s="164">
        <f t="shared" si="0"/>
        <v>-0.0004052658350905516</v>
      </c>
      <c r="V7" s="164">
        <f t="shared" si="0"/>
        <v>-0.0002693514740924846</v>
      </c>
      <c r="W7" s="164">
        <f t="shared" si="0"/>
        <v>-0.000724641612680859</v>
      </c>
      <c r="X7" s="164">
        <f t="shared" si="0"/>
        <v>-0.0033359085209681088</v>
      </c>
      <c r="Y7" s="164">
        <f t="shared" si="0"/>
        <v>-0.0036889192434385568</v>
      </c>
      <c r="Z7" s="164">
        <f t="shared" si="0"/>
        <v>-0.0020600039913630606</v>
      </c>
      <c r="AA7" s="164">
        <f t="shared" si="0"/>
        <v>9.771924786281189E-05</v>
      </c>
      <c r="AB7" s="164">
        <f t="shared" si="0"/>
        <v>0</v>
      </c>
      <c r="AC7" s="164">
        <f t="shared" si="0"/>
        <v>0</v>
      </c>
    </row>
    <row r="8" spans="1:29" ht="12.75">
      <c r="A8" s="164" t="s">
        <v>365</v>
      </c>
      <c r="B8" s="164">
        <v>0</v>
      </c>
      <c r="C8" s="164">
        <v>0</v>
      </c>
      <c r="D8" s="164">
        <v>0</v>
      </c>
      <c r="E8" s="164">
        <v>-0.00021352984369324773</v>
      </c>
      <c r="F8" s="164">
        <v>-0.0004248200529270598</v>
      </c>
      <c r="G8" s="164">
        <v>-0.0006753256456836683</v>
      </c>
      <c r="H8" s="164">
        <v>-0.0005162800549164126</v>
      </c>
      <c r="I8" s="164">
        <v>-0.0013930210896217327</v>
      </c>
      <c r="J8" s="164">
        <v>-0.0019269238081720155</v>
      </c>
      <c r="K8" s="164">
        <v>0</v>
      </c>
      <c r="L8" s="164">
        <v>0</v>
      </c>
      <c r="M8" s="164">
        <v>0</v>
      </c>
      <c r="N8" s="165">
        <f>'Input Assumptions'!H$8</f>
        <v>0.9566261668292665</v>
      </c>
      <c r="P8" s="167">
        <f>'Load &amp; Coinc Fctrs'!K32</f>
        <v>0.5072614668353319</v>
      </c>
      <c r="Q8" s="164" t="s">
        <v>365</v>
      </c>
      <c r="R8" s="164">
        <f t="shared" si="0"/>
        <v>0</v>
      </c>
      <c r="S8" s="164">
        <f t="shared" si="0"/>
        <v>0</v>
      </c>
      <c r="T8" s="164">
        <f t="shared" si="0"/>
        <v>0</v>
      </c>
      <c r="U8" s="164">
        <f t="shared" si="0"/>
        <v>-0.0002253484897158123</v>
      </c>
      <c r="V8" s="164">
        <f t="shared" si="0"/>
        <v>-0.00043290464639284774</v>
      </c>
      <c r="W8" s="164">
        <f t="shared" si="0"/>
        <v>-0.000721345490486408</v>
      </c>
      <c r="X8" s="164">
        <f t="shared" si="0"/>
        <v>-0.0006337231086225026</v>
      </c>
      <c r="Y8" s="164">
        <f t="shared" si="0"/>
        <v>-0.0013924724911699084</v>
      </c>
      <c r="Z8" s="164">
        <f t="shared" si="0"/>
        <v>-0.001895524730118175</v>
      </c>
      <c r="AA8" s="164">
        <f t="shared" si="0"/>
        <v>0</v>
      </c>
      <c r="AB8" s="164">
        <f t="shared" si="0"/>
        <v>0</v>
      </c>
      <c r="AC8" s="164">
        <f t="shared" si="0"/>
        <v>0</v>
      </c>
    </row>
    <row r="9" spans="1:13" ht="12.75">
      <c r="A9" s="161"/>
      <c r="B9" s="161"/>
      <c r="C9" s="161"/>
      <c r="D9" s="161"/>
      <c r="E9" s="161"/>
      <c r="F9" s="161"/>
      <c r="G9" s="161"/>
      <c r="H9" s="161"/>
      <c r="I9" s="161"/>
      <c r="J9" s="161"/>
      <c r="K9" s="161"/>
      <c r="L9" s="161"/>
      <c r="M9" s="161"/>
    </row>
    <row r="10" spans="1:29" ht="12.75">
      <c r="A10" s="162" t="s">
        <v>366</v>
      </c>
      <c r="B10" s="163" t="s">
        <v>165</v>
      </c>
      <c r="C10" s="163" t="s">
        <v>166</v>
      </c>
      <c r="D10" s="163" t="s">
        <v>167</v>
      </c>
      <c r="E10" s="163" t="s">
        <v>168</v>
      </c>
      <c r="F10" s="163" t="s">
        <v>169</v>
      </c>
      <c r="G10" s="163" t="s">
        <v>170</v>
      </c>
      <c r="H10" s="163" t="s">
        <v>171</v>
      </c>
      <c r="I10" s="163" t="s">
        <v>172</v>
      </c>
      <c r="J10" s="163" t="s">
        <v>173</v>
      </c>
      <c r="K10" s="163" t="s">
        <v>174</v>
      </c>
      <c r="L10" s="163" t="s">
        <v>175</v>
      </c>
      <c r="M10" s="163" t="s">
        <v>176</v>
      </c>
      <c r="R10" s="163" t="s">
        <v>165</v>
      </c>
      <c r="S10" s="163" t="s">
        <v>166</v>
      </c>
      <c r="T10" s="163" t="s">
        <v>167</v>
      </c>
      <c r="U10" s="163" t="s">
        <v>168</v>
      </c>
      <c r="V10" s="163" t="s">
        <v>169</v>
      </c>
      <c r="W10" s="163" t="s">
        <v>170</v>
      </c>
      <c r="X10" s="163" t="s">
        <v>171</v>
      </c>
      <c r="Y10" s="163" t="s">
        <v>172</v>
      </c>
      <c r="Z10" s="163" t="s">
        <v>173</v>
      </c>
      <c r="AA10" s="163" t="s">
        <v>174</v>
      </c>
      <c r="AB10" s="163" t="s">
        <v>175</v>
      </c>
      <c r="AC10" s="163" t="s">
        <v>176</v>
      </c>
    </row>
    <row r="11" spans="1:29" ht="12.75">
      <c r="A11" s="164" t="s">
        <v>361</v>
      </c>
      <c r="B11" s="164">
        <v>0.04782873793517626</v>
      </c>
      <c r="C11" s="164">
        <v>0.037838594857471784</v>
      </c>
      <c r="D11" s="164">
        <v>0.05675212574757482</v>
      </c>
      <c r="E11" s="164">
        <v>0.0617522114214256</v>
      </c>
      <c r="F11" s="164">
        <v>0.0760569104690299</v>
      </c>
      <c r="G11" s="164">
        <v>0.07126608667881248</v>
      </c>
      <c r="H11" s="164">
        <v>0.09271595398043729</v>
      </c>
      <c r="I11" s="164">
        <v>0.10475503023079849</v>
      </c>
      <c r="J11" s="164">
        <v>0.07612932599776905</v>
      </c>
      <c r="K11" s="164">
        <v>0.05854103015660896</v>
      </c>
      <c r="L11" s="164">
        <v>0.03578189917166648</v>
      </c>
      <c r="M11" s="164">
        <v>0.03532959353520624</v>
      </c>
      <c r="N11" s="165">
        <f>'Input Assumptions'!H$9</f>
        <v>0.04337383317073355</v>
      </c>
      <c r="P11" s="162" t="s">
        <v>189</v>
      </c>
      <c r="Q11" s="164" t="s">
        <v>361</v>
      </c>
      <c r="R11" s="164">
        <v>0.028150936176119967</v>
      </c>
      <c r="S11" s="164">
        <v>0.039445601369528176</v>
      </c>
      <c r="T11" s="164">
        <v>0.06552386145122872</v>
      </c>
      <c r="U11" s="164">
        <v>0.06812976182018846</v>
      </c>
      <c r="V11" s="164">
        <v>0.0855635430023921</v>
      </c>
      <c r="W11" s="164">
        <v>0.08798030878731579</v>
      </c>
      <c r="X11" s="164">
        <v>0.09337016319708442</v>
      </c>
      <c r="Y11" s="164">
        <v>0.09041534733371172</v>
      </c>
      <c r="Z11" s="164">
        <v>0.07615675205070084</v>
      </c>
      <c r="AA11" s="164">
        <v>0.04638174992879421</v>
      </c>
      <c r="AB11" s="164">
        <v>0.02694632968588649</v>
      </c>
      <c r="AC11" s="164">
        <v>0.021672464990937137</v>
      </c>
    </row>
    <row r="12" spans="1:29" ht="12.75">
      <c r="A12" s="164" t="s">
        <v>362</v>
      </c>
      <c r="B12" s="164">
        <v>0.021171815907305484</v>
      </c>
      <c r="C12" s="164">
        <v>0.020259903505753893</v>
      </c>
      <c r="D12" s="164">
        <v>0.026515969797312883</v>
      </c>
      <c r="E12" s="164">
        <v>0.025234008685149748</v>
      </c>
      <c r="F12" s="164">
        <v>0.020162715843733647</v>
      </c>
      <c r="G12" s="164">
        <v>0.024106086595241855</v>
      </c>
      <c r="H12" s="164">
        <v>0.036098210110320314</v>
      </c>
      <c r="I12" s="164">
        <v>0.015832752409317346</v>
      </c>
      <c r="J12" s="164">
        <v>0.02552135012085098</v>
      </c>
      <c r="K12" s="164">
        <v>0.03674750678922457</v>
      </c>
      <c r="L12" s="164">
        <v>0.016173841318857806</v>
      </c>
      <c r="M12" s="164">
        <v>0.02076737351812211</v>
      </c>
      <c r="N12" s="165">
        <f>'Input Assumptions'!H$9</f>
        <v>0.04337383317073355</v>
      </c>
      <c r="P12" s="167">
        <f>'Load &amp; Coinc Fctrs'!L28</f>
        <v>8.435799977604587</v>
      </c>
      <c r="Q12" s="164" t="s">
        <v>362</v>
      </c>
      <c r="R12" s="164">
        <v>0.01446000611615639</v>
      </c>
      <c r="S12" s="164">
        <v>0.019697754252514365</v>
      </c>
      <c r="T12" s="164">
        <v>0.01881823629639468</v>
      </c>
      <c r="U12" s="164">
        <v>0.02398454197112447</v>
      </c>
      <c r="V12" s="164">
        <v>0.03665776022305697</v>
      </c>
      <c r="W12" s="164">
        <v>0.03046988886263771</v>
      </c>
      <c r="X12" s="164">
        <v>0.0388367397754856</v>
      </c>
      <c r="Y12" s="164">
        <v>0.018016614674359947</v>
      </c>
      <c r="Z12" s="164">
        <v>0.03246726996365416</v>
      </c>
      <c r="AA12" s="164">
        <v>0.026183290438953545</v>
      </c>
      <c r="AB12" s="164">
        <v>0.017088259498566787</v>
      </c>
      <c r="AC12" s="164">
        <v>0.016360222125678895</v>
      </c>
    </row>
    <row r="13" spans="1:29" ht="12.75">
      <c r="A13" s="164" t="s">
        <v>364</v>
      </c>
      <c r="B13" s="164">
        <v>0</v>
      </c>
      <c r="C13" s="164">
        <v>0</v>
      </c>
      <c r="D13" s="164">
        <v>0</v>
      </c>
      <c r="E13" s="164">
        <v>-0.0004248154908757151</v>
      </c>
      <c r="F13" s="164">
        <v>-0.002141135619961436</v>
      </c>
      <c r="G13" s="164">
        <v>-0.002575460164761426</v>
      </c>
      <c r="H13" s="164">
        <v>-0.007079484982793779</v>
      </c>
      <c r="I13" s="164">
        <v>-0.007241806458982997</v>
      </c>
      <c r="J13" s="164">
        <v>-0.0015080330766604243</v>
      </c>
      <c r="K13" s="164">
        <v>5.763563835399449E-05</v>
      </c>
      <c r="L13" s="164">
        <v>0</v>
      </c>
      <c r="M13" s="164">
        <v>0</v>
      </c>
      <c r="N13" s="165">
        <f>'Input Assumptions'!H$9</f>
        <v>0.04337383317073355</v>
      </c>
      <c r="P13" s="167">
        <f>'Load &amp; Coinc Fctrs'!L32</f>
        <v>0.5701061561168407</v>
      </c>
      <c r="Q13" s="164" t="s">
        <v>364</v>
      </c>
      <c r="R13" s="164">
        <v>0</v>
      </c>
      <c r="S13" s="164">
        <v>0</v>
      </c>
      <c r="T13" s="164">
        <v>-0.0007108563723795056</v>
      </c>
      <c r="U13" s="164">
        <v>-0.0004043794454662938</v>
      </c>
      <c r="V13" s="164">
        <v>-0.00018448399284467793</v>
      </c>
      <c r="W13" s="164">
        <v>-0.0006407247202825262</v>
      </c>
      <c r="X13" s="164">
        <v>-0.0031661731880372763</v>
      </c>
      <c r="Y13" s="164">
        <v>-0.0035278298412196856</v>
      </c>
      <c r="Z13" s="164">
        <v>-0.0020850305850310573</v>
      </c>
      <c r="AA13" s="164">
        <v>9.953665559427588E-05</v>
      </c>
      <c r="AB13" s="164">
        <v>0</v>
      </c>
      <c r="AC13" s="164">
        <v>0</v>
      </c>
    </row>
    <row r="14" spans="1:29" ht="12.75">
      <c r="A14" s="164" t="s">
        <v>365</v>
      </c>
      <c r="B14" s="164">
        <v>0</v>
      </c>
      <c r="C14" s="164">
        <v>0</v>
      </c>
      <c r="D14" s="164">
        <v>0</v>
      </c>
      <c r="E14" s="164">
        <v>-0.0004860131627497516</v>
      </c>
      <c r="F14" s="164">
        <v>-0.0006112133890651023</v>
      </c>
      <c r="G14" s="164">
        <v>-0.001736330436788726</v>
      </c>
      <c r="H14" s="164">
        <v>-0.0032239737292060655</v>
      </c>
      <c r="I14" s="164">
        <v>-0.0013803729464505953</v>
      </c>
      <c r="J14" s="164">
        <v>-0.0012030062809789785</v>
      </c>
      <c r="K14" s="164">
        <v>0</v>
      </c>
      <c r="L14" s="164">
        <v>0</v>
      </c>
      <c r="M14" s="164">
        <v>0</v>
      </c>
      <c r="N14" s="165">
        <f>'Input Assumptions'!H$9</f>
        <v>0.04337383317073355</v>
      </c>
      <c r="Q14" s="164" t="s">
        <v>365</v>
      </c>
      <c r="R14" s="164">
        <v>0</v>
      </c>
      <c r="S14" s="164">
        <v>0</v>
      </c>
      <c r="T14" s="164">
        <v>0</v>
      </c>
      <c r="U14" s="164">
        <v>-0.00021352984369324773</v>
      </c>
      <c r="V14" s="164">
        <v>-0.0004248200529270598</v>
      </c>
      <c r="W14" s="164">
        <v>-0.0006753256456836683</v>
      </c>
      <c r="X14" s="164">
        <v>-0.0005162800549164126</v>
      </c>
      <c r="Y14" s="164">
        <v>-0.0013930210896217327</v>
      </c>
      <c r="Z14" s="164">
        <v>-0.0019269238081720155</v>
      </c>
      <c r="AA14" s="164">
        <v>0</v>
      </c>
      <c r="AB14" s="164">
        <v>0</v>
      </c>
      <c r="AC14" s="164">
        <v>0</v>
      </c>
    </row>
    <row r="15" spans="1:13" ht="12.75">
      <c r="A15" s="164"/>
      <c r="B15" s="164"/>
      <c r="C15" s="164"/>
      <c r="D15" s="164"/>
      <c r="E15" s="164"/>
      <c r="F15" s="164"/>
      <c r="G15" s="164"/>
      <c r="H15" s="164"/>
      <c r="I15" s="164"/>
      <c r="J15" s="164"/>
      <c r="K15" s="164"/>
      <c r="L15" s="164"/>
      <c r="M15" s="164"/>
    </row>
    <row r="16" spans="1:29" ht="12.75">
      <c r="A16" s="162" t="s">
        <v>367</v>
      </c>
      <c r="B16" s="163" t="s">
        <v>165</v>
      </c>
      <c r="C16" s="163" t="s">
        <v>166</v>
      </c>
      <c r="D16" s="163" t="s">
        <v>167</v>
      </c>
      <c r="E16" s="163" t="s">
        <v>168</v>
      </c>
      <c r="F16" s="163" t="s">
        <v>169</v>
      </c>
      <c r="G16" s="163" t="s">
        <v>170</v>
      </c>
      <c r="H16" s="163" t="s">
        <v>171</v>
      </c>
      <c r="I16" s="163" t="s">
        <v>172</v>
      </c>
      <c r="J16" s="163" t="s">
        <v>173</v>
      </c>
      <c r="K16" s="163" t="s">
        <v>174</v>
      </c>
      <c r="L16" s="163" t="s">
        <v>175</v>
      </c>
      <c r="M16" s="163" t="s">
        <v>176</v>
      </c>
      <c r="R16" s="163" t="s">
        <v>165</v>
      </c>
      <c r="S16" s="163" t="s">
        <v>166</v>
      </c>
      <c r="T16" s="163" t="s">
        <v>167</v>
      </c>
      <c r="U16" s="163" t="s">
        <v>168</v>
      </c>
      <c r="V16" s="163" t="s">
        <v>169</v>
      </c>
      <c r="W16" s="163" t="s">
        <v>170</v>
      </c>
      <c r="X16" s="163" t="s">
        <v>171</v>
      </c>
      <c r="Y16" s="163" t="s">
        <v>172</v>
      </c>
      <c r="Z16" s="163" t="s">
        <v>173</v>
      </c>
      <c r="AA16" s="163" t="s">
        <v>174</v>
      </c>
      <c r="AB16" s="163" t="s">
        <v>175</v>
      </c>
      <c r="AC16" s="163" t="s">
        <v>176</v>
      </c>
    </row>
    <row r="17" spans="1:29" ht="12.75">
      <c r="A17" s="164" t="s">
        <v>361</v>
      </c>
      <c r="B17" s="164">
        <v>0.035944187278421164</v>
      </c>
      <c r="C17" s="164">
        <v>0.03984782526566953</v>
      </c>
      <c r="D17" s="164">
        <v>0.06590328628628778</v>
      </c>
      <c r="E17" s="164">
        <v>0.06631894052532428</v>
      </c>
      <c r="F17" s="164">
        <v>0.08189604199288689</v>
      </c>
      <c r="G17" s="164">
        <v>0.07894173995615256</v>
      </c>
      <c r="H17" s="164">
        <v>0.08456662324439622</v>
      </c>
      <c r="I17" s="164">
        <v>0.09505377813737168</v>
      </c>
      <c r="J17" s="164">
        <v>0.06505653222359109</v>
      </c>
      <c r="K17" s="164">
        <v>0.0656515111848927</v>
      </c>
      <c r="L17" s="164">
        <v>0.03644372830303507</v>
      </c>
      <c r="M17" s="164">
        <v>0.030553441939255258</v>
      </c>
      <c r="N17" s="165">
        <f>'Input Assumptions'!H$7</f>
        <v>1</v>
      </c>
      <c r="P17" s="162" t="s">
        <v>190</v>
      </c>
      <c r="Q17" s="164" t="s">
        <v>361</v>
      </c>
      <c r="R17" s="164">
        <v>0.028150936176119967</v>
      </c>
      <c r="S17" s="164">
        <v>0.039445601369528176</v>
      </c>
      <c r="T17" s="164">
        <v>0.06552386145122872</v>
      </c>
      <c r="U17" s="164">
        <v>0.06812976182018846</v>
      </c>
      <c r="V17" s="164">
        <v>0.0855635430023921</v>
      </c>
      <c r="W17" s="164">
        <v>0.08798030878731579</v>
      </c>
      <c r="X17" s="164">
        <v>0.09337016319708442</v>
      </c>
      <c r="Y17" s="164">
        <v>0.09041534733371172</v>
      </c>
      <c r="Z17" s="164">
        <v>0.07615675205070084</v>
      </c>
      <c r="AA17" s="164">
        <v>0.04638174992879421</v>
      </c>
      <c r="AB17" s="164">
        <v>0.02694632968588649</v>
      </c>
      <c r="AC17" s="164">
        <v>0.021672464990937137</v>
      </c>
    </row>
    <row r="18" spans="1:29" ht="12.75">
      <c r="A18" s="164" t="s">
        <v>362</v>
      </c>
      <c r="B18" s="164">
        <v>0.019419615024827405</v>
      </c>
      <c r="C18" s="164">
        <v>0.01748497220104023</v>
      </c>
      <c r="D18" s="164">
        <v>0.020574950313188504</v>
      </c>
      <c r="E18" s="164">
        <v>0.02199517265744467</v>
      </c>
      <c r="F18" s="164">
        <v>0.024727411906783646</v>
      </c>
      <c r="G18" s="164">
        <v>0.03291431904063209</v>
      </c>
      <c r="H18" s="164">
        <v>0.046192698628173025</v>
      </c>
      <c r="I18" s="164">
        <v>0.020420359692606395</v>
      </c>
      <c r="J18" s="164">
        <v>0.03819152045364773</v>
      </c>
      <c r="K18" s="164">
        <v>0.018839221140634507</v>
      </c>
      <c r="L18" s="164">
        <v>0.01324855796087538</v>
      </c>
      <c r="M18" s="164">
        <v>0.013552155618248097</v>
      </c>
      <c r="N18" s="165">
        <f>'Input Assumptions'!H$7</f>
        <v>1</v>
      </c>
      <c r="P18" s="167">
        <f>'Load &amp; Coinc Fctrs'!M28</f>
        <v>5.08003271198476</v>
      </c>
      <c r="Q18" s="164" t="s">
        <v>362</v>
      </c>
      <c r="R18" s="164">
        <v>0.01446000611615639</v>
      </c>
      <c r="S18" s="164">
        <v>0.019697754252514365</v>
      </c>
      <c r="T18" s="164">
        <v>0.01881823629639468</v>
      </c>
      <c r="U18" s="164">
        <v>0.02398454197112447</v>
      </c>
      <c r="V18" s="164">
        <v>0.03665776022305697</v>
      </c>
      <c r="W18" s="164">
        <v>0.03046988886263771</v>
      </c>
      <c r="X18" s="164">
        <v>0.0388367397754856</v>
      </c>
      <c r="Y18" s="164">
        <v>0.018016614674359947</v>
      </c>
      <c r="Z18" s="164">
        <v>0.03246726996365416</v>
      </c>
      <c r="AA18" s="164">
        <v>0.026183290438953545</v>
      </c>
      <c r="AB18" s="164">
        <v>0.017088259498566787</v>
      </c>
      <c r="AC18" s="164">
        <v>0.016360222125678895</v>
      </c>
    </row>
    <row r="19" spans="1:29" ht="12.75">
      <c r="A19" s="164" t="s">
        <v>364</v>
      </c>
      <c r="B19" s="164">
        <v>0</v>
      </c>
      <c r="C19" s="164">
        <v>0</v>
      </c>
      <c r="D19" s="164">
        <v>-0.0005115730630958638</v>
      </c>
      <c r="E19" s="164">
        <v>-0.0005081047322442306</v>
      </c>
      <c r="F19" s="164">
        <v>-0.00371758880258914</v>
      </c>
      <c r="G19" s="164">
        <v>-0.0016934993183001547</v>
      </c>
      <c r="H19" s="164">
        <v>-0.002707975334552802</v>
      </c>
      <c r="I19" s="164">
        <v>-0.00467323300575446</v>
      </c>
      <c r="J19" s="164">
        <v>-0.0022309887593229445</v>
      </c>
      <c r="K19" s="164">
        <v>-0.000601069769116044</v>
      </c>
      <c r="L19" s="164">
        <v>0</v>
      </c>
      <c r="M19" s="164">
        <v>0</v>
      </c>
      <c r="N19" s="165">
        <f>'Input Assumptions'!H$7</f>
        <v>1</v>
      </c>
      <c r="P19" s="167">
        <f>'Load &amp; Coinc Fctrs'!M32</f>
        <v>0.4512219511713349</v>
      </c>
      <c r="Q19" s="164" t="s">
        <v>364</v>
      </c>
      <c r="R19" s="164">
        <v>0</v>
      </c>
      <c r="S19" s="164">
        <v>0</v>
      </c>
      <c r="T19" s="164">
        <v>-0.0007108563723795056</v>
      </c>
      <c r="U19" s="164">
        <v>-0.0004043794454662938</v>
      </c>
      <c r="V19" s="164">
        <v>-0.00018448399284467793</v>
      </c>
      <c r="W19" s="164">
        <v>-0.0006407247202825262</v>
      </c>
      <c r="X19" s="164">
        <v>-0.0031661731880372763</v>
      </c>
      <c r="Y19" s="164">
        <v>-0.0035278298412196856</v>
      </c>
      <c r="Z19" s="164">
        <v>-0.0020850305850310573</v>
      </c>
      <c r="AA19" s="164">
        <v>9.953665559427588E-05</v>
      </c>
      <c r="AB19" s="164">
        <v>0</v>
      </c>
      <c r="AC19" s="164">
        <v>0</v>
      </c>
    </row>
    <row r="20" spans="1:29" ht="12.75">
      <c r="A20" s="164" t="s">
        <v>365</v>
      </c>
      <c r="B20" s="164">
        <v>0</v>
      </c>
      <c r="C20" s="164">
        <v>0</v>
      </c>
      <c r="D20" s="164">
        <v>-0.0005713881436764891</v>
      </c>
      <c r="E20" s="164">
        <v>0</v>
      </c>
      <c r="F20" s="164">
        <v>-0.0011290406644269078</v>
      </c>
      <c r="G20" s="164">
        <v>-0.0008527087908800649</v>
      </c>
      <c r="H20" s="164">
        <v>-0.001762576190571845</v>
      </c>
      <c r="I20" s="164">
        <v>-0.0023492806439397067</v>
      </c>
      <c r="J20" s="164">
        <v>-0.0023711248170329743</v>
      </c>
      <c r="K20" s="164">
        <v>-0.00024804876861197876</v>
      </c>
      <c r="L20" s="164">
        <v>0</v>
      </c>
      <c r="M20" s="164">
        <v>0</v>
      </c>
      <c r="N20" s="165">
        <f>'Input Assumptions'!H$7</f>
        <v>1</v>
      </c>
      <c r="Q20" s="164" t="s">
        <v>365</v>
      </c>
      <c r="R20" s="164">
        <v>0</v>
      </c>
      <c r="S20" s="164">
        <v>0</v>
      </c>
      <c r="T20" s="164">
        <v>0</v>
      </c>
      <c r="U20" s="164">
        <v>-0.00021352984369324773</v>
      </c>
      <c r="V20" s="164">
        <v>-0.0004248200529270598</v>
      </c>
      <c r="W20" s="164">
        <v>-0.0006753256456836683</v>
      </c>
      <c r="X20" s="164">
        <v>-0.0005162800549164126</v>
      </c>
      <c r="Y20" s="164">
        <v>-0.0013930210896217327</v>
      </c>
      <c r="Z20" s="164">
        <v>-0.0019269238081720155</v>
      </c>
      <c r="AA20" s="164">
        <v>0</v>
      </c>
      <c r="AB20" s="164">
        <v>0</v>
      </c>
      <c r="AC20" s="164">
        <v>0</v>
      </c>
    </row>
    <row r="21" spans="1:13" ht="12.75">
      <c r="A21" s="161"/>
      <c r="B21" s="161"/>
      <c r="C21" s="161"/>
      <c r="D21" s="161"/>
      <c r="E21" s="161"/>
      <c r="F21" s="161"/>
      <c r="G21" s="161"/>
      <c r="H21" s="161"/>
      <c r="I21" s="161"/>
      <c r="J21" s="161"/>
      <c r="K21" s="161"/>
      <c r="L21" s="161"/>
      <c r="M21" s="161"/>
    </row>
    <row r="22" spans="1:29" ht="12.75">
      <c r="A22" s="162" t="s">
        <v>368</v>
      </c>
      <c r="B22" s="163" t="s">
        <v>165</v>
      </c>
      <c r="C22" s="163" t="s">
        <v>166</v>
      </c>
      <c r="D22" s="163" t="s">
        <v>167</v>
      </c>
      <c r="E22" s="163" t="s">
        <v>168</v>
      </c>
      <c r="F22" s="163" t="s">
        <v>169</v>
      </c>
      <c r="G22" s="163" t="s">
        <v>170</v>
      </c>
      <c r="H22" s="163" t="s">
        <v>171</v>
      </c>
      <c r="I22" s="163" t="s">
        <v>172</v>
      </c>
      <c r="J22" s="163" t="s">
        <v>173</v>
      </c>
      <c r="K22" s="163" t="s">
        <v>174</v>
      </c>
      <c r="L22" s="163" t="s">
        <v>175</v>
      </c>
      <c r="M22" s="163" t="s">
        <v>176</v>
      </c>
      <c r="R22" s="163" t="s">
        <v>165</v>
      </c>
      <c r="S22" s="163" t="s">
        <v>166</v>
      </c>
      <c r="T22" s="163" t="s">
        <v>167</v>
      </c>
      <c r="U22" s="163" t="s">
        <v>168</v>
      </c>
      <c r="V22" s="163" t="s">
        <v>169</v>
      </c>
      <c r="W22" s="163" t="s">
        <v>170</v>
      </c>
      <c r="X22" s="163" t="s">
        <v>171</v>
      </c>
      <c r="Y22" s="163" t="s">
        <v>172</v>
      </c>
      <c r="Z22" s="163" t="s">
        <v>173</v>
      </c>
      <c r="AA22" s="163" t="s">
        <v>174</v>
      </c>
      <c r="AB22" s="163" t="s">
        <v>175</v>
      </c>
      <c r="AC22" s="163" t="s">
        <v>176</v>
      </c>
    </row>
    <row r="23" spans="1:29" ht="12.75">
      <c r="A23" s="164" t="s">
        <v>361</v>
      </c>
      <c r="B23" s="164">
        <v>0.04782873793517626</v>
      </c>
      <c r="C23" s="164">
        <v>0.037838594857471784</v>
      </c>
      <c r="D23" s="164">
        <v>0.05675212574757482</v>
      </c>
      <c r="E23" s="164">
        <v>0.0617522114214256</v>
      </c>
      <c r="F23" s="164">
        <v>0.0760569104690299</v>
      </c>
      <c r="G23" s="164">
        <v>0.07126608667881248</v>
      </c>
      <c r="H23" s="164">
        <v>0.09271595398043729</v>
      </c>
      <c r="I23" s="164">
        <v>0.10475503023079849</v>
      </c>
      <c r="J23" s="164">
        <v>0.07612932599776905</v>
      </c>
      <c r="K23" s="164">
        <v>0.05854103015660896</v>
      </c>
      <c r="L23" s="164">
        <v>0.03578189917166648</v>
      </c>
      <c r="M23" s="164">
        <v>0.03532959353520624</v>
      </c>
      <c r="N23" s="165">
        <f>'Input Assumptions'!H$6</f>
        <v>1</v>
      </c>
      <c r="P23" s="162" t="s">
        <v>191</v>
      </c>
      <c r="Q23" s="164" t="s">
        <v>361</v>
      </c>
      <c r="R23" s="164">
        <f aca="true" t="shared" si="1" ref="R23:AC26">($N29*B29)+($N35*B35)</f>
        <v>0.036654550109585966</v>
      </c>
      <c r="S23" s="164">
        <f t="shared" si="1"/>
        <v>0.04182630824391641</v>
      </c>
      <c r="T23" s="164">
        <f t="shared" si="1"/>
        <v>0.06511424227213042</v>
      </c>
      <c r="U23" s="164">
        <f t="shared" si="1"/>
        <v>0.07325046590338448</v>
      </c>
      <c r="V23" s="164">
        <f t="shared" si="1"/>
        <v>0.0777297497951264</v>
      </c>
      <c r="W23" s="164">
        <f t="shared" si="1"/>
        <v>0.08228374316680939</v>
      </c>
      <c r="X23" s="164">
        <f t="shared" si="1"/>
        <v>0.08653398257780162</v>
      </c>
      <c r="Y23" s="164">
        <f t="shared" si="1"/>
        <v>0.09583110642336382</v>
      </c>
      <c r="Z23" s="164">
        <f t="shared" si="1"/>
        <v>0.07943364705780664</v>
      </c>
      <c r="AA23" s="164">
        <f t="shared" si="1"/>
        <v>0.06117164434899163</v>
      </c>
      <c r="AB23" s="164">
        <f t="shared" si="1"/>
        <v>0.03885041238744773</v>
      </c>
      <c r="AC23" s="164">
        <f t="shared" si="1"/>
        <v>0.03164602035551086</v>
      </c>
    </row>
    <row r="24" spans="1:29" ht="12.75">
      <c r="A24" s="164" t="s">
        <v>362</v>
      </c>
      <c r="B24" s="164">
        <v>0.021171815907305484</v>
      </c>
      <c r="C24" s="164">
        <v>0.020259903505753893</v>
      </c>
      <c r="D24" s="164">
        <v>0.026515969797312883</v>
      </c>
      <c r="E24" s="164">
        <v>0.025234008685149748</v>
      </c>
      <c r="F24" s="164">
        <v>0.020162715843733647</v>
      </c>
      <c r="G24" s="164">
        <v>0.024106086595241855</v>
      </c>
      <c r="H24" s="164">
        <v>0.036098210110320314</v>
      </c>
      <c r="I24" s="164">
        <v>0.015832752409317346</v>
      </c>
      <c r="J24" s="164">
        <v>0.02552135012085098</v>
      </c>
      <c r="K24" s="164">
        <v>0.03674750678922457</v>
      </c>
      <c r="L24" s="164">
        <v>0.016173841318857806</v>
      </c>
      <c r="M24" s="164">
        <v>0.02076737351812211</v>
      </c>
      <c r="N24" s="165">
        <f>'Input Assumptions'!H$6</f>
        <v>1</v>
      </c>
      <c r="P24" s="167">
        <f>'Load &amp; Coinc Fctrs'!N28</f>
        <v>4.34669889345294</v>
      </c>
      <c r="Q24" s="164" t="s">
        <v>362</v>
      </c>
      <c r="R24" s="164">
        <f t="shared" si="1"/>
        <v>0.009965675363368464</v>
      </c>
      <c r="S24" s="164">
        <f t="shared" si="1"/>
        <v>0.022454607048227538</v>
      </c>
      <c r="T24" s="164">
        <f t="shared" si="1"/>
        <v>0.0237020415793127</v>
      </c>
      <c r="U24" s="164">
        <f t="shared" si="1"/>
        <v>0.02069949342076936</v>
      </c>
      <c r="V24" s="164">
        <f t="shared" si="1"/>
        <v>0.022437438236349628</v>
      </c>
      <c r="W24" s="164">
        <f t="shared" si="1"/>
        <v>0.023789569984853744</v>
      </c>
      <c r="X24" s="164">
        <f t="shared" si="1"/>
        <v>0.04201047904126219</v>
      </c>
      <c r="Y24" s="164">
        <f t="shared" si="1"/>
        <v>0.0210010221384455</v>
      </c>
      <c r="Z24" s="164">
        <f t="shared" si="1"/>
        <v>0.02657756183522388</v>
      </c>
      <c r="AA24" s="164">
        <f t="shared" si="1"/>
        <v>0.035328580288477254</v>
      </c>
      <c r="AB24" s="164">
        <f t="shared" si="1"/>
        <v>0.017825174159712</v>
      </c>
      <c r="AC24" s="164">
        <f t="shared" si="1"/>
        <v>0.009297268974186356</v>
      </c>
    </row>
    <row r="25" spans="1:29" ht="12.75">
      <c r="A25" s="164" t="s">
        <v>364</v>
      </c>
      <c r="B25" s="164">
        <v>0</v>
      </c>
      <c r="C25" s="164">
        <v>0</v>
      </c>
      <c r="D25" s="164">
        <v>0</v>
      </c>
      <c r="E25" s="164">
        <v>-0.0004248154908757151</v>
      </c>
      <c r="F25" s="164">
        <v>-0.002141135619961436</v>
      </c>
      <c r="G25" s="164">
        <v>-0.002575460164761426</v>
      </c>
      <c r="H25" s="164">
        <v>-0.007079484982793779</v>
      </c>
      <c r="I25" s="164">
        <v>-0.007241806458982997</v>
      </c>
      <c r="J25" s="164">
        <v>-0.0015080330766604243</v>
      </c>
      <c r="K25" s="164">
        <v>5.763563835399449E-05</v>
      </c>
      <c r="L25" s="164">
        <v>0</v>
      </c>
      <c r="M25" s="164">
        <v>0</v>
      </c>
      <c r="N25" s="165">
        <f>'Input Assumptions'!H$6</f>
        <v>1</v>
      </c>
      <c r="P25" s="167">
        <f>'Load &amp; Coinc Fctrs'!N32</f>
        <v>0.2980171310469558</v>
      </c>
      <c r="Q25" s="164" t="s">
        <v>364</v>
      </c>
      <c r="R25" s="164">
        <f t="shared" si="1"/>
        <v>0</v>
      </c>
      <c r="S25" s="164">
        <f t="shared" si="1"/>
        <v>0</v>
      </c>
      <c r="T25" s="164">
        <f t="shared" si="1"/>
        <v>0</v>
      </c>
      <c r="U25" s="164">
        <f t="shared" si="1"/>
        <v>-0.0009389695477187243</v>
      </c>
      <c r="V25" s="164">
        <f t="shared" si="1"/>
        <v>-0.0032454918870290107</v>
      </c>
      <c r="W25" s="164">
        <f t="shared" si="1"/>
        <v>-0.0025680733223881844</v>
      </c>
      <c r="X25" s="164">
        <f t="shared" si="1"/>
        <v>-0.005600712141132617</v>
      </c>
      <c r="Y25" s="164">
        <f t="shared" si="1"/>
        <v>-0.007267937869659772</v>
      </c>
      <c r="Z25" s="164">
        <f t="shared" si="1"/>
        <v>-0.0039392488272647</v>
      </c>
      <c r="AA25" s="164">
        <f t="shared" si="1"/>
        <v>-0.0003727941983721793</v>
      </c>
      <c r="AB25" s="164">
        <f t="shared" si="1"/>
        <v>1.686675863243949E-05</v>
      </c>
      <c r="AC25" s="164">
        <f t="shared" si="1"/>
        <v>0</v>
      </c>
    </row>
    <row r="26" spans="1:29" ht="12.75">
      <c r="A26" s="164" t="s">
        <v>365</v>
      </c>
      <c r="B26" s="164">
        <v>0</v>
      </c>
      <c r="C26" s="164">
        <v>0</v>
      </c>
      <c r="D26" s="164">
        <v>0</v>
      </c>
      <c r="E26" s="164">
        <v>-0.0004860131627497516</v>
      </c>
      <c r="F26" s="164">
        <v>-0.0006112133890651023</v>
      </c>
      <c r="G26" s="164">
        <v>-0.001736330436788726</v>
      </c>
      <c r="H26" s="164">
        <v>-0.0032239737292060655</v>
      </c>
      <c r="I26" s="164">
        <v>-0.0013803729464505953</v>
      </c>
      <c r="J26" s="164">
        <v>-0.0012030062809789785</v>
      </c>
      <c r="K26" s="164">
        <v>0</v>
      </c>
      <c r="L26" s="164">
        <v>0</v>
      </c>
      <c r="M26" s="164">
        <v>0</v>
      </c>
      <c r="N26" s="165">
        <f>'Input Assumptions'!H$6</f>
        <v>1</v>
      </c>
      <c r="Q26" s="164" t="s">
        <v>365</v>
      </c>
      <c r="R26" s="164">
        <f t="shared" si="1"/>
        <v>0</v>
      </c>
      <c r="S26" s="164">
        <f t="shared" si="1"/>
        <v>0</v>
      </c>
      <c r="T26" s="164">
        <f t="shared" si="1"/>
        <v>0</v>
      </c>
      <c r="U26" s="164">
        <f t="shared" si="1"/>
        <v>-0.0007494025808675652</v>
      </c>
      <c r="V26" s="164">
        <f t="shared" si="1"/>
        <v>-0.001527595286142827</v>
      </c>
      <c r="W26" s="164">
        <f t="shared" si="1"/>
        <v>-0.0012569034736716377</v>
      </c>
      <c r="X26" s="164">
        <f t="shared" si="1"/>
        <v>-0.002820930772876165</v>
      </c>
      <c r="Y26" s="164">
        <f t="shared" si="1"/>
        <v>-0.001955093013052701</v>
      </c>
      <c r="Z26" s="164">
        <f t="shared" si="1"/>
        <v>-0.0020190563541042867</v>
      </c>
      <c r="AA26" s="164">
        <f t="shared" si="1"/>
        <v>-4.3928183481958715E-05</v>
      </c>
      <c r="AB26" s="164">
        <f t="shared" si="1"/>
        <v>0</v>
      </c>
      <c r="AC26" s="164">
        <f t="shared" si="1"/>
        <v>0</v>
      </c>
    </row>
    <row r="27" spans="1:13" ht="12.75">
      <c r="A27" s="164"/>
      <c r="B27" s="164"/>
      <c r="C27" s="164"/>
      <c r="D27" s="164"/>
      <c r="E27" s="164"/>
      <c r="F27" s="164"/>
      <c r="G27" s="164"/>
      <c r="H27" s="164"/>
      <c r="I27" s="164"/>
      <c r="J27" s="164"/>
      <c r="K27" s="164"/>
      <c r="L27" s="164"/>
      <c r="M27" s="164"/>
    </row>
    <row r="28" spans="1:29" ht="12.75">
      <c r="A28" s="162" t="s">
        <v>369</v>
      </c>
      <c r="B28" s="163" t="s">
        <v>165</v>
      </c>
      <c r="C28" s="163" t="s">
        <v>166</v>
      </c>
      <c r="D28" s="163" t="s">
        <v>167</v>
      </c>
      <c r="E28" s="163" t="s">
        <v>168</v>
      </c>
      <c r="F28" s="163" t="s">
        <v>169</v>
      </c>
      <c r="G28" s="163" t="s">
        <v>170</v>
      </c>
      <c r="H28" s="163" t="s">
        <v>171</v>
      </c>
      <c r="I28" s="163" t="s">
        <v>172</v>
      </c>
      <c r="J28" s="163" t="s">
        <v>173</v>
      </c>
      <c r="K28" s="163" t="s">
        <v>174</v>
      </c>
      <c r="L28" s="163" t="s">
        <v>175</v>
      </c>
      <c r="M28" s="163" t="s">
        <v>176</v>
      </c>
      <c r="R28" s="163" t="s">
        <v>165</v>
      </c>
      <c r="S28" s="163" t="s">
        <v>166</v>
      </c>
      <c r="T28" s="163" t="s">
        <v>167</v>
      </c>
      <c r="U28" s="163" t="s">
        <v>168</v>
      </c>
      <c r="V28" s="163" t="s">
        <v>169</v>
      </c>
      <c r="W28" s="163" t="s">
        <v>170</v>
      </c>
      <c r="X28" s="163" t="s">
        <v>171</v>
      </c>
      <c r="Y28" s="163" t="s">
        <v>172</v>
      </c>
      <c r="Z28" s="163" t="s">
        <v>173</v>
      </c>
      <c r="AA28" s="163" t="s">
        <v>174</v>
      </c>
      <c r="AB28" s="163" t="s">
        <v>175</v>
      </c>
      <c r="AC28" s="163" t="s">
        <v>176</v>
      </c>
    </row>
    <row r="29" spans="1:29" ht="12.75">
      <c r="A29" s="164" t="s">
        <v>361</v>
      </c>
      <c r="B29" s="164">
        <v>0.03205108222555772</v>
      </c>
      <c r="C29" s="164">
        <v>0.03835611733321423</v>
      </c>
      <c r="D29" s="164">
        <v>0.07474616054162184</v>
      </c>
      <c r="E29" s="164">
        <v>0.07321242595330607</v>
      </c>
      <c r="F29" s="164">
        <v>0.08283133782061239</v>
      </c>
      <c r="G29" s="164">
        <v>0.08491195975644224</v>
      </c>
      <c r="H29" s="164">
        <v>0.0908527947591464</v>
      </c>
      <c r="I29" s="164">
        <v>0.10474317341951038</v>
      </c>
      <c r="J29" s="164">
        <v>0.08462511677916451</v>
      </c>
      <c r="K29" s="164">
        <v>0.06938419194122596</v>
      </c>
      <c r="L29" s="164">
        <v>0.03186061803529202</v>
      </c>
      <c r="M29" s="164">
        <v>0.021847742236360358</v>
      </c>
      <c r="N29" s="165">
        <f>'Input Assumptions'!H$5</f>
        <v>0.21634851827027432</v>
      </c>
      <c r="P29" s="162" t="s">
        <v>192</v>
      </c>
      <c r="Q29" s="164" t="s">
        <v>361</v>
      </c>
      <c r="R29" s="164">
        <v>0.028150936176119967</v>
      </c>
      <c r="S29" s="164">
        <v>0.039445601369528176</v>
      </c>
      <c r="T29" s="164">
        <v>0.06552386145122872</v>
      </c>
      <c r="U29" s="164">
        <v>0.06812976182018846</v>
      </c>
      <c r="V29" s="164">
        <v>0.0855635430023921</v>
      </c>
      <c r="W29" s="164">
        <v>0.08798030878731579</v>
      </c>
      <c r="X29" s="164">
        <v>0.09337016319708442</v>
      </c>
      <c r="Y29" s="164">
        <v>0.09041534733371172</v>
      </c>
      <c r="Z29" s="164">
        <v>0.07615675205070084</v>
      </c>
      <c r="AA29" s="164">
        <v>0.04638174992879421</v>
      </c>
      <c r="AB29" s="164">
        <v>0.02694632968588649</v>
      </c>
      <c r="AC29" s="164">
        <v>0.021672464990937137</v>
      </c>
    </row>
    <row r="30" spans="1:29" ht="12.75">
      <c r="A30" s="164" t="s">
        <v>362</v>
      </c>
      <c r="B30" s="164">
        <v>0.013303230264442327</v>
      </c>
      <c r="C30" s="164">
        <v>0.019900311989250238</v>
      </c>
      <c r="D30" s="164">
        <v>0.02455916566260673</v>
      </c>
      <c r="E30" s="164">
        <v>0.021410612606792487</v>
      </c>
      <c r="F30" s="164">
        <v>0.02653566758478492</v>
      </c>
      <c r="G30" s="164">
        <v>0.02218171173201669</v>
      </c>
      <c r="H30" s="164">
        <v>0.040546194535650774</v>
      </c>
      <c r="I30" s="164">
        <v>0.017423136559290852</v>
      </c>
      <c r="J30" s="164">
        <v>0.027390725348181207</v>
      </c>
      <c r="K30" s="164">
        <v>0.019392332037477346</v>
      </c>
      <c r="L30" s="164">
        <v>0.010005910867853943</v>
      </c>
      <c r="M30" s="164">
        <v>0.015927745037485314</v>
      </c>
      <c r="N30" s="165">
        <f>'Input Assumptions'!H$5</f>
        <v>0.21634851827027432</v>
      </c>
      <c r="P30" s="167">
        <f>'Load &amp; Coinc Fctrs'!O28</f>
        <v>3.3521348791209675</v>
      </c>
      <c r="Q30" s="164" t="s">
        <v>362</v>
      </c>
      <c r="R30" s="164">
        <v>0.01446000611615639</v>
      </c>
      <c r="S30" s="164">
        <v>0.019697754252514365</v>
      </c>
      <c r="T30" s="164">
        <v>0.01881823629639468</v>
      </c>
      <c r="U30" s="164">
        <v>0.02398454197112447</v>
      </c>
      <c r="V30" s="164">
        <v>0.03665776022305697</v>
      </c>
      <c r="W30" s="164">
        <v>0.03046988886263771</v>
      </c>
      <c r="X30" s="164">
        <v>0.0388367397754856</v>
      </c>
      <c r="Y30" s="164">
        <v>0.018016614674359947</v>
      </c>
      <c r="Z30" s="164">
        <v>0.03246726996365416</v>
      </c>
      <c r="AA30" s="164">
        <v>0.026183290438953545</v>
      </c>
      <c r="AB30" s="164">
        <v>0.017088259498566787</v>
      </c>
      <c r="AC30" s="164">
        <v>0.016360222125678895</v>
      </c>
    </row>
    <row r="31" spans="1:29" ht="12.75">
      <c r="A31" s="164" t="s">
        <v>364</v>
      </c>
      <c r="B31" s="164">
        <v>0</v>
      </c>
      <c r="C31" s="164">
        <v>0</v>
      </c>
      <c r="D31" s="164">
        <v>0</v>
      </c>
      <c r="E31" s="164">
        <v>-0.0012623450033878445</v>
      </c>
      <c r="F31" s="164">
        <v>-0.0030582224961458373</v>
      </c>
      <c r="G31" s="164">
        <v>-0.003291684586087573</v>
      </c>
      <c r="H31" s="164">
        <v>-0.004541255822288383</v>
      </c>
      <c r="I31" s="164">
        <v>-0.008755330783678194</v>
      </c>
      <c r="J31" s="164">
        <v>-0.003565179423371212</v>
      </c>
      <c r="K31" s="164">
        <v>-0.00025493812381082413</v>
      </c>
      <c r="L31" s="164">
        <v>7.796105453964153E-05</v>
      </c>
      <c r="M31" s="164">
        <v>0</v>
      </c>
      <c r="N31" s="165">
        <f>'Input Assumptions'!H$5</f>
        <v>0.21634851827027432</v>
      </c>
      <c r="P31" s="167">
        <f>'Load &amp; Coinc Fctrs'!O32</f>
        <v>0.2422669356789609</v>
      </c>
      <c r="Q31" s="164" t="s">
        <v>364</v>
      </c>
      <c r="R31" s="164">
        <v>0</v>
      </c>
      <c r="S31" s="164">
        <v>0</v>
      </c>
      <c r="T31" s="164">
        <v>-0.0007108563723795056</v>
      </c>
      <c r="U31" s="164">
        <v>-0.0004043794454662938</v>
      </c>
      <c r="V31" s="164">
        <v>-0.00018448399284467793</v>
      </c>
      <c r="W31" s="164">
        <v>-0.0006407247202825262</v>
      </c>
      <c r="X31" s="164">
        <v>-0.0031661731880372763</v>
      </c>
      <c r="Y31" s="164">
        <v>-0.0035278298412196856</v>
      </c>
      <c r="Z31" s="164">
        <v>-0.0020850305850310573</v>
      </c>
      <c r="AA31" s="164">
        <v>9.953665559427588E-05</v>
      </c>
      <c r="AB31" s="164">
        <v>0</v>
      </c>
      <c r="AC31" s="164">
        <v>0</v>
      </c>
    </row>
    <row r="32" spans="1:29" ht="12.75">
      <c r="A32" s="164" t="s">
        <v>365</v>
      </c>
      <c r="B32" s="164">
        <v>0</v>
      </c>
      <c r="C32" s="164">
        <v>0</v>
      </c>
      <c r="D32" s="164">
        <v>0</v>
      </c>
      <c r="E32" s="164">
        <v>0</v>
      </c>
      <c r="F32" s="164">
        <v>-0.0008204497027841895</v>
      </c>
      <c r="G32" s="164">
        <v>-0.00122666106878252</v>
      </c>
      <c r="H32" s="164">
        <v>-0.00331514473676017</v>
      </c>
      <c r="I32" s="164">
        <v>-0.0024168689225850222</v>
      </c>
      <c r="J32" s="164">
        <v>-0.001981701054277708</v>
      </c>
      <c r="K32" s="164">
        <v>-0.0002030436068301667</v>
      </c>
      <c r="L32" s="164">
        <v>0</v>
      </c>
      <c r="M32" s="164">
        <v>0</v>
      </c>
      <c r="N32" s="165">
        <f>'Input Assumptions'!H$5</f>
        <v>0.21634851827027432</v>
      </c>
      <c r="Q32" s="164" t="s">
        <v>365</v>
      </c>
      <c r="R32" s="164">
        <v>0</v>
      </c>
      <c r="S32" s="164">
        <v>0</v>
      </c>
      <c r="T32" s="164">
        <v>0</v>
      </c>
      <c r="U32" s="164">
        <v>-0.00021352984369324773</v>
      </c>
      <c r="V32" s="164">
        <v>-0.0004248200529270598</v>
      </c>
      <c r="W32" s="164">
        <v>-0.0006753256456836683</v>
      </c>
      <c r="X32" s="164">
        <v>-0.0005162800549164126</v>
      </c>
      <c r="Y32" s="164">
        <v>-0.0013930210896217327</v>
      </c>
      <c r="Z32" s="164">
        <v>-0.0019269238081720155</v>
      </c>
      <c r="AA32" s="164">
        <v>0</v>
      </c>
      <c r="AB32" s="164">
        <v>0</v>
      </c>
      <c r="AC32" s="164">
        <v>0</v>
      </c>
    </row>
    <row r="34" spans="1:29" ht="12.75">
      <c r="A34" s="162" t="s">
        <v>370</v>
      </c>
      <c r="B34" s="163" t="s">
        <v>165</v>
      </c>
      <c r="C34" s="163" t="s">
        <v>166</v>
      </c>
      <c r="D34" s="163" t="s">
        <v>167</v>
      </c>
      <c r="E34" s="163" t="s">
        <v>168</v>
      </c>
      <c r="F34" s="163" t="s">
        <v>169</v>
      </c>
      <c r="G34" s="163" t="s">
        <v>170</v>
      </c>
      <c r="H34" s="163" t="s">
        <v>171</v>
      </c>
      <c r="I34" s="163" t="s">
        <v>172</v>
      </c>
      <c r="J34" s="163" t="s">
        <v>173</v>
      </c>
      <c r="K34" s="163" t="s">
        <v>174</v>
      </c>
      <c r="L34" s="163" t="s">
        <v>175</v>
      </c>
      <c r="M34" s="163" t="s">
        <v>176</v>
      </c>
      <c r="R34" s="163" t="s">
        <v>165</v>
      </c>
      <c r="S34" s="163" t="s">
        <v>166</v>
      </c>
      <c r="T34" s="163" t="s">
        <v>167</v>
      </c>
      <c r="U34" s="163" t="s">
        <v>168</v>
      </c>
      <c r="V34" s="163" t="s">
        <v>169</v>
      </c>
      <c r="W34" s="163" t="s">
        <v>170</v>
      </c>
      <c r="X34" s="163" t="s">
        <v>171</v>
      </c>
      <c r="Y34" s="163" t="s">
        <v>172</v>
      </c>
      <c r="Z34" s="163" t="s">
        <v>173</v>
      </c>
      <c r="AA34" s="163" t="s">
        <v>174</v>
      </c>
      <c r="AB34" s="163" t="s">
        <v>175</v>
      </c>
      <c r="AC34" s="163" t="s">
        <v>176</v>
      </c>
    </row>
    <row r="35" spans="1:29" ht="12.75">
      <c r="A35" s="164" t="s">
        <v>361</v>
      </c>
      <c r="B35" s="164">
        <v>0.03792546387525125</v>
      </c>
      <c r="C35" s="164">
        <v>0.04278434977021869</v>
      </c>
      <c r="D35" s="164">
        <v>0.06245508664710022</v>
      </c>
      <c r="E35" s="164">
        <v>0.07326096787655292</v>
      </c>
      <c r="F35" s="164">
        <v>0.07632131628115785</v>
      </c>
      <c r="G35" s="164">
        <v>0.08155815178069302</v>
      </c>
      <c r="H35" s="164">
        <v>0.08534165583829345</v>
      </c>
      <c r="I35" s="164">
        <v>0.09337068551650116</v>
      </c>
      <c r="J35" s="164">
        <v>0.07800039923266168</v>
      </c>
      <c r="K35" s="164">
        <v>0.058904344989227524</v>
      </c>
      <c r="L35" s="164">
        <v>0.04078013712651787</v>
      </c>
      <c r="M35" s="164">
        <v>0.03435110418690899</v>
      </c>
      <c r="N35" s="165">
        <f>'Input Assumptions'!H$4</f>
        <v>0.7836514817297257</v>
      </c>
      <c r="P35" s="162" t="s">
        <v>193</v>
      </c>
      <c r="Q35" s="164" t="s">
        <v>361</v>
      </c>
      <c r="R35" s="164">
        <v>0.02900443786678404</v>
      </c>
      <c r="S35" s="164">
        <v>0.03937589933716996</v>
      </c>
      <c r="T35" s="164">
        <v>0.06514339765020068</v>
      </c>
      <c r="U35" s="164">
        <v>0.06785314301315457</v>
      </c>
      <c r="V35" s="164">
        <v>0.0851512039088746</v>
      </c>
      <c r="W35" s="164">
        <v>0.08725534890600298</v>
      </c>
      <c r="X35" s="164">
        <v>0.09334178763566282</v>
      </c>
      <c r="Y35" s="164">
        <v>0.09103731434741119</v>
      </c>
      <c r="Z35" s="164">
        <v>0.07615556247765645</v>
      </c>
      <c r="AA35" s="164">
        <v>0.046909144520871644</v>
      </c>
      <c r="AB35" s="164">
        <v>0.027329562202731136</v>
      </c>
      <c r="AC35" s="164">
        <v>0.02226482700600753</v>
      </c>
    </row>
    <row r="36" spans="1:29" ht="12.75">
      <c r="A36" s="164" t="s">
        <v>362</v>
      </c>
      <c r="B36" s="164">
        <v>0.009044251651006929</v>
      </c>
      <c r="C36" s="164">
        <v>0.023159790365197795</v>
      </c>
      <c r="D36" s="164">
        <v>0.02346540893110393</v>
      </c>
      <c r="E36" s="164">
        <v>0.02050316943517556</v>
      </c>
      <c r="F36" s="164">
        <v>0.02130600944722941</v>
      </c>
      <c r="G36" s="164">
        <v>0.024233463423072112</v>
      </c>
      <c r="H36" s="164">
        <v>0.04241473500261876</v>
      </c>
      <c r="I36" s="164">
        <v>0.02198879573632362</v>
      </c>
      <c r="J36" s="164">
        <v>0.026353065710044032</v>
      </c>
      <c r="K36" s="164">
        <v>0.03972821938350061</v>
      </c>
      <c r="L36" s="164">
        <v>0.019983896584921536</v>
      </c>
      <c r="M36" s="164">
        <v>0.007466743919151757</v>
      </c>
      <c r="N36" s="165">
        <f>'Input Assumptions'!H$4</f>
        <v>0.7836514817297257</v>
      </c>
      <c r="P36" s="167">
        <f>'Load &amp; Coinc Fctrs'!K29</f>
        <v>2.4684398782840735</v>
      </c>
      <c r="Q36" s="164" t="s">
        <v>362</v>
      </c>
      <c r="R36" s="164">
        <v>0.014751123034311387</v>
      </c>
      <c r="S36" s="164">
        <v>0.01972213682044143</v>
      </c>
      <c r="T36" s="164">
        <v>0.019152116505056275</v>
      </c>
      <c r="U36" s="164">
        <v>0.02403873613193099</v>
      </c>
      <c r="V36" s="164">
        <v>0.03594230692000436</v>
      </c>
      <c r="W36" s="164">
        <v>0.030193866364760145</v>
      </c>
      <c r="X36" s="164">
        <v>0.03871795924665562</v>
      </c>
      <c r="Y36" s="164">
        <v>0.017921892196808127</v>
      </c>
      <c r="Z36" s="164">
        <v>0.03216599879517513</v>
      </c>
      <c r="AA36" s="164">
        <v>0.026641500996509738</v>
      </c>
      <c r="AB36" s="164">
        <v>0.017048597676991805</v>
      </c>
      <c r="AC36" s="164">
        <v>0.016551377174932894</v>
      </c>
    </row>
    <row r="37" spans="1:29" ht="12.75">
      <c r="A37" s="164" t="s">
        <v>364</v>
      </c>
      <c r="B37" s="164">
        <v>0</v>
      </c>
      <c r="C37" s="164">
        <v>0</v>
      </c>
      <c r="D37" s="164">
        <v>0</v>
      </c>
      <c r="E37" s="164">
        <v>-0.0008496928701265825</v>
      </c>
      <c r="F37" s="164">
        <v>-0.0032971927466324703</v>
      </c>
      <c r="G37" s="164">
        <v>-0.0023683005555971467</v>
      </c>
      <c r="H37" s="164">
        <v>-0.005893204160988303</v>
      </c>
      <c r="I37" s="164">
        <v>-0.006857302197379405</v>
      </c>
      <c r="J37" s="164">
        <v>-0.004042520961816106</v>
      </c>
      <c r="K37" s="164">
        <v>-0.00040533160523603077</v>
      </c>
      <c r="L37" s="164">
        <v>0</v>
      </c>
      <c r="M37" s="164">
        <v>0</v>
      </c>
      <c r="N37" s="165">
        <f>'Input Assumptions'!H$4</f>
        <v>0.7836514817297257</v>
      </c>
      <c r="P37" s="167">
        <f>'Load &amp; Coinc Fctrs'!K33</f>
        <v>0.3328613099731527</v>
      </c>
      <c r="Q37" s="164" t="s">
        <v>364</v>
      </c>
      <c r="R37" s="164">
        <v>0</v>
      </c>
      <c r="S37" s="164">
        <v>0</v>
      </c>
      <c r="T37" s="164">
        <v>-0.0006800238066755641</v>
      </c>
      <c r="U37" s="164">
        <v>-0.0004052658350905516</v>
      </c>
      <c r="V37" s="164">
        <v>-0.0002693514740924846</v>
      </c>
      <c r="W37" s="164">
        <v>-0.000724641612680859</v>
      </c>
      <c r="X37" s="164">
        <v>-0.0033359085209681088</v>
      </c>
      <c r="Y37" s="164">
        <v>-0.0036889192434385568</v>
      </c>
      <c r="Z37" s="164">
        <v>-0.0020600039913630606</v>
      </c>
      <c r="AA37" s="164">
        <v>9.771924786281189E-05</v>
      </c>
      <c r="AB37" s="164">
        <v>0</v>
      </c>
      <c r="AC37" s="164">
        <v>0</v>
      </c>
    </row>
    <row r="38" spans="1:29" ht="12.75">
      <c r="A38" s="164" t="s">
        <v>365</v>
      </c>
      <c r="B38" s="164">
        <v>0</v>
      </c>
      <c r="C38" s="164">
        <v>0</v>
      </c>
      <c r="D38" s="164">
        <v>0</v>
      </c>
      <c r="E38" s="164">
        <v>-0.0009562957492448504</v>
      </c>
      <c r="F38" s="164">
        <v>-0.001722822249567079</v>
      </c>
      <c r="G38" s="164">
        <v>-0.0012652527202936799</v>
      </c>
      <c r="H38" s="164">
        <v>-0.002684489432193982</v>
      </c>
      <c r="I38" s="164">
        <v>-0.0018276070883407227</v>
      </c>
      <c r="J38" s="164">
        <v>-0.0020293693107635196</v>
      </c>
      <c r="K38" s="164">
        <v>0</v>
      </c>
      <c r="L38" s="164">
        <v>0</v>
      </c>
      <c r="M38" s="164">
        <v>0</v>
      </c>
      <c r="N38" s="165">
        <f>'Input Assumptions'!H$4</f>
        <v>0.7836514817297257</v>
      </c>
      <c r="Q38" s="164" t="s">
        <v>365</v>
      </c>
      <c r="R38" s="164">
        <v>0</v>
      </c>
      <c r="S38" s="164">
        <v>0</v>
      </c>
      <c r="T38" s="164">
        <v>0</v>
      </c>
      <c r="U38" s="164">
        <v>-0.0002253484897158123</v>
      </c>
      <c r="V38" s="164">
        <v>-0.00043290464639284774</v>
      </c>
      <c r="W38" s="164">
        <v>-0.000721345490486408</v>
      </c>
      <c r="X38" s="164">
        <v>-0.0006337231086225026</v>
      </c>
      <c r="Y38" s="164">
        <v>-0.0013924724911699084</v>
      </c>
      <c r="Z38" s="164">
        <v>-0.001895524730118175</v>
      </c>
      <c r="AA38" s="164">
        <v>0</v>
      </c>
      <c r="AB38" s="164">
        <v>0</v>
      </c>
      <c r="AC38" s="164">
        <v>0</v>
      </c>
    </row>
    <row r="40" spans="1:29" ht="12.75">
      <c r="A40" s="162" t="s">
        <v>371</v>
      </c>
      <c r="B40" s="163" t="s">
        <v>165</v>
      </c>
      <c r="C40" s="163" t="s">
        <v>166</v>
      </c>
      <c r="D40" s="163" t="s">
        <v>167</v>
      </c>
      <c r="E40" s="163" t="s">
        <v>168</v>
      </c>
      <c r="F40" s="163" t="s">
        <v>169</v>
      </c>
      <c r="G40" s="163" t="s">
        <v>170</v>
      </c>
      <c r="H40" s="163" t="s">
        <v>171</v>
      </c>
      <c r="I40" s="163" t="s">
        <v>172</v>
      </c>
      <c r="J40" s="163" t="s">
        <v>173</v>
      </c>
      <c r="K40" s="163" t="s">
        <v>174</v>
      </c>
      <c r="L40" s="163" t="s">
        <v>175</v>
      </c>
      <c r="M40" s="163" t="s">
        <v>176</v>
      </c>
      <c r="R40" s="163" t="s">
        <v>165</v>
      </c>
      <c r="S40" s="163" t="s">
        <v>166</v>
      </c>
      <c r="T40" s="163" t="s">
        <v>167</v>
      </c>
      <c r="U40" s="163" t="s">
        <v>168</v>
      </c>
      <c r="V40" s="163" t="s">
        <v>169</v>
      </c>
      <c r="W40" s="163" t="s">
        <v>170</v>
      </c>
      <c r="X40" s="163" t="s">
        <v>171</v>
      </c>
      <c r="Y40" s="163" t="s">
        <v>172</v>
      </c>
      <c r="Z40" s="163" t="s">
        <v>173</v>
      </c>
      <c r="AA40" s="163" t="s">
        <v>174</v>
      </c>
      <c r="AB40" s="163" t="s">
        <v>175</v>
      </c>
      <c r="AC40" s="163" t="s">
        <v>176</v>
      </c>
    </row>
    <row r="41" spans="1:29" ht="12.75">
      <c r="A41" s="164" t="s">
        <v>361</v>
      </c>
      <c r="B41" s="164">
        <v>0.03792546387525125</v>
      </c>
      <c r="C41" s="164">
        <v>0.04278434977021869</v>
      </c>
      <c r="D41" s="164">
        <v>0.06245508664710022</v>
      </c>
      <c r="E41" s="164">
        <v>0.07326096787655292</v>
      </c>
      <c r="F41" s="164">
        <v>0.07632131628115785</v>
      </c>
      <c r="G41" s="164">
        <v>0.08155815178069302</v>
      </c>
      <c r="H41" s="164">
        <v>0.08534165583829345</v>
      </c>
      <c r="I41" s="164">
        <v>0.09337068551650116</v>
      </c>
      <c r="J41" s="164">
        <v>0.07800039923266168</v>
      </c>
      <c r="K41" s="164">
        <v>0.058904344989227524</v>
      </c>
      <c r="L41" s="164">
        <v>0.04078013712651787</v>
      </c>
      <c r="M41" s="164">
        <v>0.03435110418690899</v>
      </c>
      <c r="N41" s="165">
        <f>'Input Assumptions'!H$3</f>
        <v>1</v>
      </c>
      <c r="P41" s="162" t="s">
        <v>194</v>
      </c>
      <c r="Q41" s="164" t="s">
        <v>361</v>
      </c>
      <c r="R41" s="164">
        <v>0.028150936176119967</v>
      </c>
      <c r="S41" s="164">
        <v>0.039445601369528176</v>
      </c>
      <c r="T41" s="164">
        <v>0.06552386145122872</v>
      </c>
      <c r="U41" s="164">
        <v>0.06812976182018846</v>
      </c>
      <c r="V41" s="164">
        <v>0.0855635430023921</v>
      </c>
      <c r="W41" s="164">
        <v>0.08798030878731579</v>
      </c>
      <c r="X41" s="164">
        <v>0.09337016319708442</v>
      </c>
      <c r="Y41" s="164">
        <v>0.09041534733371172</v>
      </c>
      <c r="Z41" s="164">
        <v>0.07615675205070084</v>
      </c>
      <c r="AA41" s="164">
        <v>0.04638174992879421</v>
      </c>
      <c r="AB41" s="164">
        <v>0.02694632968588649</v>
      </c>
      <c r="AC41" s="164">
        <v>0.021672464990937137</v>
      </c>
    </row>
    <row r="42" spans="1:29" ht="12.75">
      <c r="A42" s="164" t="s">
        <v>362</v>
      </c>
      <c r="B42" s="164">
        <v>0.009044251651006929</v>
      </c>
      <c r="C42" s="164">
        <v>0.023159790365197795</v>
      </c>
      <c r="D42" s="164">
        <v>0.02346540893110393</v>
      </c>
      <c r="E42" s="164">
        <v>0.02050316943517556</v>
      </c>
      <c r="F42" s="164">
        <v>0.02130600944722941</v>
      </c>
      <c r="G42" s="164">
        <v>0.024233463423072112</v>
      </c>
      <c r="H42" s="164">
        <v>0.04241473500261876</v>
      </c>
      <c r="I42" s="164">
        <v>0.02198879573632362</v>
      </c>
      <c r="J42" s="164">
        <v>0.026353065710044032</v>
      </c>
      <c r="K42" s="164">
        <v>0.03972821938350061</v>
      </c>
      <c r="L42" s="164">
        <v>0.019983896584921536</v>
      </c>
      <c r="M42" s="164">
        <v>0.007466743919151757</v>
      </c>
      <c r="N42" s="165">
        <f>'Input Assumptions'!H$3</f>
        <v>1</v>
      </c>
      <c r="P42" s="167">
        <f>'Load &amp; Coinc Fctrs'!L29</f>
        <v>2.570455187587702</v>
      </c>
      <c r="Q42" s="164" t="s">
        <v>362</v>
      </c>
      <c r="R42" s="164">
        <v>0.01446000611615639</v>
      </c>
      <c r="S42" s="164">
        <v>0.019697754252514365</v>
      </c>
      <c r="T42" s="164">
        <v>0.01881823629639468</v>
      </c>
      <c r="U42" s="164">
        <v>0.02398454197112447</v>
      </c>
      <c r="V42" s="164">
        <v>0.03665776022305697</v>
      </c>
      <c r="W42" s="164">
        <v>0.03046988886263771</v>
      </c>
      <c r="X42" s="164">
        <v>0.0388367397754856</v>
      </c>
      <c r="Y42" s="164">
        <v>0.018016614674359947</v>
      </c>
      <c r="Z42" s="164">
        <v>0.03246726996365416</v>
      </c>
      <c r="AA42" s="164">
        <v>0.026183290438953545</v>
      </c>
      <c r="AB42" s="164">
        <v>0.017088259498566787</v>
      </c>
      <c r="AC42" s="164">
        <v>0.016360222125678895</v>
      </c>
    </row>
    <row r="43" spans="1:29" ht="12.75">
      <c r="A43" s="164" t="s">
        <v>364</v>
      </c>
      <c r="B43" s="164">
        <v>0</v>
      </c>
      <c r="C43" s="164">
        <v>0</v>
      </c>
      <c r="D43" s="164">
        <v>0</v>
      </c>
      <c r="E43" s="164">
        <v>-0.0008496928701265825</v>
      </c>
      <c r="F43" s="164">
        <v>-0.0032971927466324703</v>
      </c>
      <c r="G43" s="164">
        <v>-0.0023683005555971467</v>
      </c>
      <c r="H43" s="164">
        <v>-0.005893204160988303</v>
      </c>
      <c r="I43" s="164">
        <v>-0.006857302197379405</v>
      </c>
      <c r="J43" s="164">
        <v>-0.004042520961816106</v>
      </c>
      <c r="K43" s="164">
        <v>-0.00040533160523603077</v>
      </c>
      <c r="L43" s="164">
        <v>0</v>
      </c>
      <c r="M43" s="164">
        <v>0</v>
      </c>
      <c r="N43" s="165">
        <f>'Input Assumptions'!H$3</f>
        <v>1</v>
      </c>
      <c r="P43" s="167">
        <f>'Load &amp; Coinc Fctrs'!L33</f>
        <v>0.36263341162493495</v>
      </c>
      <c r="Q43" s="164" t="s">
        <v>364</v>
      </c>
      <c r="R43" s="164">
        <v>0</v>
      </c>
      <c r="S43" s="164">
        <v>0</v>
      </c>
      <c r="T43" s="164">
        <v>-0.0007108563723795056</v>
      </c>
      <c r="U43" s="164">
        <v>-0.0004043794454662938</v>
      </c>
      <c r="V43" s="164">
        <v>-0.00018448399284467793</v>
      </c>
      <c r="W43" s="164">
        <v>-0.0006407247202825262</v>
      </c>
      <c r="X43" s="164">
        <v>-0.0031661731880372763</v>
      </c>
      <c r="Y43" s="164">
        <v>-0.0035278298412196856</v>
      </c>
      <c r="Z43" s="164">
        <v>-0.0020850305850310573</v>
      </c>
      <c r="AA43" s="164">
        <v>9.953665559427588E-05</v>
      </c>
      <c r="AB43" s="164">
        <v>0</v>
      </c>
      <c r="AC43" s="164">
        <v>0</v>
      </c>
    </row>
    <row r="44" spans="1:29" ht="12.75">
      <c r="A44" s="164" t="s">
        <v>365</v>
      </c>
      <c r="B44" s="164">
        <v>0</v>
      </c>
      <c r="C44" s="164">
        <v>0</v>
      </c>
      <c r="D44" s="164">
        <v>0</v>
      </c>
      <c r="E44" s="164">
        <v>-0.0009562957492448504</v>
      </c>
      <c r="F44" s="164">
        <v>-0.001722822249567079</v>
      </c>
      <c r="G44" s="164">
        <v>-0.0012652527202936799</v>
      </c>
      <c r="H44" s="164">
        <v>-0.002684489432193982</v>
      </c>
      <c r="I44" s="164">
        <v>-0.0018276070883407227</v>
      </c>
      <c r="J44" s="164">
        <v>-0.0020293693107635196</v>
      </c>
      <c r="K44" s="164">
        <v>0</v>
      </c>
      <c r="L44" s="164">
        <v>0</v>
      </c>
      <c r="M44" s="164">
        <v>0</v>
      </c>
      <c r="N44" s="165">
        <f>'Input Assumptions'!H$3</f>
        <v>1</v>
      </c>
      <c r="Q44" s="164" t="s">
        <v>365</v>
      </c>
      <c r="R44" s="164">
        <v>0</v>
      </c>
      <c r="S44" s="164">
        <v>0</v>
      </c>
      <c r="T44" s="164">
        <v>0</v>
      </c>
      <c r="U44" s="164">
        <v>-0.00021352984369324773</v>
      </c>
      <c r="V44" s="164">
        <v>-0.0004248200529270598</v>
      </c>
      <c r="W44" s="164">
        <v>-0.0006753256456836683</v>
      </c>
      <c r="X44" s="164">
        <v>-0.0005162800549164126</v>
      </c>
      <c r="Y44" s="164">
        <v>-0.0013930210896217327</v>
      </c>
      <c r="Z44" s="164">
        <v>-0.0019269238081720155</v>
      </c>
      <c r="AA44" s="164">
        <v>0</v>
      </c>
      <c r="AB44" s="164">
        <v>0</v>
      </c>
      <c r="AC44" s="164">
        <v>0</v>
      </c>
    </row>
    <row r="46" spans="18:29" ht="12.75">
      <c r="R46" s="163" t="s">
        <v>165</v>
      </c>
      <c r="S46" s="163" t="s">
        <v>166</v>
      </c>
      <c r="T46" s="163" t="s">
        <v>167</v>
      </c>
      <c r="U46" s="163" t="s">
        <v>168</v>
      </c>
      <c r="V46" s="163" t="s">
        <v>169</v>
      </c>
      <c r="W46" s="163" t="s">
        <v>170</v>
      </c>
      <c r="X46" s="163" t="s">
        <v>171</v>
      </c>
      <c r="Y46" s="163" t="s">
        <v>172</v>
      </c>
      <c r="Z46" s="163" t="s">
        <v>173</v>
      </c>
      <c r="AA46" s="163" t="s">
        <v>174</v>
      </c>
      <c r="AB46" s="163" t="s">
        <v>175</v>
      </c>
      <c r="AC46" s="163" t="s">
        <v>176</v>
      </c>
    </row>
    <row r="47" spans="16:29" ht="12.75">
      <c r="P47" s="162" t="s">
        <v>195</v>
      </c>
      <c r="Q47" s="164" t="s">
        <v>361</v>
      </c>
      <c r="R47" s="164">
        <v>0.028150936176119967</v>
      </c>
      <c r="S47" s="164">
        <v>0.039445601369528176</v>
      </c>
      <c r="T47" s="164">
        <v>0.06552386145122872</v>
      </c>
      <c r="U47" s="164">
        <v>0.06812976182018846</v>
      </c>
      <c r="V47" s="164">
        <v>0.0855635430023921</v>
      </c>
      <c r="W47" s="164">
        <v>0.08798030878731579</v>
      </c>
      <c r="X47" s="164">
        <v>0.09337016319708442</v>
      </c>
      <c r="Y47" s="164">
        <v>0.09041534733371172</v>
      </c>
      <c r="Z47" s="164">
        <v>0.07615675205070084</v>
      </c>
      <c r="AA47" s="164">
        <v>0.04638174992879421</v>
      </c>
      <c r="AB47" s="164">
        <v>0.02694632968588649</v>
      </c>
      <c r="AC47" s="164">
        <v>0.021672464990937137</v>
      </c>
    </row>
    <row r="48" spans="16:29" ht="12.75">
      <c r="P48" s="167">
        <f>'Load &amp; Coinc Fctrs'!M29</f>
        <v>1.804459157591397</v>
      </c>
      <c r="Q48" s="164" t="s">
        <v>362</v>
      </c>
      <c r="R48" s="164">
        <v>0.01446000611615639</v>
      </c>
      <c r="S48" s="164">
        <v>0.019697754252514365</v>
      </c>
      <c r="T48" s="164">
        <v>0.01881823629639468</v>
      </c>
      <c r="U48" s="164">
        <v>0.02398454197112447</v>
      </c>
      <c r="V48" s="164">
        <v>0.03665776022305697</v>
      </c>
      <c r="W48" s="164">
        <v>0.03046988886263771</v>
      </c>
      <c r="X48" s="164">
        <v>0.0388367397754856</v>
      </c>
      <c r="Y48" s="164">
        <v>0.018016614674359947</v>
      </c>
      <c r="Z48" s="164">
        <v>0.03246726996365416</v>
      </c>
      <c r="AA48" s="164">
        <v>0.026183290438953545</v>
      </c>
      <c r="AB48" s="164">
        <v>0.017088259498566787</v>
      </c>
      <c r="AC48" s="164">
        <v>0.016360222125678895</v>
      </c>
    </row>
    <row r="49" spans="16:29" ht="12.75">
      <c r="P49" s="167">
        <f>'Load &amp; Coinc Fctrs'!M33</f>
        <v>0.2590158712914313</v>
      </c>
      <c r="Q49" s="164" t="s">
        <v>364</v>
      </c>
      <c r="R49" s="164">
        <v>0</v>
      </c>
      <c r="S49" s="164">
        <v>0</v>
      </c>
      <c r="T49" s="164">
        <v>-0.0007108563723795056</v>
      </c>
      <c r="U49" s="164">
        <v>-0.0004043794454662938</v>
      </c>
      <c r="V49" s="164">
        <v>-0.00018448399284467793</v>
      </c>
      <c r="W49" s="164">
        <v>-0.0006407247202825262</v>
      </c>
      <c r="X49" s="164">
        <v>-0.0031661731880372763</v>
      </c>
      <c r="Y49" s="164">
        <v>-0.0035278298412196856</v>
      </c>
      <c r="Z49" s="164">
        <v>-0.0020850305850310573</v>
      </c>
      <c r="AA49" s="164">
        <v>9.953665559427588E-05</v>
      </c>
      <c r="AB49" s="164">
        <v>0</v>
      </c>
      <c r="AC49" s="164">
        <v>0</v>
      </c>
    </row>
    <row r="50" spans="17:29" ht="12.75">
      <c r="Q50" s="164" t="s">
        <v>365</v>
      </c>
      <c r="R50" s="164">
        <v>0</v>
      </c>
      <c r="S50" s="164">
        <v>0</v>
      </c>
      <c r="T50" s="164">
        <v>0</v>
      </c>
      <c r="U50" s="164">
        <v>-0.00021352984369324773</v>
      </c>
      <c r="V50" s="164">
        <v>-0.0004248200529270598</v>
      </c>
      <c r="W50" s="164">
        <v>-0.0006753256456836683</v>
      </c>
      <c r="X50" s="164">
        <v>-0.0005162800549164126</v>
      </c>
      <c r="Y50" s="164">
        <v>-0.0013930210896217327</v>
      </c>
      <c r="Z50" s="164">
        <v>-0.0019269238081720155</v>
      </c>
      <c r="AA50" s="164">
        <v>0</v>
      </c>
      <c r="AB50" s="164">
        <v>0</v>
      </c>
      <c r="AC50" s="164">
        <v>0</v>
      </c>
    </row>
    <row r="52" spans="18:29" ht="12.75">
      <c r="R52" s="163" t="s">
        <v>165</v>
      </c>
      <c r="S52" s="163" t="s">
        <v>166</v>
      </c>
      <c r="T52" s="163" t="s">
        <v>167</v>
      </c>
      <c r="U52" s="163" t="s">
        <v>168</v>
      </c>
      <c r="V52" s="163" t="s">
        <v>169</v>
      </c>
      <c r="W52" s="163" t="s">
        <v>170</v>
      </c>
      <c r="X52" s="163" t="s">
        <v>171</v>
      </c>
      <c r="Y52" s="163" t="s">
        <v>172</v>
      </c>
      <c r="Z52" s="163" t="s">
        <v>173</v>
      </c>
      <c r="AA52" s="163" t="s">
        <v>174</v>
      </c>
      <c r="AB52" s="163" t="s">
        <v>175</v>
      </c>
      <c r="AC52" s="163" t="s">
        <v>176</v>
      </c>
    </row>
    <row r="53" spans="16:29" ht="12.75">
      <c r="P53" s="162" t="s">
        <v>196</v>
      </c>
      <c r="Q53" s="164" t="s">
        <v>361</v>
      </c>
      <c r="R53" s="164">
        <v>0.036654550109585966</v>
      </c>
      <c r="S53" s="164">
        <v>0.04182630824391641</v>
      </c>
      <c r="T53" s="164">
        <v>0.06511424227213042</v>
      </c>
      <c r="U53" s="164">
        <v>0.07325046590338448</v>
      </c>
      <c r="V53" s="164">
        <v>0.0777297497951264</v>
      </c>
      <c r="W53" s="164">
        <v>0.08228374316680939</v>
      </c>
      <c r="X53" s="164">
        <v>0.08653398257780162</v>
      </c>
      <c r="Y53" s="164">
        <v>0.09583110642336382</v>
      </c>
      <c r="Z53" s="164">
        <v>0.07943364705780664</v>
      </c>
      <c r="AA53" s="164">
        <v>0.06117164434899163</v>
      </c>
      <c r="AB53" s="164">
        <v>0.03885041238744773</v>
      </c>
      <c r="AC53" s="164">
        <v>0.03164602035551086</v>
      </c>
    </row>
    <row r="54" spans="16:29" ht="12.75">
      <c r="P54" s="167">
        <f>'Load &amp; Coinc Fctrs'!N29</f>
        <v>2.435416552739422</v>
      </c>
      <c r="Q54" s="164" t="s">
        <v>362</v>
      </c>
      <c r="R54" s="164">
        <v>0.009965675363368464</v>
      </c>
      <c r="S54" s="164">
        <v>0.022454607048227538</v>
      </c>
      <c r="T54" s="164">
        <v>0.0237020415793127</v>
      </c>
      <c r="U54" s="164">
        <v>0.02069949342076936</v>
      </c>
      <c r="V54" s="164">
        <v>0.022437438236349628</v>
      </c>
      <c r="W54" s="164">
        <v>0.023789569984853744</v>
      </c>
      <c r="X54" s="164">
        <v>0.04201047904126219</v>
      </c>
      <c r="Y54" s="164">
        <v>0.0210010221384455</v>
      </c>
      <c r="Z54" s="164">
        <v>0.02657756183522388</v>
      </c>
      <c r="AA54" s="164">
        <v>0.035328580288477254</v>
      </c>
      <c r="AB54" s="164">
        <v>0.017825174159712</v>
      </c>
      <c r="AC54" s="164">
        <v>0.009297268974186356</v>
      </c>
    </row>
    <row r="55" spans="16:29" ht="12.75">
      <c r="P55" s="167">
        <f>'Load &amp; Coinc Fctrs'!N33</f>
        <v>0.40776138973477805</v>
      </c>
      <c r="Q55" s="164" t="s">
        <v>364</v>
      </c>
      <c r="R55" s="164">
        <v>0</v>
      </c>
      <c r="S55" s="164">
        <v>0</v>
      </c>
      <c r="T55" s="164">
        <v>0</v>
      </c>
      <c r="U55" s="164">
        <v>-0.0009389695477187243</v>
      </c>
      <c r="V55" s="164">
        <v>-0.0032454918870290107</v>
      </c>
      <c r="W55" s="164">
        <v>-0.0025680733223881844</v>
      </c>
      <c r="X55" s="164">
        <v>-0.005600712141132617</v>
      </c>
      <c r="Y55" s="164">
        <v>-0.007267937869659772</v>
      </c>
      <c r="Z55" s="164">
        <v>-0.0039392488272647</v>
      </c>
      <c r="AA55" s="164">
        <v>-0.0003727941983721793</v>
      </c>
      <c r="AB55" s="164">
        <v>1.686675863243949E-05</v>
      </c>
      <c r="AC55" s="164">
        <v>0</v>
      </c>
    </row>
    <row r="56" spans="17:29" ht="12.75">
      <c r="Q56" s="164" t="s">
        <v>365</v>
      </c>
      <c r="R56" s="164">
        <v>0</v>
      </c>
      <c r="S56" s="164">
        <v>0</v>
      </c>
      <c r="T56" s="164">
        <v>0</v>
      </c>
      <c r="U56" s="164">
        <v>-0.0007494025808675652</v>
      </c>
      <c r="V56" s="164">
        <v>-0.001527595286142827</v>
      </c>
      <c r="W56" s="164">
        <v>-0.0012569034736716377</v>
      </c>
      <c r="X56" s="164">
        <v>-0.002820930772876165</v>
      </c>
      <c r="Y56" s="164">
        <v>-0.001955093013052701</v>
      </c>
      <c r="Z56" s="164">
        <v>-0.0020190563541042867</v>
      </c>
      <c r="AA56" s="164">
        <v>-4.3928183481958715E-05</v>
      </c>
      <c r="AB56" s="164">
        <v>0</v>
      </c>
      <c r="AC56" s="164">
        <v>0</v>
      </c>
    </row>
    <row r="58" spans="18:29" ht="12.75">
      <c r="R58" s="163" t="s">
        <v>165</v>
      </c>
      <c r="S58" s="163" t="s">
        <v>166</v>
      </c>
      <c r="T58" s="163" t="s">
        <v>167</v>
      </c>
      <c r="U58" s="163" t="s">
        <v>168</v>
      </c>
      <c r="V58" s="163" t="s">
        <v>169</v>
      </c>
      <c r="W58" s="163" t="s">
        <v>170</v>
      </c>
      <c r="X58" s="163" t="s">
        <v>171</v>
      </c>
      <c r="Y58" s="163" t="s">
        <v>172</v>
      </c>
      <c r="Z58" s="163" t="s">
        <v>173</v>
      </c>
      <c r="AA58" s="163" t="s">
        <v>174</v>
      </c>
      <c r="AB58" s="163" t="s">
        <v>175</v>
      </c>
      <c r="AC58" s="163" t="s">
        <v>176</v>
      </c>
    </row>
    <row r="59" spans="16:29" ht="12.75">
      <c r="P59" s="162" t="s">
        <v>197</v>
      </c>
      <c r="Q59" s="164" t="s">
        <v>361</v>
      </c>
      <c r="R59" s="164">
        <v>0.028150936176119967</v>
      </c>
      <c r="S59" s="164">
        <v>0.039445601369528176</v>
      </c>
      <c r="T59" s="164">
        <v>0.06552386145122872</v>
      </c>
      <c r="U59" s="164">
        <v>0.06812976182018846</v>
      </c>
      <c r="V59" s="164">
        <v>0.0855635430023921</v>
      </c>
      <c r="W59" s="164">
        <v>0.08798030878731579</v>
      </c>
      <c r="X59" s="164">
        <v>0.09337016319708442</v>
      </c>
      <c r="Y59" s="164">
        <v>0.09041534733371172</v>
      </c>
      <c r="Z59" s="164">
        <v>0.07615675205070084</v>
      </c>
      <c r="AA59" s="164">
        <v>0.04638174992879421</v>
      </c>
      <c r="AB59" s="164">
        <v>0.02694632968588649</v>
      </c>
      <c r="AC59" s="164">
        <v>0.021672464990937137</v>
      </c>
    </row>
    <row r="60" spans="16:29" ht="12.75">
      <c r="P60" s="167">
        <f>'Load &amp; Coinc Fctrs'!O29</f>
        <v>2.555565484547739</v>
      </c>
      <c r="Q60" s="164" t="s">
        <v>362</v>
      </c>
      <c r="R60" s="164">
        <v>0.01446000611615639</v>
      </c>
      <c r="S60" s="164">
        <v>0.019697754252514365</v>
      </c>
      <c r="T60" s="164">
        <v>0.01881823629639468</v>
      </c>
      <c r="U60" s="164">
        <v>0.02398454197112447</v>
      </c>
      <c r="V60" s="164">
        <v>0.03665776022305697</v>
      </c>
      <c r="W60" s="164">
        <v>0.03046988886263771</v>
      </c>
      <c r="X60" s="164">
        <v>0.0388367397754856</v>
      </c>
      <c r="Y60" s="164">
        <v>0.018016614674359947</v>
      </c>
      <c r="Z60" s="164">
        <v>0.03246726996365416</v>
      </c>
      <c r="AA60" s="164">
        <v>0.026183290438953545</v>
      </c>
      <c r="AB60" s="164">
        <v>0.017088259498566787</v>
      </c>
      <c r="AC60" s="164">
        <v>0.016360222125678895</v>
      </c>
    </row>
    <row r="61" spans="16:29" ht="12.75">
      <c r="P61" s="167">
        <f>'Load &amp; Coinc Fctrs'!O33</f>
        <v>0.43349178124212845</v>
      </c>
      <c r="Q61" s="164" t="s">
        <v>364</v>
      </c>
      <c r="R61" s="164">
        <v>0</v>
      </c>
      <c r="S61" s="164">
        <v>0</v>
      </c>
      <c r="T61" s="164">
        <v>-0.0007108563723795056</v>
      </c>
      <c r="U61" s="164">
        <v>-0.0004043794454662938</v>
      </c>
      <c r="V61" s="164">
        <v>-0.00018448399284467793</v>
      </c>
      <c r="W61" s="164">
        <v>-0.0006407247202825262</v>
      </c>
      <c r="X61" s="164">
        <v>-0.0031661731880372763</v>
      </c>
      <c r="Y61" s="164">
        <v>-0.0035278298412196856</v>
      </c>
      <c r="Z61" s="164">
        <v>-0.0020850305850310573</v>
      </c>
      <c r="AA61" s="164">
        <v>9.953665559427588E-05</v>
      </c>
      <c r="AB61" s="164">
        <v>0</v>
      </c>
      <c r="AC61" s="164">
        <v>0</v>
      </c>
    </row>
    <row r="62" spans="17:29" ht="12.75">
      <c r="Q62" s="164" t="s">
        <v>365</v>
      </c>
      <c r="R62" s="164">
        <v>0</v>
      </c>
      <c r="S62" s="164">
        <v>0</v>
      </c>
      <c r="T62" s="164">
        <v>0</v>
      </c>
      <c r="U62" s="164">
        <v>-0.00021352984369324773</v>
      </c>
      <c r="V62" s="164">
        <v>-0.0004248200529270598</v>
      </c>
      <c r="W62" s="164">
        <v>-0.0006753256456836683</v>
      </c>
      <c r="X62" s="164">
        <v>-0.0005162800549164126</v>
      </c>
      <c r="Y62" s="164">
        <v>-0.0013930210896217327</v>
      </c>
      <c r="Z62" s="164">
        <v>-0.0019269238081720155</v>
      </c>
      <c r="AA62" s="164">
        <v>0</v>
      </c>
      <c r="AB62" s="164">
        <v>0</v>
      </c>
      <c r="AC62" s="164">
        <v>0</v>
      </c>
    </row>
    <row r="66" spans="16:29" ht="12.75">
      <c r="P66" s="162" t="s">
        <v>188</v>
      </c>
      <c r="Q66" s="164" t="s">
        <v>361</v>
      </c>
      <c r="R66" s="164">
        <v>0.02900443786678404</v>
      </c>
      <c r="S66" s="164">
        <v>0.03937589933716996</v>
      </c>
      <c r="T66" s="164">
        <v>0.06514339765020068</v>
      </c>
      <c r="U66" s="164">
        <v>0.06785314301315457</v>
      </c>
      <c r="V66" s="164">
        <v>0.0851512039088746</v>
      </c>
      <c r="W66" s="164">
        <v>0.08725534890600298</v>
      </c>
      <c r="X66" s="164">
        <v>0.09334178763566282</v>
      </c>
      <c r="Y66" s="164">
        <v>0.09103731434741119</v>
      </c>
      <c r="Z66" s="164">
        <v>0.07615556247765645</v>
      </c>
      <c r="AA66" s="164">
        <v>0.046909144520871644</v>
      </c>
      <c r="AB66" s="164">
        <v>0.027329562202731136</v>
      </c>
      <c r="AC66" s="164">
        <v>0.02226482700600753</v>
      </c>
    </row>
    <row r="67" spans="16:29" ht="12.75">
      <c r="P67" s="166" t="s">
        <v>363</v>
      </c>
      <c r="Q67" s="164" t="s">
        <v>362</v>
      </c>
      <c r="R67" s="164">
        <v>0.014751123034311387</v>
      </c>
      <c r="S67" s="164">
        <v>0.01972213682044143</v>
      </c>
      <c r="T67" s="164">
        <v>0.019152116505056275</v>
      </c>
      <c r="U67" s="164">
        <v>0.02403873613193099</v>
      </c>
      <c r="V67" s="164">
        <v>0.03594230692000436</v>
      </c>
      <c r="W67" s="164">
        <v>0.030193866364760145</v>
      </c>
      <c r="X67" s="164">
        <v>0.03871795924665562</v>
      </c>
      <c r="Y67" s="164">
        <v>0.017921892196808127</v>
      </c>
      <c r="Z67" s="164">
        <v>0.03216599879517513</v>
      </c>
      <c r="AA67" s="164">
        <v>0.026641500996509738</v>
      </c>
      <c r="AB67" s="164">
        <v>0.017048597676991805</v>
      </c>
      <c r="AC67" s="164">
        <v>0.016551377174932894</v>
      </c>
    </row>
    <row r="68" spans="16:29" ht="12.75">
      <c r="P68" s="167">
        <v>10.431844421383099</v>
      </c>
      <c r="Q68" s="164" t="s">
        <v>364</v>
      </c>
      <c r="R68" s="164">
        <v>0</v>
      </c>
      <c r="S68" s="164">
        <v>0</v>
      </c>
      <c r="T68" s="164">
        <v>-0.0006800238066755641</v>
      </c>
      <c r="U68" s="164">
        <v>-0.0004052658350905516</v>
      </c>
      <c r="V68" s="164">
        <v>-0.0002693514740924846</v>
      </c>
      <c r="W68" s="164">
        <v>-0.000724641612680859</v>
      </c>
      <c r="X68" s="164">
        <v>-0.0033359085209681088</v>
      </c>
      <c r="Y68" s="164">
        <v>-0.0036889192434385568</v>
      </c>
      <c r="Z68" s="164">
        <v>-0.0020600039913630606</v>
      </c>
      <c r="AA68" s="164">
        <v>9.771924786281189E-05</v>
      </c>
      <c r="AB68" s="164">
        <v>0</v>
      </c>
      <c r="AC68" s="164">
        <v>0</v>
      </c>
    </row>
    <row r="69" spans="16:29" ht="12.75">
      <c r="P69" s="167">
        <v>0.5072614668353319</v>
      </c>
      <c r="Q69" s="164" t="s">
        <v>365</v>
      </c>
      <c r="R69" s="164">
        <v>0</v>
      </c>
      <c r="S69" s="164">
        <v>0</v>
      </c>
      <c r="T69" s="164">
        <v>0</v>
      </c>
      <c r="U69" s="164">
        <v>-0.0002253484897158123</v>
      </c>
      <c r="V69" s="164">
        <v>-0.00043290464639284774</v>
      </c>
      <c r="W69" s="164">
        <v>-0.000721345490486408</v>
      </c>
      <c r="X69" s="164">
        <v>-0.0006337231086225026</v>
      </c>
      <c r="Y69" s="164">
        <v>-0.0013924724911699084</v>
      </c>
      <c r="Z69" s="164">
        <v>-0.001895524730118175</v>
      </c>
      <c r="AA69" s="164">
        <v>0</v>
      </c>
      <c r="AB69" s="164">
        <v>0</v>
      </c>
      <c r="AC69" s="164">
        <v>0</v>
      </c>
    </row>
    <row r="70" spans="16:29" ht="12.75">
      <c r="P70" s="162" t="s">
        <v>189</v>
      </c>
      <c r="Q70" s="164" t="s">
        <v>361</v>
      </c>
      <c r="R70" s="164">
        <v>0.028150936176119967</v>
      </c>
      <c r="S70" s="164">
        <v>0.039445601369528176</v>
      </c>
      <c r="T70" s="164">
        <v>0.06552386145122872</v>
      </c>
      <c r="U70" s="164">
        <v>0.06812976182018846</v>
      </c>
      <c r="V70" s="164">
        <v>0.0855635430023921</v>
      </c>
      <c r="W70" s="164">
        <v>0.08798030878731579</v>
      </c>
      <c r="X70" s="164">
        <v>0.09337016319708442</v>
      </c>
      <c r="Y70" s="164">
        <v>0.09041534733371172</v>
      </c>
      <c r="Z70" s="164">
        <v>0.07615675205070084</v>
      </c>
      <c r="AA70" s="164">
        <v>0.04638174992879421</v>
      </c>
      <c r="AB70" s="164">
        <v>0.02694632968588649</v>
      </c>
      <c r="AC70" s="164">
        <v>0.021672464990937137</v>
      </c>
    </row>
    <row r="71" spans="16:29" ht="12.75">
      <c r="P71" s="167">
        <v>8.435799977604587</v>
      </c>
      <c r="Q71" s="164" t="s">
        <v>362</v>
      </c>
      <c r="R71" s="164">
        <v>0.01446000611615639</v>
      </c>
      <c r="S71" s="164">
        <v>0.019697754252514365</v>
      </c>
      <c r="T71" s="164">
        <v>0.01881823629639468</v>
      </c>
      <c r="U71" s="164">
        <v>0.02398454197112447</v>
      </c>
      <c r="V71" s="164">
        <v>0.03665776022305697</v>
      </c>
      <c r="W71" s="164">
        <v>0.03046988886263771</v>
      </c>
      <c r="X71" s="164">
        <v>0.0388367397754856</v>
      </c>
      <c r="Y71" s="164">
        <v>0.018016614674359947</v>
      </c>
      <c r="Z71" s="164">
        <v>0.03246726996365416</v>
      </c>
      <c r="AA71" s="164">
        <v>0.026183290438953545</v>
      </c>
      <c r="AB71" s="164">
        <v>0.017088259498566787</v>
      </c>
      <c r="AC71" s="164">
        <v>0.016360222125678895</v>
      </c>
    </row>
    <row r="72" spans="16:29" ht="12.75">
      <c r="P72" s="167">
        <v>0.5701061561168407</v>
      </c>
      <c r="Q72" s="164" t="s">
        <v>364</v>
      </c>
      <c r="R72" s="164">
        <v>0</v>
      </c>
      <c r="S72" s="164">
        <v>0</v>
      </c>
      <c r="T72" s="164">
        <v>-0.0007108563723795056</v>
      </c>
      <c r="U72" s="164">
        <v>-0.0004043794454662938</v>
      </c>
      <c r="V72" s="164">
        <v>-0.00018448399284467793</v>
      </c>
      <c r="W72" s="164">
        <v>-0.0006407247202825262</v>
      </c>
      <c r="X72" s="164">
        <v>-0.0031661731880372763</v>
      </c>
      <c r="Y72" s="164">
        <v>-0.0035278298412196856</v>
      </c>
      <c r="Z72" s="164">
        <v>-0.0020850305850310573</v>
      </c>
      <c r="AA72" s="164">
        <v>9.953665559427588E-05</v>
      </c>
      <c r="AB72" s="164">
        <v>0</v>
      </c>
      <c r="AC72" s="164">
        <v>0</v>
      </c>
    </row>
    <row r="73" spans="17:29" ht="12.75">
      <c r="Q73" s="164" t="s">
        <v>365</v>
      </c>
      <c r="R73" s="164">
        <v>0</v>
      </c>
      <c r="S73" s="164">
        <v>0</v>
      </c>
      <c r="T73" s="164">
        <v>0</v>
      </c>
      <c r="U73" s="164">
        <v>-0.00021352984369324773</v>
      </c>
      <c r="V73" s="164">
        <v>-0.0004248200529270598</v>
      </c>
      <c r="W73" s="164">
        <v>-0.0006753256456836683</v>
      </c>
      <c r="X73" s="164">
        <v>-0.0005162800549164126</v>
      </c>
      <c r="Y73" s="164">
        <v>-0.0013930210896217327</v>
      </c>
      <c r="Z73" s="164">
        <v>-0.0019269238081720155</v>
      </c>
      <c r="AA73" s="164">
        <v>0</v>
      </c>
      <c r="AB73" s="164">
        <v>0</v>
      </c>
      <c r="AC73" s="164">
        <v>0</v>
      </c>
    </row>
    <row r="74" spans="16:29" ht="12.75">
      <c r="P74" s="162" t="s">
        <v>190</v>
      </c>
      <c r="Q74" s="164" t="s">
        <v>361</v>
      </c>
      <c r="R74" s="164">
        <v>0.028150936176119967</v>
      </c>
      <c r="S74" s="164">
        <v>0.039445601369528176</v>
      </c>
      <c r="T74" s="164">
        <v>0.06552386145122872</v>
      </c>
      <c r="U74" s="164">
        <v>0.06812976182018846</v>
      </c>
      <c r="V74" s="164">
        <v>0.0855635430023921</v>
      </c>
      <c r="W74" s="164">
        <v>0.08798030878731579</v>
      </c>
      <c r="X74" s="164">
        <v>0.09337016319708442</v>
      </c>
      <c r="Y74" s="164">
        <v>0.09041534733371172</v>
      </c>
      <c r="Z74" s="164">
        <v>0.07615675205070084</v>
      </c>
      <c r="AA74" s="164">
        <v>0.04638174992879421</v>
      </c>
      <c r="AB74" s="164">
        <v>0.02694632968588649</v>
      </c>
      <c r="AC74" s="164">
        <v>0.021672464990937137</v>
      </c>
    </row>
    <row r="75" spans="16:29" ht="12.75">
      <c r="P75" s="167">
        <v>5.08003271198476</v>
      </c>
      <c r="Q75" s="164" t="s">
        <v>362</v>
      </c>
      <c r="R75" s="164">
        <v>0.01446000611615639</v>
      </c>
      <c r="S75" s="164">
        <v>0.019697754252514365</v>
      </c>
      <c r="T75" s="164">
        <v>0.01881823629639468</v>
      </c>
      <c r="U75" s="164">
        <v>0.02398454197112447</v>
      </c>
      <c r="V75" s="164">
        <v>0.03665776022305697</v>
      </c>
      <c r="W75" s="164">
        <v>0.03046988886263771</v>
      </c>
      <c r="X75" s="164">
        <v>0.0388367397754856</v>
      </c>
      <c r="Y75" s="164">
        <v>0.018016614674359947</v>
      </c>
      <c r="Z75" s="164">
        <v>0.03246726996365416</v>
      </c>
      <c r="AA75" s="164">
        <v>0.026183290438953545</v>
      </c>
      <c r="AB75" s="164">
        <v>0.017088259498566787</v>
      </c>
      <c r="AC75" s="164">
        <v>0.016360222125678895</v>
      </c>
    </row>
    <row r="76" spans="16:29" ht="12.75">
      <c r="P76" s="167">
        <v>0.4512219511713349</v>
      </c>
      <c r="Q76" s="164" t="s">
        <v>364</v>
      </c>
      <c r="R76" s="164">
        <v>0</v>
      </c>
      <c r="S76" s="164">
        <v>0</v>
      </c>
      <c r="T76" s="164">
        <v>-0.0007108563723795056</v>
      </c>
      <c r="U76" s="164">
        <v>-0.0004043794454662938</v>
      </c>
      <c r="V76" s="164">
        <v>-0.00018448399284467793</v>
      </c>
      <c r="W76" s="164">
        <v>-0.0006407247202825262</v>
      </c>
      <c r="X76" s="164">
        <v>-0.0031661731880372763</v>
      </c>
      <c r="Y76" s="164">
        <v>-0.0035278298412196856</v>
      </c>
      <c r="Z76" s="164">
        <v>-0.0020850305850310573</v>
      </c>
      <c r="AA76" s="164">
        <v>9.953665559427588E-05</v>
      </c>
      <c r="AB76" s="164">
        <v>0</v>
      </c>
      <c r="AC76" s="164">
        <v>0</v>
      </c>
    </row>
    <row r="77" spans="17:29" ht="12.75">
      <c r="Q77" s="164" t="s">
        <v>365</v>
      </c>
      <c r="R77" s="164">
        <v>0</v>
      </c>
      <c r="S77" s="164">
        <v>0</v>
      </c>
      <c r="T77" s="164">
        <v>0</v>
      </c>
      <c r="U77" s="164">
        <v>-0.00021352984369324773</v>
      </c>
      <c r="V77" s="164">
        <v>-0.0004248200529270598</v>
      </c>
      <c r="W77" s="164">
        <v>-0.0006753256456836683</v>
      </c>
      <c r="X77" s="164">
        <v>-0.0005162800549164126</v>
      </c>
      <c r="Y77" s="164">
        <v>-0.0013930210896217327</v>
      </c>
      <c r="Z77" s="164">
        <v>-0.0019269238081720155</v>
      </c>
      <c r="AA77" s="164">
        <v>0</v>
      </c>
      <c r="AB77" s="164">
        <v>0</v>
      </c>
      <c r="AC77" s="164">
        <v>0</v>
      </c>
    </row>
    <row r="78" spans="16:29" ht="12.75">
      <c r="P78" s="162" t="s">
        <v>191</v>
      </c>
      <c r="Q78" s="164" t="s">
        <v>361</v>
      </c>
      <c r="R78" s="164">
        <v>0.036654550109585966</v>
      </c>
      <c r="S78" s="164">
        <v>0.04182630824391641</v>
      </c>
      <c r="T78" s="164">
        <v>0.06511424227213042</v>
      </c>
      <c r="U78" s="164">
        <v>0.07325046590338448</v>
      </c>
      <c r="V78" s="164">
        <v>0.0777297497951264</v>
      </c>
      <c r="W78" s="164">
        <v>0.08228374316680939</v>
      </c>
      <c r="X78" s="164">
        <v>0.08653398257780162</v>
      </c>
      <c r="Y78" s="164">
        <v>0.09583110642336382</v>
      </c>
      <c r="Z78" s="164">
        <v>0.07943364705780664</v>
      </c>
      <c r="AA78" s="164">
        <v>0.06117164434899163</v>
      </c>
      <c r="AB78" s="164">
        <v>0.03885041238744773</v>
      </c>
      <c r="AC78" s="164">
        <v>0.03164602035551086</v>
      </c>
    </row>
    <row r="79" spans="16:29" ht="12.75">
      <c r="P79" s="167">
        <v>4.34669889345294</v>
      </c>
      <c r="Q79" s="164" t="s">
        <v>362</v>
      </c>
      <c r="R79" s="164">
        <v>0.009965675363368464</v>
      </c>
      <c r="S79" s="164">
        <v>0.022454607048227538</v>
      </c>
      <c r="T79" s="164">
        <v>0.0237020415793127</v>
      </c>
      <c r="U79" s="164">
        <v>0.02069949342076936</v>
      </c>
      <c r="V79" s="164">
        <v>0.022437438236349628</v>
      </c>
      <c r="W79" s="164">
        <v>0.023789569984853744</v>
      </c>
      <c r="X79" s="164">
        <v>0.04201047904126219</v>
      </c>
      <c r="Y79" s="164">
        <v>0.0210010221384455</v>
      </c>
      <c r="Z79" s="164">
        <v>0.02657756183522388</v>
      </c>
      <c r="AA79" s="164">
        <v>0.035328580288477254</v>
      </c>
      <c r="AB79" s="164">
        <v>0.017825174159712</v>
      </c>
      <c r="AC79" s="164">
        <v>0.009297268974186356</v>
      </c>
    </row>
    <row r="80" spans="16:29" ht="12.75">
      <c r="P80" s="167">
        <v>0.2980171310469558</v>
      </c>
      <c r="Q80" s="164" t="s">
        <v>364</v>
      </c>
      <c r="R80" s="164">
        <v>0</v>
      </c>
      <c r="S80" s="164">
        <v>0</v>
      </c>
      <c r="T80" s="164">
        <v>0</v>
      </c>
      <c r="U80" s="164">
        <v>-0.0009389695477187243</v>
      </c>
      <c r="V80" s="164">
        <v>-0.0032454918870290107</v>
      </c>
      <c r="W80" s="164">
        <v>-0.0025680733223881844</v>
      </c>
      <c r="X80" s="164">
        <v>-0.005600712141132617</v>
      </c>
      <c r="Y80" s="164">
        <v>-0.007267937869659772</v>
      </c>
      <c r="Z80" s="164">
        <v>-0.0039392488272647</v>
      </c>
      <c r="AA80" s="164">
        <v>-0.0003727941983721793</v>
      </c>
      <c r="AB80" s="164">
        <v>1.686675863243949E-05</v>
      </c>
      <c r="AC80" s="164">
        <v>0</v>
      </c>
    </row>
    <row r="81" spans="17:29" ht="12.75">
      <c r="Q81" s="164" t="s">
        <v>365</v>
      </c>
      <c r="R81" s="164">
        <v>0</v>
      </c>
      <c r="S81" s="164">
        <v>0</v>
      </c>
      <c r="T81" s="164">
        <v>0</v>
      </c>
      <c r="U81" s="164">
        <v>-0.0007494025808675652</v>
      </c>
      <c r="V81" s="164">
        <v>-0.001527595286142827</v>
      </c>
      <c r="W81" s="164">
        <v>-0.0012569034736716377</v>
      </c>
      <c r="X81" s="164">
        <v>-0.002820930772876165</v>
      </c>
      <c r="Y81" s="164">
        <v>-0.001955093013052701</v>
      </c>
      <c r="Z81" s="164">
        <v>-0.0020190563541042867</v>
      </c>
      <c r="AA81" s="164">
        <v>-4.3928183481958715E-05</v>
      </c>
      <c r="AB81" s="164">
        <v>0</v>
      </c>
      <c r="AC81" s="164">
        <v>0</v>
      </c>
    </row>
    <row r="82" spans="16:29" ht="12.75">
      <c r="P82" s="162" t="s">
        <v>192</v>
      </c>
      <c r="Q82" s="164" t="s">
        <v>361</v>
      </c>
      <c r="R82" s="164">
        <v>0.028150936176119967</v>
      </c>
      <c r="S82" s="164">
        <v>0.039445601369528176</v>
      </c>
      <c r="T82" s="164">
        <v>0.06552386145122872</v>
      </c>
      <c r="U82" s="164">
        <v>0.06812976182018846</v>
      </c>
      <c r="V82" s="164">
        <v>0.0855635430023921</v>
      </c>
      <c r="W82" s="164">
        <v>0.08798030878731579</v>
      </c>
      <c r="X82" s="164">
        <v>0.09337016319708442</v>
      </c>
      <c r="Y82" s="164">
        <v>0.09041534733371172</v>
      </c>
      <c r="Z82" s="164">
        <v>0.07615675205070084</v>
      </c>
      <c r="AA82" s="164">
        <v>0.04638174992879421</v>
      </c>
      <c r="AB82" s="164">
        <v>0.02694632968588649</v>
      </c>
      <c r="AC82" s="164">
        <v>0.021672464990937137</v>
      </c>
    </row>
    <row r="83" spans="16:29" ht="12.75">
      <c r="P83" s="167">
        <v>3.3521348791209675</v>
      </c>
      <c r="Q83" s="164" t="s">
        <v>362</v>
      </c>
      <c r="R83" s="164">
        <v>0.01446000611615639</v>
      </c>
      <c r="S83" s="164">
        <v>0.019697754252514365</v>
      </c>
      <c r="T83" s="164">
        <v>0.01881823629639468</v>
      </c>
      <c r="U83" s="164">
        <v>0.02398454197112447</v>
      </c>
      <c r="V83" s="164">
        <v>0.03665776022305697</v>
      </c>
      <c r="W83" s="164">
        <v>0.03046988886263771</v>
      </c>
      <c r="X83" s="164">
        <v>0.0388367397754856</v>
      </c>
      <c r="Y83" s="164">
        <v>0.018016614674359947</v>
      </c>
      <c r="Z83" s="164">
        <v>0.03246726996365416</v>
      </c>
      <c r="AA83" s="164">
        <v>0.026183290438953545</v>
      </c>
      <c r="AB83" s="164">
        <v>0.017088259498566787</v>
      </c>
      <c r="AC83" s="164">
        <v>0.016360222125678895</v>
      </c>
    </row>
    <row r="84" spans="16:29" ht="12.75">
      <c r="P84" s="167">
        <v>0.2422669356789609</v>
      </c>
      <c r="Q84" s="164" t="s">
        <v>364</v>
      </c>
      <c r="R84" s="164">
        <v>0</v>
      </c>
      <c r="S84" s="164">
        <v>0</v>
      </c>
      <c r="T84" s="164">
        <v>-0.0007108563723795056</v>
      </c>
      <c r="U84" s="164">
        <v>-0.0004043794454662938</v>
      </c>
      <c r="V84" s="164">
        <v>-0.00018448399284467793</v>
      </c>
      <c r="W84" s="164">
        <v>-0.0006407247202825262</v>
      </c>
      <c r="X84" s="164">
        <v>-0.0031661731880372763</v>
      </c>
      <c r="Y84" s="164">
        <v>-0.0035278298412196856</v>
      </c>
      <c r="Z84" s="164">
        <v>-0.0020850305850310573</v>
      </c>
      <c r="AA84" s="164">
        <v>9.953665559427588E-05</v>
      </c>
      <c r="AB84" s="164">
        <v>0</v>
      </c>
      <c r="AC84" s="164">
        <v>0</v>
      </c>
    </row>
    <row r="85" spans="17:29" ht="12.75">
      <c r="Q85" s="164" t="s">
        <v>365</v>
      </c>
      <c r="R85" s="164">
        <v>0</v>
      </c>
      <c r="S85" s="164">
        <v>0</v>
      </c>
      <c r="T85" s="164">
        <v>0</v>
      </c>
      <c r="U85" s="164">
        <v>-0.00021352984369324773</v>
      </c>
      <c r="V85" s="164">
        <v>-0.0004248200529270598</v>
      </c>
      <c r="W85" s="164">
        <v>-0.0006753256456836683</v>
      </c>
      <c r="X85" s="164">
        <v>-0.0005162800549164126</v>
      </c>
      <c r="Y85" s="164">
        <v>-0.0013930210896217327</v>
      </c>
      <c r="Z85" s="164">
        <v>-0.0019269238081720155</v>
      </c>
      <c r="AA85" s="164">
        <v>0</v>
      </c>
      <c r="AB85" s="164">
        <v>0</v>
      </c>
      <c r="AC85" s="164">
        <v>0</v>
      </c>
    </row>
    <row r="86" spans="16:29" ht="12.75">
      <c r="P86" s="162" t="s">
        <v>193</v>
      </c>
      <c r="Q86" s="164" t="s">
        <v>361</v>
      </c>
      <c r="R86" s="164">
        <v>0.02900443786678404</v>
      </c>
      <c r="S86" s="164">
        <v>0.03937589933716996</v>
      </c>
      <c r="T86" s="164">
        <v>0.06514339765020068</v>
      </c>
      <c r="U86" s="164">
        <v>0.06785314301315457</v>
      </c>
      <c r="V86" s="164">
        <v>0.0851512039088746</v>
      </c>
      <c r="W86" s="164">
        <v>0.08725534890600298</v>
      </c>
      <c r="X86" s="164">
        <v>0.09334178763566282</v>
      </c>
      <c r="Y86" s="164">
        <v>0.09103731434741119</v>
      </c>
      <c r="Z86" s="164">
        <v>0.07615556247765645</v>
      </c>
      <c r="AA86" s="164">
        <v>0.046909144520871644</v>
      </c>
      <c r="AB86" s="164">
        <v>0.027329562202731136</v>
      </c>
      <c r="AC86" s="164">
        <v>0.02226482700600753</v>
      </c>
    </row>
    <row r="87" spans="16:29" ht="12.75">
      <c r="P87" s="167">
        <v>2.4684398782840735</v>
      </c>
      <c r="Q87" s="164" t="s">
        <v>362</v>
      </c>
      <c r="R87" s="164">
        <v>0.014751123034311387</v>
      </c>
      <c r="S87" s="164">
        <v>0.01972213682044143</v>
      </c>
      <c r="T87" s="164">
        <v>0.019152116505056275</v>
      </c>
      <c r="U87" s="164">
        <v>0.02403873613193099</v>
      </c>
      <c r="V87" s="164">
        <v>0.03594230692000436</v>
      </c>
      <c r="W87" s="164">
        <v>0.030193866364760145</v>
      </c>
      <c r="X87" s="164">
        <v>0.03871795924665562</v>
      </c>
      <c r="Y87" s="164">
        <v>0.017921892196808127</v>
      </c>
      <c r="Z87" s="164">
        <v>0.03216599879517513</v>
      </c>
      <c r="AA87" s="164">
        <v>0.026641500996509738</v>
      </c>
      <c r="AB87" s="164">
        <v>0.017048597676991805</v>
      </c>
      <c r="AC87" s="164">
        <v>0.016551377174932894</v>
      </c>
    </row>
    <row r="88" spans="16:29" ht="12.75">
      <c r="P88" s="167">
        <v>0.3328613099731527</v>
      </c>
      <c r="Q88" s="164" t="s">
        <v>364</v>
      </c>
      <c r="R88" s="164">
        <v>0</v>
      </c>
      <c r="S88" s="164">
        <v>0</v>
      </c>
      <c r="T88" s="164">
        <v>-0.0006800238066755641</v>
      </c>
      <c r="U88" s="164">
        <v>-0.0004052658350905516</v>
      </c>
      <c r="V88" s="164">
        <v>-0.0002693514740924846</v>
      </c>
      <c r="W88" s="164">
        <v>-0.000724641612680859</v>
      </c>
      <c r="X88" s="164">
        <v>-0.0033359085209681088</v>
      </c>
      <c r="Y88" s="164">
        <v>-0.0036889192434385568</v>
      </c>
      <c r="Z88" s="164">
        <v>-0.0020600039913630606</v>
      </c>
      <c r="AA88" s="164">
        <v>9.771924786281189E-05</v>
      </c>
      <c r="AB88" s="164">
        <v>0</v>
      </c>
      <c r="AC88" s="164">
        <v>0</v>
      </c>
    </row>
    <row r="89" spans="17:29" ht="12.75">
      <c r="Q89" s="164" t="s">
        <v>365</v>
      </c>
      <c r="R89" s="164">
        <v>0</v>
      </c>
      <c r="S89" s="164">
        <v>0</v>
      </c>
      <c r="T89" s="164">
        <v>0</v>
      </c>
      <c r="U89" s="164">
        <v>-0.0002253484897158123</v>
      </c>
      <c r="V89" s="164">
        <v>-0.00043290464639284774</v>
      </c>
      <c r="W89" s="164">
        <v>-0.000721345490486408</v>
      </c>
      <c r="X89" s="164">
        <v>-0.0006337231086225026</v>
      </c>
      <c r="Y89" s="164">
        <v>-0.0013924724911699084</v>
      </c>
      <c r="Z89" s="164">
        <v>-0.001895524730118175</v>
      </c>
      <c r="AA89" s="164">
        <v>0</v>
      </c>
      <c r="AB89" s="164">
        <v>0</v>
      </c>
      <c r="AC89" s="164">
        <v>0</v>
      </c>
    </row>
    <row r="90" spans="16:29" ht="12.75">
      <c r="P90" s="162" t="s">
        <v>194</v>
      </c>
      <c r="Q90" s="164" t="s">
        <v>361</v>
      </c>
      <c r="R90" s="164">
        <v>0.028150936176119967</v>
      </c>
      <c r="S90" s="164">
        <v>0.039445601369528176</v>
      </c>
      <c r="T90" s="164">
        <v>0.06552386145122872</v>
      </c>
      <c r="U90" s="164">
        <v>0.06812976182018846</v>
      </c>
      <c r="V90" s="164">
        <v>0.0855635430023921</v>
      </c>
      <c r="W90" s="164">
        <v>0.08798030878731579</v>
      </c>
      <c r="X90" s="164">
        <v>0.09337016319708442</v>
      </c>
      <c r="Y90" s="164">
        <v>0.09041534733371172</v>
      </c>
      <c r="Z90" s="164">
        <v>0.07615675205070084</v>
      </c>
      <c r="AA90" s="164">
        <v>0.04638174992879421</v>
      </c>
      <c r="AB90" s="164">
        <v>0.02694632968588649</v>
      </c>
      <c r="AC90" s="164">
        <v>0.021672464990937137</v>
      </c>
    </row>
    <row r="91" spans="16:29" ht="12.75">
      <c r="P91" s="167">
        <v>2.570455187587702</v>
      </c>
      <c r="Q91" s="164" t="s">
        <v>362</v>
      </c>
      <c r="R91" s="164">
        <v>0.01446000611615639</v>
      </c>
      <c r="S91" s="164">
        <v>0.019697754252514365</v>
      </c>
      <c r="T91" s="164">
        <v>0.01881823629639468</v>
      </c>
      <c r="U91" s="164">
        <v>0.02398454197112447</v>
      </c>
      <c r="V91" s="164">
        <v>0.03665776022305697</v>
      </c>
      <c r="W91" s="164">
        <v>0.03046988886263771</v>
      </c>
      <c r="X91" s="164">
        <v>0.0388367397754856</v>
      </c>
      <c r="Y91" s="164">
        <v>0.018016614674359947</v>
      </c>
      <c r="Z91" s="164">
        <v>0.03246726996365416</v>
      </c>
      <c r="AA91" s="164">
        <v>0.026183290438953545</v>
      </c>
      <c r="AB91" s="164">
        <v>0.017088259498566787</v>
      </c>
      <c r="AC91" s="164">
        <v>0.016360222125678895</v>
      </c>
    </row>
    <row r="92" spans="16:29" ht="12.75">
      <c r="P92" s="167">
        <v>0.36263341162493495</v>
      </c>
      <c r="Q92" s="164" t="s">
        <v>364</v>
      </c>
      <c r="R92" s="164">
        <v>0</v>
      </c>
      <c r="S92" s="164">
        <v>0</v>
      </c>
      <c r="T92" s="164">
        <v>-0.0007108563723795056</v>
      </c>
      <c r="U92" s="164">
        <v>-0.0004043794454662938</v>
      </c>
      <c r="V92" s="164">
        <v>-0.00018448399284467793</v>
      </c>
      <c r="W92" s="164">
        <v>-0.0006407247202825262</v>
      </c>
      <c r="X92" s="164">
        <v>-0.0031661731880372763</v>
      </c>
      <c r="Y92" s="164">
        <v>-0.0035278298412196856</v>
      </c>
      <c r="Z92" s="164">
        <v>-0.0020850305850310573</v>
      </c>
      <c r="AA92" s="164">
        <v>9.953665559427588E-05</v>
      </c>
      <c r="AB92" s="164">
        <v>0</v>
      </c>
      <c r="AC92" s="164">
        <v>0</v>
      </c>
    </row>
    <row r="93" spans="17:29" ht="12.75">
      <c r="Q93" s="164" t="s">
        <v>365</v>
      </c>
      <c r="R93" s="164">
        <v>0</v>
      </c>
      <c r="S93" s="164">
        <v>0</v>
      </c>
      <c r="T93" s="164">
        <v>0</v>
      </c>
      <c r="U93" s="164">
        <v>-0.00021352984369324773</v>
      </c>
      <c r="V93" s="164">
        <v>-0.0004248200529270598</v>
      </c>
      <c r="W93" s="164">
        <v>-0.0006753256456836683</v>
      </c>
      <c r="X93" s="164">
        <v>-0.0005162800549164126</v>
      </c>
      <c r="Y93" s="164">
        <v>-0.0013930210896217327</v>
      </c>
      <c r="Z93" s="164">
        <v>-0.0019269238081720155</v>
      </c>
      <c r="AA93" s="164">
        <v>0</v>
      </c>
      <c r="AB93" s="164">
        <v>0</v>
      </c>
      <c r="AC93" s="164">
        <v>0</v>
      </c>
    </row>
    <row r="94" spans="16:29" ht="12.75">
      <c r="P94" s="162" t="s">
        <v>195</v>
      </c>
      <c r="Q94" s="164" t="s">
        <v>361</v>
      </c>
      <c r="R94" s="164">
        <v>0.028150936176119967</v>
      </c>
      <c r="S94" s="164">
        <v>0.039445601369528176</v>
      </c>
      <c r="T94" s="164">
        <v>0.06552386145122872</v>
      </c>
      <c r="U94" s="164">
        <v>0.06812976182018846</v>
      </c>
      <c r="V94" s="164">
        <v>0.0855635430023921</v>
      </c>
      <c r="W94" s="164">
        <v>0.08798030878731579</v>
      </c>
      <c r="X94" s="164">
        <v>0.09337016319708442</v>
      </c>
      <c r="Y94" s="164">
        <v>0.09041534733371172</v>
      </c>
      <c r="Z94" s="164">
        <v>0.07615675205070084</v>
      </c>
      <c r="AA94" s="164">
        <v>0.04638174992879421</v>
      </c>
      <c r="AB94" s="164">
        <v>0.02694632968588649</v>
      </c>
      <c r="AC94" s="164">
        <v>0.021672464990937137</v>
      </c>
    </row>
    <row r="95" spans="16:29" ht="12.75">
      <c r="P95" s="167">
        <v>1.804459157591397</v>
      </c>
      <c r="Q95" s="164" t="s">
        <v>362</v>
      </c>
      <c r="R95" s="164">
        <v>0.01446000611615639</v>
      </c>
      <c r="S95" s="164">
        <v>0.019697754252514365</v>
      </c>
      <c r="T95" s="164">
        <v>0.01881823629639468</v>
      </c>
      <c r="U95" s="164">
        <v>0.02398454197112447</v>
      </c>
      <c r="V95" s="164">
        <v>0.03665776022305697</v>
      </c>
      <c r="W95" s="164">
        <v>0.03046988886263771</v>
      </c>
      <c r="X95" s="164">
        <v>0.0388367397754856</v>
      </c>
      <c r="Y95" s="164">
        <v>0.018016614674359947</v>
      </c>
      <c r="Z95" s="164">
        <v>0.03246726996365416</v>
      </c>
      <c r="AA95" s="164">
        <v>0.026183290438953545</v>
      </c>
      <c r="AB95" s="164">
        <v>0.017088259498566787</v>
      </c>
      <c r="AC95" s="164">
        <v>0.016360222125678895</v>
      </c>
    </row>
    <row r="96" spans="16:29" ht="12.75">
      <c r="P96" s="167">
        <v>0.2590158712914313</v>
      </c>
      <c r="Q96" s="164" t="s">
        <v>364</v>
      </c>
      <c r="R96" s="164">
        <v>0</v>
      </c>
      <c r="S96" s="164">
        <v>0</v>
      </c>
      <c r="T96" s="164">
        <v>-0.0007108563723795056</v>
      </c>
      <c r="U96" s="164">
        <v>-0.0004043794454662938</v>
      </c>
      <c r="V96" s="164">
        <v>-0.00018448399284467793</v>
      </c>
      <c r="W96" s="164">
        <v>-0.0006407247202825262</v>
      </c>
      <c r="X96" s="164">
        <v>-0.0031661731880372763</v>
      </c>
      <c r="Y96" s="164">
        <v>-0.0035278298412196856</v>
      </c>
      <c r="Z96" s="164">
        <v>-0.0020850305850310573</v>
      </c>
      <c r="AA96" s="164">
        <v>9.953665559427588E-05</v>
      </c>
      <c r="AB96" s="164">
        <v>0</v>
      </c>
      <c r="AC96" s="164">
        <v>0</v>
      </c>
    </row>
    <row r="97" spans="17:29" ht="12.75">
      <c r="Q97" s="164" t="s">
        <v>365</v>
      </c>
      <c r="R97" s="164">
        <v>0</v>
      </c>
      <c r="S97" s="164">
        <v>0</v>
      </c>
      <c r="T97" s="164">
        <v>0</v>
      </c>
      <c r="U97" s="164">
        <v>-0.00021352984369324773</v>
      </c>
      <c r="V97" s="164">
        <v>-0.0004248200529270598</v>
      </c>
      <c r="W97" s="164">
        <v>-0.0006753256456836683</v>
      </c>
      <c r="X97" s="164">
        <v>-0.0005162800549164126</v>
      </c>
      <c r="Y97" s="164">
        <v>-0.0013930210896217327</v>
      </c>
      <c r="Z97" s="164">
        <v>-0.0019269238081720155</v>
      </c>
      <c r="AA97" s="164">
        <v>0</v>
      </c>
      <c r="AB97" s="164">
        <v>0</v>
      </c>
      <c r="AC97" s="164">
        <v>0</v>
      </c>
    </row>
    <row r="98" spans="16:29" ht="12.75">
      <c r="P98" s="162" t="s">
        <v>196</v>
      </c>
      <c r="Q98" s="164" t="s">
        <v>361</v>
      </c>
      <c r="R98" s="164">
        <v>0.036654550109585966</v>
      </c>
      <c r="S98" s="164">
        <v>0.04182630824391641</v>
      </c>
      <c r="T98" s="164">
        <v>0.06511424227213042</v>
      </c>
      <c r="U98" s="164">
        <v>0.07325046590338448</v>
      </c>
      <c r="V98" s="164">
        <v>0.0777297497951264</v>
      </c>
      <c r="W98" s="164">
        <v>0.08228374316680939</v>
      </c>
      <c r="X98" s="164">
        <v>0.08653398257780162</v>
      </c>
      <c r="Y98" s="164">
        <v>0.09583110642336382</v>
      </c>
      <c r="Z98" s="164">
        <v>0.07943364705780664</v>
      </c>
      <c r="AA98" s="164">
        <v>0.06117164434899163</v>
      </c>
      <c r="AB98" s="164">
        <v>0.03885041238744773</v>
      </c>
      <c r="AC98" s="164">
        <v>0.03164602035551086</v>
      </c>
    </row>
    <row r="99" spans="16:29" ht="12.75">
      <c r="P99" s="167">
        <v>2.435416552739422</v>
      </c>
      <c r="Q99" s="164" t="s">
        <v>362</v>
      </c>
      <c r="R99" s="164">
        <v>0.009965675363368464</v>
      </c>
      <c r="S99" s="164">
        <v>0.022454607048227538</v>
      </c>
      <c r="T99" s="164">
        <v>0.0237020415793127</v>
      </c>
      <c r="U99" s="164">
        <v>0.02069949342076936</v>
      </c>
      <c r="V99" s="164">
        <v>0.022437438236349628</v>
      </c>
      <c r="W99" s="164">
        <v>0.023789569984853744</v>
      </c>
      <c r="X99" s="164">
        <v>0.04201047904126219</v>
      </c>
      <c r="Y99" s="164">
        <v>0.0210010221384455</v>
      </c>
      <c r="Z99" s="164">
        <v>0.02657756183522388</v>
      </c>
      <c r="AA99" s="164">
        <v>0.035328580288477254</v>
      </c>
      <c r="AB99" s="164">
        <v>0.017825174159712</v>
      </c>
      <c r="AC99" s="164">
        <v>0.009297268974186356</v>
      </c>
    </row>
    <row r="100" spans="16:29" ht="12.75">
      <c r="P100" s="167">
        <v>0.40776138973477805</v>
      </c>
      <c r="Q100" s="164" t="s">
        <v>364</v>
      </c>
      <c r="R100" s="164">
        <v>0</v>
      </c>
      <c r="S100" s="164">
        <v>0</v>
      </c>
      <c r="T100" s="164">
        <v>0</v>
      </c>
      <c r="U100" s="164">
        <v>-0.0009389695477187243</v>
      </c>
      <c r="V100" s="164">
        <v>-0.0032454918870290107</v>
      </c>
      <c r="W100" s="164">
        <v>-0.0025680733223881844</v>
      </c>
      <c r="X100" s="164">
        <v>-0.005600712141132617</v>
      </c>
      <c r="Y100" s="164">
        <v>-0.007267937869659772</v>
      </c>
      <c r="Z100" s="164">
        <v>-0.0039392488272647</v>
      </c>
      <c r="AA100" s="164">
        <v>-0.0003727941983721793</v>
      </c>
      <c r="AB100" s="164">
        <v>1.686675863243949E-05</v>
      </c>
      <c r="AC100" s="164">
        <v>0</v>
      </c>
    </row>
    <row r="101" spans="17:29" ht="12.75">
      <c r="Q101" s="164" t="s">
        <v>365</v>
      </c>
      <c r="R101" s="164">
        <v>0</v>
      </c>
      <c r="S101" s="164">
        <v>0</v>
      </c>
      <c r="T101" s="164">
        <v>0</v>
      </c>
      <c r="U101" s="164">
        <v>-0.0007494025808675652</v>
      </c>
      <c r="V101" s="164">
        <v>-0.001527595286142827</v>
      </c>
      <c r="W101" s="164">
        <v>-0.0012569034736716377</v>
      </c>
      <c r="X101" s="164">
        <v>-0.002820930772876165</v>
      </c>
      <c r="Y101" s="164">
        <v>-0.001955093013052701</v>
      </c>
      <c r="Z101" s="164">
        <v>-0.0020190563541042867</v>
      </c>
      <c r="AA101" s="164">
        <v>-4.3928183481958715E-05</v>
      </c>
      <c r="AB101" s="164">
        <v>0</v>
      </c>
      <c r="AC101" s="164">
        <v>0</v>
      </c>
    </row>
    <row r="102" spans="16:29" ht="12.75">
      <c r="P102" s="162" t="s">
        <v>197</v>
      </c>
      <c r="Q102" s="164" t="s">
        <v>361</v>
      </c>
      <c r="R102" s="164">
        <v>0.028150936176119967</v>
      </c>
      <c r="S102" s="164">
        <v>0.039445601369528176</v>
      </c>
      <c r="T102" s="164">
        <v>0.06552386145122872</v>
      </c>
      <c r="U102" s="164">
        <v>0.06812976182018846</v>
      </c>
      <c r="V102" s="164">
        <v>0.0855635430023921</v>
      </c>
      <c r="W102" s="164">
        <v>0.08798030878731579</v>
      </c>
      <c r="X102" s="164">
        <v>0.09337016319708442</v>
      </c>
      <c r="Y102" s="164">
        <v>0.09041534733371172</v>
      </c>
      <c r="Z102" s="164">
        <v>0.07615675205070084</v>
      </c>
      <c r="AA102" s="164">
        <v>0.04638174992879421</v>
      </c>
      <c r="AB102" s="164">
        <v>0.02694632968588649</v>
      </c>
      <c r="AC102" s="164">
        <v>0.021672464990937137</v>
      </c>
    </row>
    <row r="103" spans="16:29" ht="12.75">
      <c r="P103" s="167">
        <v>2.555565484547739</v>
      </c>
      <c r="Q103" s="164" t="s">
        <v>362</v>
      </c>
      <c r="R103" s="164">
        <v>0.01446000611615639</v>
      </c>
      <c r="S103" s="164">
        <v>0.019697754252514365</v>
      </c>
      <c r="T103" s="164">
        <v>0.01881823629639468</v>
      </c>
      <c r="U103" s="164">
        <v>0.02398454197112447</v>
      </c>
      <c r="V103" s="164">
        <v>0.03665776022305697</v>
      </c>
      <c r="W103" s="164">
        <v>0.03046988886263771</v>
      </c>
      <c r="X103" s="164">
        <v>0.0388367397754856</v>
      </c>
      <c r="Y103" s="164">
        <v>0.018016614674359947</v>
      </c>
      <c r="Z103" s="164">
        <v>0.03246726996365416</v>
      </c>
      <c r="AA103" s="164">
        <v>0.026183290438953545</v>
      </c>
      <c r="AB103" s="164">
        <v>0.017088259498566787</v>
      </c>
      <c r="AC103" s="164">
        <v>0.016360222125678895</v>
      </c>
    </row>
    <row r="104" spans="16:29" ht="12.75">
      <c r="P104" s="167">
        <v>0.43349178124212845</v>
      </c>
      <c r="Q104" s="164" t="s">
        <v>364</v>
      </c>
      <c r="R104" s="164">
        <v>0</v>
      </c>
      <c r="S104" s="164">
        <v>0</v>
      </c>
      <c r="T104" s="164">
        <v>-0.0007108563723795056</v>
      </c>
      <c r="U104" s="164">
        <v>-0.0004043794454662938</v>
      </c>
      <c r="V104" s="164">
        <v>-0.00018448399284467793</v>
      </c>
      <c r="W104" s="164">
        <v>-0.0006407247202825262</v>
      </c>
      <c r="X104" s="164">
        <v>-0.0031661731880372763</v>
      </c>
      <c r="Y104" s="164">
        <v>-0.0035278298412196856</v>
      </c>
      <c r="Z104" s="164">
        <v>-0.0020850305850310573</v>
      </c>
      <c r="AA104" s="164">
        <v>9.953665559427588E-05</v>
      </c>
      <c r="AB104" s="164">
        <v>0</v>
      </c>
      <c r="AC104" s="164">
        <v>0</v>
      </c>
    </row>
    <row r="105" spans="17:29" ht="12.75">
      <c r="Q105" s="164" t="s">
        <v>365</v>
      </c>
      <c r="R105" s="164">
        <v>0</v>
      </c>
      <c r="S105" s="164">
        <v>0</v>
      </c>
      <c r="T105" s="164">
        <v>0</v>
      </c>
      <c r="U105" s="164">
        <v>-0.00021352984369324773</v>
      </c>
      <c r="V105" s="164">
        <v>-0.0004248200529270598</v>
      </c>
      <c r="W105" s="164">
        <v>-0.0006753256456836683</v>
      </c>
      <c r="X105" s="164">
        <v>-0.0005162800549164126</v>
      </c>
      <c r="Y105" s="164">
        <v>-0.0013930210896217327</v>
      </c>
      <c r="Z105" s="164">
        <v>-0.0019269238081720155</v>
      </c>
      <c r="AA105" s="164">
        <v>0</v>
      </c>
      <c r="AB105" s="164">
        <v>0</v>
      </c>
      <c r="AC105" s="164">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Solar Domestic Water Heating</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2003-01-17T19:32:48Z</dcterms:modified>
  <cp:category/>
  <cp:version/>
  <cp:contentType/>
  <cp:contentStatus/>
</cp:coreProperties>
</file>