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LTSGC" sheetId="3" r:id="rId3"/>
    <sheet name="1344SF" sheetId="4" r:id="rId4"/>
    <sheet name="2200SF" sheetId="5" r:id="rId5"/>
    <sheet name="2283SF" sheetId="6" r:id="rId6"/>
    <sheet name="UA Optimizer " sheetId="7" r:id="rId7"/>
    <sheet name="Cost-Effectiveness" sheetId="8" r:id="rId8"/>
    <sheet name="SF Measure Cost" sheetId="9" r:id="rId9"/>
    <sheet name="WALLS-ABOVE GRADE" sheetId="10" r:id="rId10"/>
    <sheet name="WALLS-BELOW GRADE" sheetId="11" r:id="rId11"/>
    <sheet name="ATTICS" sheetId="12" r:id="rId12"/>
    <sheet name="VAULTS" sheetId="13" r:id="rId13"/>
    <sheet name="FLOORS" sheetId="14" r:id="rId14"/>
    <sheet name="WINDOWS" sheetId="15" r:id="rId15"/>
    <sheet name="SLAB ON GRADE" sheetId="16" r:id="rId16"/>
    <sheet name="SGC SubMetered Use " sheetId="17" r:id="rId17"/>
    <sheet name="Lookup Table" sheetId="18" r:id="rId18"/>
  </sheet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_xlnm.Print_Area" localSheetId="3">'1344SF'!#REF!</definedName>
    <definedName name="_xlnm.Print_Area" localSheetId="4">'2200SF'!#REF!</definedName>
    <definedName name="_xlnm.Print_Area" localSheetId="11">'ATTICS'!$A$1:$H$15</definedName>
    <definedName name="_xlnm.Print_Area" localSheetId="7">'Cost-Effectiveness'!#REF!</definedName>
    <definedName name="_xlnm.Print_Area" localSheetId="13">'FLOORS'!$A$1:$H$16</definedName>
    <definedName name="_xlnm.Print_Area" localSheetId="2">'LTSGC'!#REF!</definedName>
    <definedName name="_xlnm.Print_Area" localSheetId="15">'SLAB ON GRADE'!$A$1:$H$5</definedName>
    <definedName name="_xlnm.Print_Area" localSheetId="6">'UA Optimizer '!$A$236:$E$263</definedName>
    <definedName name="_xlnm.Print_Area" localSheetId="12">'VAULTS'!$A$1:$H$14</definedName>
    <definedName name="_xlnm.Print_Area" localSheetId="9">'WALLS-ABOVE GRADE'!$A$1:$H$32</definedName>
    <definedName name="_xlnm.Print_Area" localSheetId="10">'WALLS-BELOW GRADE'!$A$1:$H$17</definedName>
    <definedName name="_xlnm.Print_Area" localSheetId="14">'WINDOWS'!$A$1:$I$18</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sharedStrings.xml><?xml version="1.0" encoding="utf-8"?>
<sst xmlns="http://schemas.openxmlformats.org/spreadsheetml/2006/main" count="1751" uniqueCount="438">
  <si>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</si>
  <si>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</si>
  <si>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</si>
  <si>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</si>
  <si>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</si>
  <si>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</si>
  <si>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</si>
  <si>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</si>
  <si>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</si>
  <si>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</si>
  <si>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</si>
  <si>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</si>
  <si>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</si>
  <si>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</si>
  <si>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</si>
  <si>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</si>
  <si>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</si>
  <si>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</si>
  <si>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</si>
  <si>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</si>
  <si>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</si>
  <si>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</si>
  <si>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</si>
  <si>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</si>
  <si>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</si>
  <si>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</si>
  <si>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</si>
  <si>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</si>
  <si>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</si>
  <si>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</si>
  <si>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</si>
  <si>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</si>
  <si>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</si>
  <si>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</si>
  <si>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</si>
  <si>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</si>
  <si>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</si>
  <si>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</si>
  <si>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</si>
  <si>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</si>
  <si>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</si>
  <si>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</si>
  <si>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</si>
  <si>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</si>
  <si>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</si>
  <si>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</si>
  <si>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</si>
  <si>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</si>
  <si>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</si>
  <si>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</si>
  <si>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</si>
  <si>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</si>
  <si>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</si>
  <si>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</si>
  <si>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</si>
  <si>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</si>
  <si>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</si>
  <si>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</si>
  <si>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</si>
  <si>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</si>
  <si>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</si>
  <si>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</si>
  <si>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</si>
  <si>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</si>
  <si>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</si>
  <si>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</si>
  <si>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</si>
  <si>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</si>
  <si>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</si>
  <si>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</si>
  <si>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</si>
  <si>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</si>
  <si>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</si>
  <si>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</si>
  <si>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</si>
  <si>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</si>
  <si>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</si>
  <si>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</si>
  <si>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</si>
  <si>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</si>
  <si>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</si>
  <si>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</si>
  <si>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</si>
  <si>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</si>
  <si>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</si>
  <si>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</si>
  <si>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</si>
  <si>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</si>
  <si>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</si>
  <si>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</si>
  <si>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</si>
  <si>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</si>
  <si>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</si>
  <si>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</si>
  <si>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</si>
  <si>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</si>
  <si>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</si>
  <si>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</si>
  <si>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</si>
  <si>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</si>
  <si>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</si>
  <si>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</si>
  <si>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</si>
  <si>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</si>
  <si>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</si>
  <si>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</si>
  <si>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</si>
  <si>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</si>
  <si>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</si>
  <si>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</si>
  <si>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</si>
  <si>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</si>
  <si>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</si>
  <si>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</si>
  <si>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</si>
  <si>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</si>
  <si>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</si>
  <si>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</si>
  <si>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</si>
  <si>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</si>
  <si>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</si>
  <si>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</si>
  <si>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</si>
  <si>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</si>
  <si>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</si>
  <si>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</si>
  <si>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</si>
  <si>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</si>
  <si>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Savings (kWh/yr.)</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</si>
  <si>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</si>
  <si>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</si>
  <si>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</si>
  <si>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</si>
  <si>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</si>
  <si>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</si>
  <si>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</si>
  <si>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</si>
  <si>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</si>
  <si>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</si>
  <si>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</si>
  <si>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</si>
  <si>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</si>
  <si>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</si>
  <si>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</si>
  <si>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</si>
  <si>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</si>
  <si>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</si>
  <si>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</si>
  <si>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</si>
  <si>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</si>
  <si>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</si>
  <si>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</si>
  <si>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</si>
  <si>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</si>
  <si>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</si>
  <si>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</si>
  <si>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</si>
  <si>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 xml:space="preserve"> </t>
  </si>
  <si>
    <t xml:space="preserve">Home Must Certified under the Long Term Super Good Cents Program &amp; Specifications </t>
  </si>
  <si>
    <t>Single Family Dwellings w/Electric Heat</t>
  </si>
  <si>
    <t>Heating Zone 3</t>
  </si>
  <si>
    <t>Deemed</t>
  </si>
  <si>
    <t>Increased comfort, reduced noise</t>
  </si>
  <si>
    <t>Reduced environmental impacts from electricity generation</t>
  </si>
  <si>
    <t>Savings assume that program is operated in accordance with existing Bonneville Power Administration Long Term Super Good Cents program specifications, including home qualification and quality assurance process.</t>
  </si>
  <si>
    <t>Heating Zone 2</t>
  </si>
  <si>
    <t>Heating Zone 1</t>
  </si>
  <si>
    <t>Savings assume that window is Energy Star certified. Base case window is assumed to be Class 50 vinyl or wood frame. Cost and savings are per square foot of window area based on outside dimensions of window frame.</t>
  </si>
  <si>
    <t>Average House</t>
  </si>
  <si>
    <t>Savings (kwh/yr)</t>
  </si>
  <si>
    <t>Phys Life (yrs)</t>
  </si>
  <si>
    <t>Non-E Val ($/yr)</t>
  </si>
  <si>
    <t>Single Family Site Built Long Term SGC - Heating Zone 1</t>
  </si>
  <si>
    <t>LTSGC - Heating Zone 1</t>
  </si>
  <si>
    <t>ResSHNEW</t>
  </si>
  <si>
    <t>Single Family Site Built Long Term SGC - Heating Zone 2</t>
  </si>
  <si>
    <t>LTSGC - Heating Zone 2</t>
  </si>
  <si>
    <t>Single Family Site Built Long Term SGC - Heating Zone 3</t>
  </si>
  <si>
    <t>LTSGC - Heating Zone 3</t>
  </si>
  <si>
    <t>WINDOW CL35</t>
  </si>
  <si>
    <t>FLOOR R25 STD</t>
  </si>
  <si>
    <t>FLOOR R30 STD</t>
  </si>
  <si>
    <t>WINDOW CL25</t>
  </si>
  <si>
    <t>VAULT R38 SCI</t>
  </si>
  <si>
    <t>ATTIC R49 ADVrh</t>
  </si>
  <si>
    <t>VAULT 10" SS Panel</t>
  </si>
  <si>
    <t>ATTIC R60 ADVrh</t>
  </si>
  <si>
    <t>WINDOW CL20</t>
  </si>
  <si>
    <t>WALL 8" SSPANEL</t>
  </si>
  <si>
    <t>WALL R33DBL</t>
  </si>
  <si>
    <t>Life (yrs)</t>
  </si>
  <si>
    <t>Capital Cost</t>
  </si>
  <si>
    <t>Annual O&amp;M</t>
  </si>
  <si>
    <t>Life (yr.)</t>
  </si>
  <si>
    <t>BGWALL R22 FOAM BLOCK</t>
  </si>
  <si>
    <t>SLAB R10-4FT</t>
  </si>
  <si>
    <t>BGWALL R21</t>
  </si>
  <si>
    <t>1344 sq. ft Prototype Use</t>
  </si>
  <si>
    <t>2200 sq. ft Prototype Use</t>
  </si>
  <si>
    <t>2383 sq. ft Prototype Use</t>
  </si>
  <si>
    <t>Portland</t>
  </si>
  <si>
    <t>Seattle</t>
  </si>
  <si>
    <t>Spokane</t>
  </si>
  <si>
    <t>Missoula</t>
  </si>
  <si>
    <t>UA</t>
  </si>
  <si>
    <t>Region</t>
  </si>
  <si>
    <t>Prototype</t>
  </si>
  <si>
    <t>Uo</t>
  </si>
  <si>
    <t>$/Delta UA</t>
  </si>
  <si>
    <t>Delta UA</t>
  </si>
  <si>
    <t>Delta Cost</t>
  </si>
  <si>
    <t>ATTIC R30 STD</t>
  </si>
  <si>
    <t>ATTIC R38 STD</t>
  </si>
  <si>
    <t>VAULT R30 SCI</t>
  </si>
  <si>
    <t>FLOOR R19 STD</t>
  </si>
  <si>
    <t>WINDOW CL65</t>
  </si>
  <si>
    <t>WINDOW CL50</t>
  </si>
  <si>
    <t>WINDOW CL40</t>
  </si>
  <si>
    <t>DOOR R2.5</t>
  </si>
  <si>
    <t>DOOR R5</t>
  </si>
  <si>
    <t>SLAB R5-2FT</t>
  </si>
  <si>
    <t>SLAB R10-2FT</t>
  </si>
  <si>
    <t>BGWALL R11</t>
  </si>
  <si>
    <t>BGWALL R19</t>
  </si>
  <si>
    <t>INFILTRATION @ 0.35 ACH</t>
  </si>
  <si>
    <t>1344 sq. ft</t>
  </si>
  <si>
    <t>2200 sq. ft</t>
  </si>
  <si>
    <t>2283 sq. ft</t>
  </si>
  <si>
    <t>1983 Baseline UA and Use</t>
  </si>
  <si>
    <t>Installed Cost</t>
  </si>
  <si>
    <t>Cumulative Cost</t>
  </si>
  <si>
    <t>Use</t>
  </si>
  <si>
    <t>Base</t>
  </si>
  <si>
    <t>WINDOW CL75</t>
  </si>
  <si>
    <t>Total UA</t>
  </si>
  <si>
    <t xml:space="preserve">Mean Use  (kWh/yr.) </t>
  </si>
  <si>
    <t>Mean Use (kWh/sq. ft/yr.)</t>
  </si>
  <si>
    <t>1986 Baseline UA and Use</t>
  </si>
  <si>
    <t>WINDOW CL70</t>
  </si>
  <si>
    <t>1989 Baseline UA &amp; Use</t>
  </si>
  <si>
    <t>Incremental Cost</t>
  </si>
  <si>
    <t>Zone 2</t>
  </si>
  <si>
    <t>Zone 3</t>
  </si>
  <si>
    <t>Zone 1</t>
  </si>
  <si>
    <t>New Single Family Housing</t>
  </si>
  <si>
    <t xml:space="preserve"> Vintage</t>
  </si>
  <si>
    <t>Annual Use (kWh)</t>
  </si>
  <si>
    <t>Annual Use (kWh/SF/yr.)</t>
  </si>
  <si>
    <t>% of '83 Use</t>
  </si>
  <si>
    <t>Incremental Savings/Unit</t>
  </si>
  <si>
    <t>Cumulative Savings/Unit</t>
  </si>
  <si>
    <t>Zone 1 MCS</t>
  </si>
  <si>
    <t>Zone 2 MCS</t>
  </si>
  <si>
    <t>Zone 3 MCS</t>
  </si>
  <si>
    <t>Prototype Weight</t>
  </si>
  <si>
    <t>Prototype Size (sq.ft.)</t>
  </si>
  <si>
    <t xml:space="preserve">1983 Baseline UA </t>
  </si>
  <si>
    <t>1980/1992 Average Practice UA</t>
  </si>
  <si>
    <t>Zonal</t>
  </si>
  <si>
    <t>kwh/sf/yr</t>
  </si>
  <si>
    <t>1980/1992 Practice Use</t>
  </si>
  <si>
    <t>First Cost by Climate Zone</t>
  </si>
  <si>
    <t>Location Climate Data</t>
  </si>
  <si>
    <t xml:space="preserve">Spokane </t>
  </si>
  <si>
    <t>Incremental Cost @ CE UA</t>
  </si>
  <si>
    <t>Super Good Cents Annual Electricity Use Based on Submetering</t>
  </si>
  <si>
    <t xml:space="preserve">Heating System Type </t>
  </si>
  <si>
    <t>Climate Zone</t>
  </si>
  <si>
    <t>Characteristic</t>
  </si>
  <si>
    <t>Forced-Air Furnace</t>
  </si>
  <si>
    <t>Heat Pump</t>
  </si>
  <si>
    <t>All</t>
  </si>
  <si>
    <t>Number of Homes</t>
  </si>
  <si>
    <t>Percent</t>
  </si>
  <si>
    <t>Average Size (sq.ft.)</t>
  </si>
  <si>
    <t>Average UA (Btu/F)</t>
  </si>
  <si>
    <t>Ratio of HP UA/sf to Zonal UA/SF</t>
  </si>
  <si>
    <t>Average UA/sq.ft. (Btu/F)</t>
  </si>
  <si>
    <t>Average Total Use (kWh/yr)</t>
  </si>
  <si>
    <t>Average Total Use (kWh/sq.ft./yr)</t>
  </si>
  <si>
    <t>Average Heating Use (kWh/yr)</t>
  </si>
  <si>
    <t>Average Heating Use (kWh/sq.ft./yr)</t>
  </si>
  <si>
    <t>Source: Bonneville's Super Good Cents Sub-Metering Project Data Set Through December 1990.</t>
  </si>
  <si>
    <t>1344SF</t>
  </si>
  <si>
    <t>2200SF</t>
  </si>
  <si>
    <t>2283SF</t>
  </si>
  <si>
    <t xml:space="preserve">UA Optimizer </t>
  </si>
  <si>
    <t>LTSGC</t>
  </si>
  <si>
    <t xml:space="preserve">Home must be certified under the Long Term Super Good Cents Program &amp; Specifications </t>
  </si>
  <si>
    <t>The Northwest Energy Efficiency Alliance has sponsored a market transformation program to increase the use of Energy Star windows (Class 35 &amp; below). In some areas of the region the use of class 35 windows (required to meet the Long Term SGC specifications and both the site built and manufactured home weatherization program specifications exceeds 50%.</t>
  </si>
  <si>
    <t>Component Areas (sq.ft.)</t>
  </si>
  <si>
    <t>UA/SF</t>
  </si>
  <si>
    <t>Single Family New Construction Measure Cost - 1995$ to 2000$ adjustment =</t>
  </si>
  <si>
    <t>Source: Residential Energy Conservation Evaluation "Cost Effectiveness of Energy Conservation Measures in the New Residential Construction in Washington State</t>
  </si>
  <si>
    <t>ECM Category</t>
  </si>
  <si>
    <t>Conservation Measure</t>
  </si>
  <si>
    <t>Measure Life (Years)</t>
  </si>
  <si>
    <t>Builder Markup</t>
  </si>
  <si>
    <t>2000$/ Delta UA</t>
  </si>
  <si>
    <t>WALL</t>
  </si>
  <si>
    <t>ATTIC</t>
  </si>
  <si>
    <t>FLOOR</t>
  </si>
  <si>
    <t>WINDOW</t>
  </si>
  <si>
    <t>DOOR</t>
  </si>
  <si>
    <t>SLAB</t>
  </si>
  <si>
    <t>BSMT WALL</t>
  </si>
  <si>
    <t xml:space="preserve">BELOW GRADE WALL OPTIMIZATION </t>
  </si>
  <si>
    <t>INTERIOR INSULATION</t>
  </si>
  <si>
    <t>Total Hard Cost</t>
  </si>
  <si>
    <t>Actual R-Value</t>
  </si>
  <si>
    <t>Incremental Hard Cost</t>
  </si>
  <si>
    <t>Cumulative Hard Cost</t>
  </si>
  <si>
    <t>Incremental Delta UA</t>
  </si>
  <si>
    <t>BGWALL R0 INTR</t>
  </si>
  <si>
    <t>SUM</t>
  </si>
  <si>
    <t>EXTERIOR INSULATION</t>
  </si>
  <si>
    <t>BGWALL R10 EXT FOAM</t>
  </si>
  <si>
    <t>BGWALL R15EXT FOAM</t>
  </si>
  <si>
    <t>WALL OPTIMIZATION WITH ALTERNATIVE FRAMING TECHNIQUES</t>
  </si>
  <si>
    <t>Standard Framing</t>
  </si>
  <si>
    <t>WALL R21 STD</t>
  </si>
  <si>
    <t>Intermediate Framing</t>
  </si>
  <si>
    <t>Advanced Framing</t>
  </si>
  <si>
    <t>WALL R19 ADV</t>
  </si>
  <si>
    <t>ATTIC OPTIMIZATION WITH ALTERNATIVE FRAMING TECHNIQUES</t>
  </si>
  <si>
    <t>ADVANCED FRAMING WITH OVERSIZED TRUSS</t>
  </si>
  <si>
    <t>ATTIC R49 ADVo</t>
  </si>
  <si>
    <t>ADVANCED FRAMING WITH RAISED HEAL TRUSS</t>
  </si>
  <si>
    <t>VAULT OPTIMIZATION WITH ALTERNATIVE FRAMING TECHNIQUES</t>
  </si>
  <si>
    <t>ADVANCED FRAMING WITH SCISSOR TRUSSES AND BLOWN INSULATION</t>
  </si>
  <si>
    <t>FRAMING WITH RAFTERS AND HIGH DENSITY BATTS</t>
  </si>
  <si>
    <t>VAULT R30 HD</t>
  </si>
  <si>
    <t>VAULT R38 HD</t>
  </si>
  <si>
    <t>FLOOR OPTIMIZATION WITH ALTERNATIVE FRAMING TECHNIQUES</t>
  </si>
  <si>
    <t>FRAMING WITH FLOOR JOISTS</t>
  </si>
  <si>
    <t>FRAMING WITH TRUSSES</t>
  </si>
  <si>
    <t>WINDOW OPTIMIZATION</t>
  </si>
  <si>
    <t>NFRC 101-92 U @ 15 mph</t>
  </si>
  <si>
    <t>U @ 7.5 mph</t>
  </si>
  <si>
    <t>WINDOW CL30</t>
  </si>
  <si>
    <t>WINDOW OPTIMIZATION WITHOUT CLASS 40</t>
  </si>
  <si>
    <t>SLAB ON GRADE OPTIMIZATION</t>
  </si>
  <si>
    <t>Total Hard Cost $/Lft</t>
  </si>
  <si>
    <t>F-value</t>
  </si>
  <si>
    <t>Incremental Cost  $/Lft</t>
  </si>
  <si>
    <t>Cumulative Cost $/Lft</t>
  </si>
  <si>
    <t>WALL R11 STD</t>
  </si>
  <si>
    <t>WALL R13 STD</t>
  </si>
  <si>
    <t>WALL R19 STD</t>
  </si>
  <si>
    <t>WALL R21 STD+R5</t>
  </si>
  <si>
    <t>WALL R33 DBL</t>
  </si>
  <si>
    <t>WALL R19 INT</t>
  </si>
  <si>
    <t>WALL R21 INT</t>
  </si>
  <si>
    <t>WALL R21 ADV</t>
  </si>
  <si>
    <t>WALL R21 ADV+R5</t>
  </si>
  <si>
    <t>VAULT-TRUSSED</t>
  </si>
  <si>
    <t>VAULT-JOISTED</t>
  </si>
  <si>
    <t>FLOOR R38 STD w/12"Truss</t>
  </si>
  <si>
    <t>FLOOR R38 HD w/10"Truss</t>
  </si>
  <si>
    <t>Heat Loss Rate of Component (UA)</t>
  </si>
  <si>
    <t>Change in Heat Loss Rate (UA)</t>
  </si>
  <si>
    <t>Total Incremental Cost (2000$)</t>
  </si>
  <si>
    <t>Incremental Cost (2000$/sq/ft)</t>
  </si>
  <si>
    <t>Incremental Hard Cost 1995$</t>
  </si>
  <si>
    <t>Incremental Installed Cost 1995$</t>
  </si>
  <si>
    <t>Incremental Hard Cost 2000$</t>
  </si>
  <si>
    <t>Incremental Installed Cost 2000$</t>
  </si>
  <si>
    <t>= 2000 Baseline/Code</t>
  </si>
  <si>
    <t xml:space="preserve">VAULT R19 STD </t>
  </si>
  <si>
    <t>VAULT R19 SCI</t>
  </si>
  <si>
    <t xml:space="preserve">VAULT R30 STD </t>
  </si>
  <si>
    <t>Heating_Zone_1</t>
  </si>
  <si>
    <t>Heating_Zone_2</t>
  </si>
  <si>
    <t>Heating_Zone_3</t>
  </si>
  <si>
    <t>Size</t>
  </si>
  <si>
    <t>Zone</t>
  </si>
  <si>
    <t>Use (kWh/yr)</t>
  </si>
  <si>
    <t>Cost-Effective UA and Use in 2025</t>
  </si>
  <si>
    <t>SF Measure Cost</t>
  </si>
  <si>
    <t>WALLS-ABOVE GRADE</t>
  </si>
  <si>
    <t>WALLS-BELOW GRADE</t>
  </si>
  <si>
    <t>2002 Baseline UA &amp; Use</t>
  </si>
  <si>
    <t xml:space="preserve">2002 Baseline UA </t>
  </si>
  <si>
    <t>2002 Baseline Use (kWh/yr.)</t>
  </si>
  <si>
    <t>Select Climate Zone to Run</t>
  </si>
  <si>
    <t>Enter Prototype Weights</t>
  </si>
  <si>
    <t>1980/1992 Average Practice (kWh/yr)</t>
  </si>
  <si>
    <t>1980/1992 Average Practice (kWh/yr/sf)</t>
  </si>
  <si>
    <t>2002 Baseline Use (kWh/yr/sf)</t>
  </si>
  <si>
    <t>All Cost Effective Use (kWh/yr.)</t>
  </si>
  <si>
    <t>All Cost Effective Use (kWh/sf/yr.)</t>
  </si>
  <si>
    <t xml:space="preserve">All Cost Effective UA </t>
  </si>
  <si>
    <t>This section calculates the minimum UA that is Cost Effective</t>
  </si>
  <si>
    <t>kWh/yr</t>
  </si>
  <si>
    <t>All Cost Effective</t>
  </si>
  <si>
    <t>Climate Zone/Location</t>
  </si>
  <si>
    <t>Summary Table for Weighted Average House Size Annual Use</t>
  </si>
  <si>
    <t>Summary Table for Weighted Average House Size Annual Savings</t>
  </si>
  <si>
    <t>Heating Zone Weight Data</t>
  </si>
  <si>
    <t>Selected Climate Weights =&gt;</t>
  </si>
  <si>
    <t>Incremental Cost @ Cost Effective UA</t>
  </si>
  <si>
    <t>RESULTS FOR CLIMATE SELECTED</t>
  </si>
  <si>
    <t>PNW Region</t>
  </si>
  <si>
    <t>SLAB R10-FULL</t>
  </si>
  <si>
    <t>2002 Base Case Measure &amp; UA</t>
  </si>
  <si>
    <t>2002 All Cost Effective</t>
  </si>
  <si>
    <t>Cost-Effective UA and Use in 2025 w/ Base Case CL 50 Windows</t>
  </si>
  <si>
    <t>Zone =&gt;</t>
  </si>
  <si>
    <t>Single Family Site Built Long Term SGC - Regional Average</t>
  </si>
  <si>
    <t>R:\TE\New Plan\Residential Resource Assessment\MC_AND_LOADSHAPE.XLS</t>
  </si>
  <si>
    <t>This section calculates the Cumulative Incremental Cost at the Cost Effective UA</t>
  </si>
  <si>
    <t>Selected Case</t>
  </si>
  <si>
    <t>2002 Baseline Use</t>
  </si>
  <si>
    <t>5th Plan Draft 092802</t>
  </si>
  <si>
    <t>1980/92 Practice&gt;02 Base</t>
  </si>
  <si>
    <t>1980/92 &gt;All Cost Effective</t>
  </si>
  <si>
    <t>2002 Base &gt; All Cost Effective</t>
  </si>
  <si>
    <t>2002 Base to All CE First Cost</t>
  </si>
  <si>
    <t>Use/SF</t>
  </si>
  <si>
    <t>This Section Contains the Space Heating  Load Curves for the Single Family Prototypes</t>
  </si>
  <si>
    <t>Boise</t>
  </si>
  <si>
    <t>Cost-Effectiveness</t>
  </si>
  <si>
    <t>Bldg. Size</t>
  </si>
  <si>
    <t>AC Load/SF</t>
  </si>
  <si>
    <t>Tota AC Load</t>
  </si>
  <si>
    <t>BOISE</t>
  </si>
  <si>
    <t>MISSOULA</t>
  </si>
  <si>
    <t>PORTLAND</t>
  </si>
  <si>
    <t>SEATTLE</t>
  </si>
  <si>
    <t>SPOKANE</t>
  </si>
  <si>
    <t xml:space="preserve">UA </t>
  </si>
  <si>
    <t>New Single Family Construction Air Conditioning Load Curves Post79 - 1992 Construction</t>
  </si>
  <si>
    <t>New Single Family Construction Air Conditioning Load Curves All Cost-Effective Measures Construction</t>
  </si>
  <si>
    <t>New Single Family Construction Air Conditioning Load Curves 2002 Construction</t>
  </si>
  <si>
    <t>Weighted Average</t>
  </si>
  <si>
    <t>Single Family Site Built Long Term SGC - PNW Average Climate</t>
  </si>
  <si>
    <t>ProCost Results, Version 1.70a: JPH 03/07/01, 10:56 PM 1/13/2003</t>
  </si>
  <si>
    <t>PNW Average Climate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</si>
</sst>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0_)"/>
    <numFmt numFmtId="179" formatCode="_(&quot;$&quot;* #,##0.0_);_(&quot;$&quot;* \(#,##0.0\);_(&quot;$&quot;* &quot;-&quot;??_);_(@_)"/>
    <numFmt numFmtId="180" formatCode="_(* #,##0.0_);_(* \(#,##0.0\);_(* &quot;-&quot;??_);_(@_)"/>
    <numFmt numFmtId="181" formatCode="#,##0.0"/>
    <numFmt numFmtId="182" formatCode="0.00000000"/>
    <numFmt numFmtId="183" formatCode="0.0000000"/>
    <numFmt numFmtId="184" formatCode="0.000000"/>
    <numFmt numFmtId="185" formatCode="0.00000"/>
    <numFmt numFmtId="186" formatCode="0.0000"/>
    <numFmt numFmtId="187" formatCode="0.0000000000"/>
    <numFmt numFmtId="188" formatCode="0.00000000000"/>
    <numFmt numFmtId="189" formatCode="0.000000000"/>
  </numFmts>
  <fonts count="32">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0"/>
      <color indexed="8"/>
      <name val="MS Sans Serif"/>
      <family val="0"/>
    </font>
    <font>
      <b/>
      <sz val="10"/>
      <color indexed="36"/>
      <name val="Arial"/>
      <family val="2"/>
    </font>
    <font>
      <sz val="10"/>
      <color indexed="17"/>
      <name val="Arial"/>
      <family val="2"/>
    </font>
    <font>
      <sz val="12"/>
      <name val="MS Sans Serif"/>
      <family val="0"/>
    </font>
    <font>
      <b/>
      <sz val="12"/>
      <name val="MS Sans Serif"/>
      <family val="2"/>
    </font>
    <font>
      <b/>
      <sz val="10"/>
      <name val="MS Sans Serif"/>
      <family val="2"/>
    </font>
    <font>
      <sz val="10"/>
      <name val="MS Sans Serif"/>
      <family val="2"/>
    </font>
    <font>
      <b/>
      <sz val="12"/>
      <name val="Arial"/>
      <family val="2"/>
    </font>
  </fonts>
  <fills count="2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14"/>
        <bgColor indexed="64"/>
      </patternFill>
    </fill>
    <fill>
      <patternFill patternType="solid">
        <fgColor indexed="35"/>
        <bgColor indexed="64"/>
      </patternFill>
    </fill>
    <fill>
      <patternFill patternType="solid">
        <fgColor indexed="11"/>
        <bgColor indexed="64"/>
      </patternFill>
    </fill>
  </fills>
  <borders count="61">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medium"/>
      <right style="thin"/>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thin"/>
      <top>
        <color indexed="63"/>
      </top>
      <bottom style="thin"/>
    </border>
    <border>
      <left style="thin"/>
      <right style="medium"/>
      <top style="thin"/>
      <bottom style="thin"/>
    </border>
    <border>
      <left style="medium"/>
      <right style="thin"/>
      <top style="thin"/>
      <bottom>
        <color indexed="63"/>
      </bottom>
    </border>
    <border>
      <left style="medium"/>
      <right style="medium"/>
      <top>
        <color indexed="63"/>
      </top>
      <bottom style="mediu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thin"/>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protection/>
    </xf>
    <xf numFmtId="0" fontId="24" fillId="0" borderId="0" applyNumberFormat="0" applyFont="0" applyFill="0" applyBorder="0" applyAlignment="0" applyProtection="0"/>
    <xf numFmtId="0" fontId="0" fillId="0" borderId="0">
      <alignment/>
      <protection/>
    </xf>
    <xf numFmtId="9" fontId="0" fillId="0" borderId="0" applyFont="0" applyFill="0" applyBorder="0" applyAlignment="0" applyProtection="0"/>
  </cellStyleXfs>
  <cellXfs count="566">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7" fillId="0" borderId="0" xfId="0" applyFont="1" applyAlignment="1">
      <alignment/>
    </xf>
    <xf numFmtId="0" fontId="14" fillId="8" borderId="12" xfId="0" applyFont="1" applyFill="1" applyBorder="1" applyAlignment="1">
      <alignment horizontal="left" wrapText="1"/>
    </xf>
    <xf numFmtId="0" fontId="0" fillId="3" borderId="3" xfId="20" applyFont="1" applyBorder="1" applyAlignment="1">
      <alignment/>
      <protection/>
    </xf>
    <xf numFmtId="0" fontId="0" fillId="3" borderId="3" xfId="20" applyFont="1" applyBorder="1" applyAlignment="1">
      <alignment horizontal="left"/>
      <protection/>
    </xf>
    <xf numFmtId="0" fontId="18" fillId="11" borderId="18" xfId="0" applyFont="1" applyFill="1" applyBorder="1" applyAlignment="1">
      <alignment horizontal="center" wrapText="1"/>
    </xf>
    <xf numFmtId="0" fontId="20" fillId="0" borderId="3" xfId="0" applyFont="1" applyBorder="1" applyAlignment="1">
      <alignment wrapText="1"/>
    </xf>
    <xf numFmtId="0" fontId="19" fillId="11" borderId="19" xfId="0" applyFont="1" applyFill="1" applyBorder="1" applyAlignment="1">
      <alignment horizontal="left" wrapText="1"/>
    </xf>
    <xf numFmtId="0" fontId="19" fillId="11" borderId="20" xfId="0" applyFont="1" applyFill="1" applyBorder="1" applyAlignment="1">
      <alignment horizontal="left" wrapText="1"/>
    </xf>
    <xf numFmtId="0" fontId="19" fillId="11" borderId="14" xfId="0" applyFont="1" applyFill="1" applyBorder="1" applyAlignment="1">
      <alignment horizontal="left" wrapText="1"/>
    </xf>
    <xf numFmtId="175" fontId="19" fillId="0" borderId="3" xfId="0" applyNumberFormat="1" applyFont="1" applyBorder="1" applyAlignment="1">
      <alignment horizontal="left" vertical="top" wrapText="1"/>
    </xf>
    <xf numFmtId="175" fontId="20" fillId="0" borderId="3" xfId="0" applyNumberFormat="1" applyFont="1" applyBorder="1" applyAlignment="1">
      <alignment horizontal="left" vertical="top" wrapText="1"/>
    </xf>
    <xf numFmtId="168" fontId="20" fillId="0" borderId="3" xfId="17" applyNumberFormat="1" applyFont="1" applyBorder="1" applyAlignment="1">
      <alignment horizontal="center" vertical="top" wrapText="1"/>
    </xf>
    <xf numFmtId="1" fontId="20" fillId="0" borderId="3" xfId="0" applyNumberFormat="1" applyFont="1" applyBorder="1" applyAlignment="1">
      <alignment horizontal="center" vertical="top" wrapText="1"/>
    </xf>
    <xf numFmtId="169" fontId="20" fillId="0" borderId="3" xfId="15" applyNumberFormat="1" applyFont="1" applyBorder="1" applyAlignment="1">
      <alignment horizontal="center" vertical="top" wrapText="1"/>
    </xf>
    <xf numFmtId="2" fontId="20" fillId="0" borderId="3" xfId="0" applyNumberFormat="1" applyFont="1" applyBorder="1" applyAlignment="1">
      <alignment horizontal="center" vertical="top" wrapText="1"/>
    </xf>
    <xf numFmtId="165" fontId="20" fillId="0" borderId="3" xfId="0" applyNumberFormat="1" applyFont="1" applyBorder="1" applyAlignment="1">
      <alignment horizontal="center" vertical="top" wrapText="1"/>
    </xf>
    <xf numFmtId="44" fontId="20" fillId="0" borderId="3" xfId="17" applyNumberFormat="1" applyFont="1" applyBorder="1" applyAlignment="1">
      <alignment horizontal="left" vertical="top" wrapText="1"/>
    </xf>
    <xf numFmtId="44" fontId="20" fillId="0" borderId="3" xfId="17" applyFont="1" applyBorder="1" applyAlignment="1">
      <alignment horizontal="left" vertical="top" wrapText="1"/>
    </xf>
    <xf numFmtId="0" fontId="20" fillId="0" borderId="3" xfId="0" applyFont="1" applyBorder="1" applyAlignment="1">
      <alignment horizontal="left" vertical="top" wrapText="1"/>
    </xf>
    <xf numFmtId="44" fontId="0" fillId="0" borderId="0" xfId="0" applyNumberFormat="1" applyAlignment="1">
      <alignment/>
    </xf>
    <xf numFmtId="0" fontId="0" fillId="0" borderId="0" xfId="0" applyFont="1" applyAlignment="1">
      <alignment wrapText="1"/>
    </xf>
    <xf numFmtId="177" fontId="0" fillId="0" borderId="0" xfId="29" applyNumberFormat="1" applyFont="1" applyAlignment="1" applyProtection="1">
      <alignment horizontal="left"/>
      <protection/>
    </xf>
    <xf numFmtId="169" fontId="0" fillId="0" borderId="0" xfId="15" applyNumberFormat="1" applyAlignment="1" applyProtection="1">
      <alignment horizontal="right"/>
      <protection/>
    </xf>
    <xf numFmtId="177" fontId="0" fillId="0" borderId="0" xfId="29" applyNumberFormat="1" applyAlignment="1" applyProtection="1">
      <alignment horizontal="right"/>
      <protection/>
    </xf>
    <xf numFmtId="168" fontId="0" fillId="0" borderId="0" xfId="17" applyNumberFormat="1" applyAlignment="1" applyProtection="1">
      <alignment horizontal="right"/>
      <protection/>
    </xf>
    <xf numFmtId="165" fontId="11" fillId="0" borderId="0" xfId="0" applyNumberFormat="1" applyFont="1" applyAlignment="1">
      <alignment/>
    </xf>
    <xf numFmtId="165" fontId="0" fillId="0" borderId="0" xfId="0" applyNumberFormat="1" applyFont="1" applyAlignment="1">
      <alignment horizontal="right"/>
    </xf>
    <xf numFmtId="177" fontId="0" fillId="0" borderId="0" xfId="29" applyNumberFormat="1" applyAlignment="1" applyProtection="1">
      <alignment horizontal="left"/>
      <protection/>
    </xf>
    <xf numFmtId="1" fontId="0" fillId="0" borderId="0" xfId="29" applyNumberFormat="1" applyAlignment="1" applyProtection="1">
      <alignment horizontal="right"/>
      <protection/>
    </xf>
    <xf numFmtId="5" fontId="0" fillId="0" borderId="0" xfId="0" applyNumberFormat="1" applyAlignment="1">
      <alignment/>
    </xf>
    <xf numFmtId="0" fontId="6" fillId="4" borderId="1" xfId="0" applyFont="1" applyFill="1" applyBorder="1" applyAlignment="1">
      <alignment horizontal="centerContinuous"/>
    </xf>
    <xf numFmtId="0" fontId="13" fillId="4" borderId="1" xfId="0" applyFont="1" applyFill="1" applyBorder="1" applyAlignment="1">
      <alignment horizontal="centerContinuous"/>
    </xf>
    <xf numFmtId="0" fontId="13" fillId="4" borderId="4" xfId="0" applyFont="1" applyFill="1" applyBorder="1" applyAlignment="1">
      <alignment horizontal="centerContinuous"/>
    </xf>
    <xf numFmtId="168" fontId="0" fillId="0" borderId="0" xfId="17" applyNumberFormat="1" applyAlignment="1" applyProtection="1">
      <alignment horizontal="left"/>
      <protection/>
    </xf>
    <xf numFmtId="0" fontId="0" fillId="0" borderId="0" xfId="26" applyFont="1">
      <alignment/>
      <protection/>
    </xf>
    <xf numFmtId="0" fontId="17" fillId="0" borderId="0" xfId="0" applyFont="1" applyAlignment="1">
      <alignment/>
    </xf>
    <xf numFmtId="1" fontId="0" fillId="0" borderId="0" xfId="0" applyNumberFormat="1" applyFont="1" applyAlignment="1">
      <alignment/>
    </xf>
    <xf numFmtId="166" fontId="0" fillId="0" borderId="0" xfId="26" applyNumberFormat="1" applyFont="1">
      <alignment/>
      <protection/>
    </xf>
    <xf numFmtId="2" fontId="0" fillId="0" borderId="0" xfId="26" applyNumberFormat="1" applyFont="1">
      <alignment/>
      <protection/>
    </xf>
    <xf numFmtId="168" fontId="0" fillId="0" borderId="0" xfId="17" applyNumberFormat="1" applyFont="1" applyAlignment="1">
      <alignment/>
    </xf>
    <xf numFmtId="1" fontId="0" fillId="0" borderId="0" xfId="26" applyNumberFormat="1" applyFont="1">
      <alignment/>
      <protection/>
    </xf>
    <xf numFmtId="0" fontId="25" fillId="0" borderId="0" xfId="24" applyFont="1" applyAlignment="1">
      <alignment horizontal="center"/>
      <protection/>
    </xf>
    <xf numFmtId="0" fontId="0" fillId="0" borderId="0" xfId="26" applyFont="1" applyAlignment="1" quotePrefix="1">
      <alignment horizontal="left"/>
      <protection/>
    </xf>
    <xf numFmtId="0" fontId="25" fillId="0" borderId="0" xfId="24" applyFont="1" applyAlignment="1" quotePrefix="1">
      <alignment horizontal="center"/>
      <protection/>
    </xf>
    <xf numFmtId="0" fontId="0" fillId="0" borderId="0" xfId="26" applyFont="1" applyAlignment="1" applyProtection="1" quotePrefix="1">
      <alignment horizontal="left"/>
      <protection/>
    </xf>
    <xf numFmtId="177" fontId="26" fillId="0" borderId="0" xfId="26" applyNumberFormat="1" applyFont="1" applyAlignment="1" applyProtection="1">
      <alignment horizontal="center"/>
      <protection/>
    </xf>
    <xf numFmtId="2" fontId="0" fillId="0" borderId="0" xfId="17" applyNumberFormat="1" applyFont="1" applyAlignment="1">
      <alignment/>
    </xf>
    <xf numFmtId="165" fontId="0" fillId="0" borderId="0" xfId="17" applyNumberFormat="1" applyFont="1" applyBorder="1" applyAlignment="1">
      <alignment/>
    </xf>
    <xf numFmtId="0" fontId="26" fillId="0" borderId="0" xfId="26" applyFont="1" applyAlignment="1">
      <alignment horizontal="center"/>
      <protection/>
    </xf>
    <xf numFmtId="0" fontId="17" fillId="0" borderId="0" xfId="26" applyFont="1">
      <alignment/>
      <protection/>
    </xf>
    <xf numFmtId="9" fontId="17" fillId="0" borderId="0" xfId="26" applyNumberFormat="1" applyFont="1">
      <alignment/>
      <protection/>
    </xf>
    <xf numFmtId="165" fontId="0" fillId="0" borderId="0" xfId="26" applyNumberFormat="1" applyFont="1">
      <alignment/>
      <protection/>
    </xf>
    <xf numFmtId="1" fontId="17" fillId="0" borderId="0" xfId="26" applyNumberFormat="1" applyFont="1">
      <alignment/>
      <protection/>
    </xf>
    <xf numFmtId="0" fontId="17" fillId="0" borderId="0" xfId="26" applyFont="1" applyAlignment="1">
      <alignment horizontal="left"/>
      <protection/>
    </xf>
    <xf numFmtId="165" fontId="17" fillId="0" borderId="0" xfId="26" applyNumberFormat="1" applyFont="1">
      <alignment/>
      <protection/>
    </xf>
    <xf numFmtId="0" fontId="17" fillId="0" borderId="0" xfId="26" applyFont="1" applyAlignment="1" quotePrefix="1">
      <alignment horizontal="left"/>
      <protection/>
    </xf>
    <xf numFmtId="168" fontId="0" fillId="0" borderId="0" xfId="26" applyNumberFormat="1" applyFont="1">
      <alignment/>
      <protection/>
    </xf>
    <xf numFmtId="0" fontId="0" fillId="0" borderId="0" xfId="23" applyFont="1" applyAlignment="1" applyProtection="1" quotePrefix="1">
      <alignment horizontal="left"/>
      <protection/>
    </xf>
    <xf numFmtId="0" fontId="17" fillId="0" borderId="0" xfId="0" applyFont="1" applyAlignment="1" quotePrefix="1">
      <alignment horizontal="left"/>
    </xf>
    <xf numFmtId="1" fontId="0" fillId="0" borderId="0" xfId="0" applyNumberFormat="1" applyFont="1" applyAlignment="1" quotePrefix="1">
      <alignment horizontal="left"/>
    </xf>
    <xf numFmtId="9" fontId="0" fillId="0" borderId="0" xfId="30" applyFont="1" applyAlignment="1">
      <alignment/>
    </xf>
    <xf numFmtId="1" fontId="17" fillId="0" borderId="0" xfId="30" applyNumberFormat="1" applyFont="1" applyAlignment="1">
      <alignment/>
    </xf>
    <xf numFmtId="0" fontId="0" fillId="0" borderId="3" xfId="0" applyFont="1" applyBorder="1" applyAlignment="1">
      <alignment/>
    </xf>
    <xf numFmtId="44" fontId="0" fillId="0" borderId="3" xfId="17" applyFont="1" applyBorder="1" applyAlignment="1">
      <alignment/>
    </xf>
    <xf numFmtId="177" fontId="0" fillId="0" borderId="0" xfId="0" applyNumberFormat="1" applyFont="1" applyAlignment="1">
      <alignment/>
    </xf>
    <xf numFmtId="178" fontId="0" fillId="0" borderId="0" xfId="0" applyNumberFormat="1" applyFont="1" applyAlignment="1">
      <alignment/>
    </xf>
    <xf numFmtId="0" fontId="0" fillId="12" borderId="21" xfId="29" applyFont="1" applyFill="1" applyBorder="1">
      <alignment/>
      <protection/>
    </xf>
    <xf numFmtId="1" fontId="0" fillId="13" borderId="3" xfId="29" applyNumberFormat="1" applyFont="1" applyFill="1" applyBorder="1">
      <alignment/>
      <protection/>
    </xf>
    <xf numFmtId="0" fontId="0" fillId="12" borderId="3" xfId="29" applyFont="1" applyFill="1" applyBorder="1">
      <alignment/>
      <protection/>
    </xf>
    <xf numFmtId="1" fontId="12" fillId="13" borderId="3" xfId="0" applyNumberFormat="1" applyFont="1" applyFill="1" applyBorder="1" applyAlignment="1">
      <alignment/>
    </xf>
    <xf numFmtId="1" fontId="17" fillId="12" borderId="22" xfId="0" applyNumberFormat="1" applyFont="1" applyFill="1" applyBorder="1" applyAlignment="1">
      <alignment/>
    </xf>
    <xf numFmtId="1" fontId="0" fillId="0" borderId="3" xfId="0" applyNumberFormat="1" applyFont="1" applyBorder="1" applyAlignment="1">
      <alignment/>
    </xf>
    <xf numFmtId="169" fontId="0" fillId="0" borderId="0" xfId="0" applyNumberFormat="1" applyFont="1" applyAlignment="1">
      <alignment/>
    </xf>
    <xf numFmtId="169" fontId="0" fillId="0" borderId="3" xfId="0" applyNumberFormat="1" applyFont="1" applyBorder="1" applyAlignment="1">
      <alignment/>
    </xf>
    <xf numFmtId="0" fontId="0" fillId="0" borderId="9" xfId="0" applyFont="1" applyBorder="1" applyAlignment="1">
      <alignment/>
    </xf>
    <xf numFmtId="168" fontId="0" fillId="0" borderId="9" xfId="17" applyNumberFormat="1" applyFont="1" applyBorder="1" applyAlignment="1">
      <alignment/>
    </xf>
    <xf numFmtId="0" fontId="17" fillId="11" borderId="3" xfId="26" applyFont="1" applyFill="1" applyBorder="1">
      <alignment/>
      <protection/>
    </xf>
    <xf numFmtId="0" fontId="0" fillId="11" borderId="3" xfId="0" applyFont="1" applyFill="1" applyBorder="1" applyAlignment="1">
      <alignment/>
    </xf>
    <xf numFmtId="0" fontId="17" fillId="0" borderId="3" xfId="26" applyFont="1" applyBorder="1">
      <alignment/>
      <protection/>
    </xf>
    <xf numFmtId="9" fontId="17" fillId="11" borderId="3" xfId="30" applyFont="1" applyFill="1" applyBorder="1" applyAlignment="1">
      <alignment/>
    </xf>
    <xf numFmtId="168" fontId="0" fillId="0" borderId="3" xfId="17" applyNumberFormat="1" applyFont="1" applyBorder="1" applyAlignment="1">
      <alignment/>
    </xf>
    <xf numFmtId="0" fontId="17"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7" fillId="12" borderId="16" xfId="28" applyNumberFormat="1" applyFont="1" applyFill="1" applyBorder="1" applyAlignment="1" applyProtection="1">
      <alignment/>
      <protection/>
    </xf>
    <xf numFmtId="0" fontId="17" fillId="12" borderId="23" xfId="28" applyNumberFormat="1" applyFont="1" applyFill="1" applyBorder="1" applyAlignment="1" applyProtection="1">
      <alignment/>
      <protection/>
    </xf>
    <xf numFmtId="0" fontId="17" fillId="12" borderId="24" xfId="28" applyNumberFormat="1" applyFont="1" applyFill="1" applyBorder="1" applyAlignment="1" applyProtection="1">
      <alignment/>
      <protection/>
    </xf>
    <xf numFmtId="0" fontId="17" fillId="12" borderId="20" xfId="28" applyNumberFormat="1" applyFont="1" applyFill="1" applyBorder="1" applyAlignment="1" applyProtection="1">
      <alignment/>
      <protection/>
    </xf>
    <xf numFmtId="0" fontId="17" fillId="12" borderId="25" xfId="28" applyNumberFormat="1" applyFont="1" applyFill="1" applyBorder="1" applyAlignment="1" applyProtection="1">
      <alignment/>
      <protection/>
    </xf>
    <xf numFmtId="0" fontId="17" fillId="12" borderId="25" xfId="28" applyNumberFormat="1" applyFont="1" applyFill="1" applyBorder="1" applyAlignment="1" applyProtection="1">
      <alignment horizontal="center"/>
      <protection/>
    </xf>
    <xf numFmtId="0" fontId="0" fillId="0" borderId="18" xfId="28" applyNumberFormat="1" applyFont="1" applyFill="1" applyBorder="1" applyAlignment="1" applyProtection="1">
      <alignment horizontal="center"/>
      <protection/>
    </xf>
    <xf numFmtId="0" fontId="0" fillId="0" borderId="26" xfId="28" applyNumberFormat="1" applyFill="1" applyBorder="1" applyAlignment="1" applyProtection="1">
      <alignment/>
      <protection/>
    </xf>
    <xf numFmtId="0" fontId="0" fillId="0" borderId="27" xfId="28" applyNumberFormat="1" applyFont="1" applyFill="1" applyBorder="1" applyAlignment="1" applyProtection="1">
      <alignment/>
      <protection/>
    </xf>
    <xf numFmtId="0" fontId="0" fillId="0" borderId="28" xfId="28" applyNumberFormat="1" applyFont="1" applyFill="1" applyBorder="1" applyAlignment="1" applyProtection="1">
      <alignment/>
      <protection/>
    </xf>
    <xf numFmtId="0" fontId="0" fillId="0" borderId="29" xfId="28" applyNumberFormat="1" applyFont="1" applyFill="1" applyBorder="1" applyAlignment="1" applyProtection="1">
      <alignment horizontal="center"/>
      <protection/>
    </xf>
    <xf numFmtId="0" fontId="0" fillId="0" borderId="30" xfId="28" applyNumberFormat="1" applyFont="1" applyFill="1" applyBorder="1" applyAlignment="1" applyProtection="1">
      <alignment/>
      <protection/>
    </xf>
    <xf numFmtId="9" fontId="0" fillId="0" borderId="3" xfId="28" applyNumberFormat="1" applyFont="1" applyFill="1" applyBorder="1" applyAlignment="1" applyProtection="1">
      <alignment/>
      <protection/>
    </xf>
    <xf numFmtId="9" fontId="0" fillId="0" borderId="31" xfId="28" applyNumberFormat="1" applyFont="1" applyFill="1" applyBorder="1" applyAlignment="1" applyProtection="1">
      <alignment/>
      <protection/>
    </xf>
    <xf numFmtId="0" fontId="0" fillId="14" borderId="21" xfId="28" applyNumberFormat="1" applyFill="1" applyBorder="1" applyAlignment="1" applyProtection="1">
      <alignment/>
      <protection/>
    </xf>
    <xf numFmtId="1" fontId="0" fillId="14" borderId="3" xfId="28" applyNumberFormat="1" applyFont="1" applyFill="1" applyBorder="1" applyAlignment="1" applyProtection="1">
      <alignment/>
      <protection/>
    </xf>
    <xf numFmtId="3" fontId="0" fillId="14" borderId="31" xfId="28" applyNumberFormat="1" applyFont="1" applyFill="1" applyBorder="1" applyAlignment="1" applyProtection="1">
      <alignment/>
      <protection/>
    </xf>
    <xf numFmtId="0" fontId="0" fillId="0" borderId="21" xfId="28" applyNumberFormat="1" applyFont="1" applyFill="1" applyBorder="1" applyAlignment="1" applyProtection="1">
      <alignment/>
      <protection/>
    </xf>
    <xf numFmtId="1" fontId="0" fillId="0" borderId="3" xfId="28" applyNumberFormat="1" applyFont="1" applyFill="1" applyBorder="1" applyAlignment="1" applyProtection="1">
      <alignment/>
      <protection/>
    </xf>
    <xf numFmtId="3" fontId="0" fillId="0" borderId="31" xfId="28" applyNumberFormat="1" applyFont="1" applyFill="1" applyBorder="1" applyAlignment="1" applyProtection="1">
      <alignment/>
      <protection/>
    </xf>
    <xf numFmtId="0" fontId="0" fillId="14" borderId="21" xfId="28" applyNumberFormat="1" applyFont="1" applyFill="1" applyBorder="1" applyAlignment="1" applyProtection="1">
      <alignment/>
      <protection/>
    </xf>
    <xf numFmtId="166" fontId="0" fillId="14" borderId="3" xfId="28" applyNumberFormat="1" applyFont="1" applyFill="1" applyBorder="1" applyAlignment="1" applyProtection="1">
      <alignment/>
      <protection/>
    </xf>
    <xf numFmtId="9" fontId="0" fillId="0" borderId="0" xfId="30" applyAlignment="1">
      <alignment/>
    </xf>
    <xf numFmtId="0" fontId="0" fillId="0" borderId="21" xfId="28" applyNumberFormat="1" applyFill="1" applyBorder="1" applyAlignment="1" applyProtection="1">
      <alignment/>
      <protection/>
    </xf>
    <xf numFmtId="3" fontId="0" fillId="0" borderId="3" xfId="28" applyNumberFormat="1" applyFont="1" applyFill="1" applyBorder="1" applyAlignment="1" applyProtection="1">
      <alignment/>
      <protection/>
    </xf>
    <xf numFmtId="181" fontId="0" fillId="0" borderId="3" xfId="28" applyNumberFormat="1" applyFont="1" applyFill="1" applyBorder="1" applyAlignment="1" applyProtection="1">
      <alignment/>
      <protection/>
    </xf>
    <xf numFmtId="181" fontId="0" fillId="0" borderId="31" xfId="28" applyNumberFormat="1" applyFont="1" applyFill="1" applyBorder="1" applyAlignment="1" applyProtection="1">
      <alignment/>
      <protection/>
    </xf>
    <xf numFmtId="0" fontId="0" fillId="0" borderId="32" xfId="28" applyNumberFormat="1" applyFont="1" applyFill="1" applyBorder="1" applyAlignment="1" applyProtection="1">
      <alignment/>
      <protection/>
    </xf>
    <xf numFmtId="0" fontId="0" fillId="0" borderId="33" xfId="28" applyNumberFormat="1" applyFont="1" applyFill="1" applyBorder="1" applyAlignment="1" applyProtection="1">
      <alignment horizontal="center"/>
      <protection/>
    </xf>
    <xf numFmtId="0" fontId="0" fillId="14" borderId="32" xfId="28" applyNumberFormat="1" applyFill="1" applyBorder="1" applyAlignment="1" applyProtection="1">
      <alignment/>
      <protection/>
    </xf>
    <xf numFmtId="165" fontId="0" fillId="14" borderId="4" xfId="28" applyNumberFormat="1" applyFont="1" applyFill="1" applyBorder="1" applyAlignment="1" applyProtection="1">
      <alignment/>
      <protection/>
    </xf>
    <xf numFmtId="181" fontId="0" fillId="14" borderId="34" xfId="28" applyNumberFormat="1" applyFont="1" applyFill="1" applyBorder="1" applyAlignment="1" applyProtection="1">
      <alignment/>
      <protection/>
    </xf>
    <xf numFmtId="0" fontId="0" fillId="0" borderId="18" xfId="0" applyNumberFormat="1" applyFont="1" applyFill="1" applyBorder="1" applyAlignment="1" applyProtection="1">
      <alignment horizontal="center"/>
      <protection/>
    </xf>
    <xf numFmtId="0" fontId="0" fillId="0" borderId="29" xfId="0" applyNumberFormat="1" applyFont="1" applyFill="1" applyBorder="1" applyAlignment="1" applyProtection="1">
      <alignment horizontal="center"/>
      <protection/>
    </xf>
    <xf numFmtId="166" fontId="0" fillId="14" borderId="31" xfId="28" applyNumberFormat="1" applyFont="1" applyFill="1" applyBorder="1" applyAlignment="1" applyProtection="1">
      <alignment/>
      <protection/>
    </xf>
    <xf numFmtId="0" fontId="0" fillId="0" borderId="33" xfId="0" applyNumberFormat="1" applyFont="1" applyFill="1" applyBorder="1" applyAlignment="1" applyProtection="1">
      <alignment horizontal="center"/>
      <protection/>
    </xf>
    <xf numFmtId="0" fontId="0" fillId="14" borderId="35" xfId="28" applyNumberFormat="1" applyFill="1" applyBorder="1" applyAlignment="1" applyProtection="1">
      <alignment/>
      <protection/>
    </xf>
    <xf numFmtId="165" fontId="0" fillId="14" borderId="22" xfId="28" applyNumberFormat="1" applyFont="1" applyFill="1" applyBorder="1" applyAlignment="1" applyProtection="1">
      <alignment/>
      <protection/>
    </xf>
    <xf numFmtId="181" fontId="0" fillId="14" borderId="36" xfId="28" applyNumberFormat="1" applyFont="1" applyFill="1" applyBorder="1" applyAlignment="1" applyProtection="1">
      <alignment/>
      <protection/>
    </xf>
    <xf numFmtId="0" fontId="0" fillId="0" borderId="0" xfId="0" applyNumberFormat="1" applyFill="1" applyBorder="1" applyAlignment="1" applyProtection="1">
      <alignment/>
      <protection/>
    </xf>
    <xf numFmtId="169" fontId="0" fillId="0" borderId="0" xfId="15" applyNumberFormat="1" applyFont="1" applyAlignment="1">
      <alignment/>
    </xf>
    <xf numFmtId="169" fontId="0" fillId="0" borderId="0" xfId="15" applyNumberFormat="1" applyAlignment="1" applyProtection="1">
      <alignment horizontal="left"/>
      <protection/>
    </xf>
    <xf numFmtId="166" fontId="17" fillId="0" borderId="0" xfId="0" applyNumberFormat="1" applyFont="1" applyAlignment="1">
      <alignment/>
    </xf>
    <xf numFmtId="0" fontId="27" fillId="0" borderId="0" xfId="27">
      <alignment/>
      <protection/>
    </xf>
    <xf numFmtId="0" fontId="0" fillId="0" borderId="0" xfId="27" applyFont="1">
      <alignment/>
      <protection/>
    </xf>
    <xf numFmtId="44" fontId="0" fillId="0" borderId="0" xfId="17" applyFont="1" applyAlignment="1">
      <alignment/>
    </xf>
    <xf numFmtId="166" fontId="0" fillId="0" borderId="0" xfId="27" applyNumberFormat="1" applyFont="1">
      <alignment/>
      <protection/>
    </xf>
    <xf numFmtId="0" fontId="28" fillId="0" borderId="12" xfId="27" applyFont="1" applyBorder="1">
      <alignment/>
      <protection/>
    </xf>
    <xf numFmtId="0" fontId="28" fillId="0" borderId="10" xfId="27" applyFont="1" applyBorder="1">
      <alignment/>
      <protection/>
    </xf>
    <xf numFmtId="0" fontId="28" fillId="0" borderId="11" xfId="27" applyFont="1" applyBorder="1">
      <alignment/>
      <protection/>
    </xf>
    <xf numFmtId="164" fontId="29" fillId="15" borderId="18" xfId="30" applyNumberFormat="1" applyFont="1" applyFill="1" applyBorder="1" applyAlignment="1">
      <alignment/>
    </xf>
    <xf numFmtId="0" fontId="17" fillId="11" borderId="16" xfId="27" applyFont="1" applyFill="1" applyBorder="1" applyAlignment="1">
      <alignment wrapText="1"/>
      <protection/>
    </xf>
    <xf numFmtId="0" fontId="17" fillId="11" borderId="23" xfId="27" applyFont="1" applyFill="1" applyBorder="1" applyAlignment="1">
      <alignment horizontal="center" wrapText="1"/>
      <protection/>
    </xf>
    <xf numFmtId="0" fontId="17" fillId="11" borderId="24" xfId="27" applyFont="1" applyFill="1" applyBorder="1" applyAlignment="1">
      <alignment horizontal="center" wrapText="1"/>
      <protection/>
    </xf>
    <xf numFmtId="0" fontId="0" fillId="0" borderId="21" xfId="27" applyFont="1" applyBorder="1">
      <alignment/>
      <protection/>
    </xf>
    <xf numFmtId="0" fontId="0" fillId="0" borderId="3" xfId="27" applyFont="1" applyBorder="1" applyAlignment="1" applyProtection="1" quotePrefix="1">
      <alignment horizontal="left"/>
      <protection/>
    </xf>
    <xf numFmtId="0" fontId="0" fillId="0" borderId="3" xfId="27" applyFont="1" applyBorder="1" applyAlignment="1">
      <alignment horizontal="center"/>
      <protection/>
    </xf>
    <xf numFmtId="44" fontId="0" fillId="0" borderId="3" xfId="17" applyFont="1" applyBorder="1" applyAlignment="1">
      <alignment horizontal="center"/>
    </xf>
    <xf numFmtId="7" fontId="0" fillId="0" borderId="3" xfId="27" applyNumberFormat="1" applyFont="1" applyBorder="1" applyAlignment="1">
      <alignment horizontal="center"/>
      <protection/>
    </xf>
    <xf numFmtId="166" fontId="0" fillId="0" borderId="3" xfId="27" applyNumberFormat="1" applyFont="1" applyBorder="1">
      <alignment/>
      <protection/>
    </xf>
    <xf numFmtId="44" fontId="30" fillId="0" borderId="31" xfId="17" applyFont="1" applyBorder="1" applyAlignment="1">
      <alignment/>
    </xf>
    <xf numFmtId="44" fontId="0" fillId="0" borderId="3" xfId="17" applyFont="1" applyBorder="1" applyAlignment="1" applyProtection="1">
      <alignment horizontal="right"/>
      <protection/>
    </xf>
    <xf numFmtId="0" fontId="0" fillId="0" borderId="35" xfId="27" applyFont="1" applyBorder="1">
      <alignment/>
      <protection/>
    </xf>
    <xf numFmtId="0" fontId="0" fillId="0" borderId="22" xfId="27" applyFont="1" applyBorder="1" applyAlignment="1" applyProtection="1" quotePrefix="1">
      <alignment horizontal="left"/>
      <protection/>
    </xf>
    <xf numFmtId="177" fontId="0" fillId="0" borderId="22" xfId="27" applyNumberFormat="1" applyFont="1" applyBorder="1" applyAlignment="1" applyProtection="1">
      <alignment horizontal="center"/>
      <protection/>
    </xf>
    <xf numFmtId="0" fontId="0" fillId="0" borderId="22" xfId="27" applyFont="1" applyBorder="1" applyAlignment="1">
      <alignment horizontal="center"/>
      <protection/>
    </xf>
    <xf numFmtId="44" fontId="0" fillId="0" borderId="22" xfId="17" applyFont="1" applyBorder="1" applyAlignment="1" applyProtection="1">
      <alignment horizontal="right"/>
      <protection/>
    </xf>
    <xf numFmtId="7" fontId="0" fillId="0" borderId="22" xfId="27" applyNumberFormat="1" applyFont="1" applyBorder="1" applyAlignment="1">
      <alignment horizontal="center"/>
      <protection/>
    </xf>
    <xf numFmtId="166" fontId="0" fillId="0" borderId="22" xfId="27" applyNumberFormat="1" applyFont="1" applyBorder="1" applyAlignment="1" applyProtection="1">
      <alignment/>
      <protection/>
    </xf>
    <xf numFmtId="44" fontId="30" fillId="0" borderId="36" xfId="17" applyFont="1" applyBorder="1" applyAlignment="1">
      <alignment/>
    </xf>
    <xf numFmtId="0" fontId="28" fillId="0" borderId="0" xfId="27" applyFont="1" applyAlignment="1" quotePrefix="1">
      <alignment horizontal="left"/>
      <protection/>
    </xf>
    <xf numFmtId="0" fontId="28" fillId="0" borderId="0" xfId="27" applyFont="1" applyAlignment="1">
      <alignment horizontal="left"/>
      <protection/>
    </xf>
    <xf numFmtId="0" fontId="29" fillId="0" borderId="0" xfId="27" applyFont="1">
      <alignment/>
      <protection/>
    </xf>
    <xf numFmtId="0" fontId="29" fillId="0" borderId="0" xfId="27" applyFont="1" applyAlignment="1">
      <alignment horizontal="left" vertical="top" wrapText="1"/>
      <protection/>
    </xf>
    <xf numFmtId="0" fontId="29" fillId="0" borderId="0" xfId="27" applyFont="1" applyAlignment="1" quotePrefix="1">
      <alignment horizontal="left" vertical="top" wrapText="1"/>
      <protection/>
    </xf>
    <xf numFmtId="0" fontId="0" fillId="0" borderId="0" xfId="27" applyFont="1" applyAlignment="1" applyProtection="1" quotePrefix="1">
      <alignment horizontal="left"/>
      <protection/>
    </xf>
    <xf numFmtId="44" fontId="0" fillId="0" borderId="0" xfId="17" applyFont="1" applyAlignment="1" applyProtection="1" quotePrefix="1">
      <alignment horizontal="left"/>
      <protection/>
    </xf>
    <xf numFmtId="165" fontId="30" fillId="0" borderId="0" xfId="27" applyNumberFormat="1" applyFont="1">
      <alignment/>
      <protection/>
    </xf>
    <xf numFmtId="0" fontId="30" fillId="0" borderId="0" xfId="27" applyFont="1">
      <alignment/>
      <protection/>
    </xf>
    <xf numFmtId="44" fontId="30" fillId="0" borderId="0" xfId="17" applyFont="1" applyAlignment="1">
      <alignment/>
    </xf>
    <xf numFmtId="44" fontId="30" fillId="0" borderId="0" xfId="27" applyNumberFormat="1" applyFont="1">
      <alignment/>
      <protection/>
    </xf>
    <xf numFmtId="166" fontId="30" fillId="0" borderId="0" xfId="27" applyNumberFormat="1" applyFont="1">
      <alignment/>
      <protection/>
    </xf>
    <xf numFmtId="0" fontId="0" fillId="0" borderId="0" xfId="27" applyFont="1" applyAlignment="1" applyProtection="1">
      <alignment horizontal="left"/>
      <protection/>
    </xf>
    <xf numFmtId="165" fontId="29" fillId="0" borderId="0" xfId="27" applyNumberFormat="1" applyFont="1">
      <alignment/>
      <protection/>
    </xf>
    <xf numFmtId="44" fontId="29" fillId="0" borderId="0" xfId="17" applyFont="1" applyAlignment="1">
      <alignment/>
    </xf>
    <xf numFmtId="0" fontId="17" fillId="0" borderId="0" xfId="27" applyFont="1">
      <alignment/>
      <protection/>
    </xf>
    <xf numFmtId="0" fontId="23" fillId="0" borderId="0" xfId="27" applyFont="1">
      <alignment/>
      <protection/>
    </xf>
    <xf numFmtId="0" fontId="17" fillId="0" borderId="0" xfId="27" applyFont="1" applyAlignment="1">
      <alignment horizontal="left" vertical="top" wrapText="1"/>
      <protection/>
    </xf>
    <xf numFmtId="165" fontId="0" fillId="0" borderId="0" xfId="27" applyNumberFormat="1" applyFont="1">
      <alignment/>
      <protection/>
    </xf>
    <xf numFmtId="44" fontId="0" fillId="0" borderId="0" xfId="27" applyNumberFormat="1" applyFont="1">
      <alignment/>
      <protection/>
    </xf>
    <xf numFmtId="165" fontId="17" fillId="0" borderId="0" xfId="27" applyNumberFormat="1" applyFont="1">
      <alignment/>
      <protection/>
    </xf>
    <xf numFmtId="44" fontId="17" fillId="0" borderId="0" xfId="17" applyFont="1" applyAlignment="1">
      <alignment/>
    </xf>
    <xf numFmtId="0" fontId="31" fillId="0" borderId="0" xfId="27" applyFont="1">
      <alignment/>
      <protection/>
    </xf>
    <xf numFmtId="0" fontId="0" fillId="0" borderId="0" xfId="27" applyFont="1" applyAlignment="1" quotePrefix="1">
      <alignment horizontal="left"/>
      <protection/>
    </xf>
    <xf numFmtId="0" fontId="31" fillId="0" borderId="0" xfId="27" applyFont="1" applyAlignment="1" quotePrefix="1">
      <alignment horizontal="left"/>
      <protection/>
    </xf>
    <xf numFmtId="0" fontId="0" fillId="0" borderId="0" xfId="27" applyFont="1" applyAlignment="1">
      <alignment horizontal="left"/>
      <protection/>
    </xf>
    <xf numFmtId="0" fontId="31" fillId="0" borderId="0" xfId="27" applyFont="1" applyAlignment="1">
      <alignment horizontal="left"/>
      <protection/>
    </xf>
    <xf numFmtId="0" fontId="17" fillId="0" borderId="0" xfId="27" applyFont="1" applyAlignment="1" quotePrefix="1">
      <alignment horizontal="left" vertical="top" wrapText="1"/>
      <protection/>
    </xf>
    <xf numFmtId="2" fontId="0" fillId="0" borderId="0" xfId="17" applyNumberFormat="1" applyFont="1" applyAlignment="1" applyProtection="1" quotePrefix="1">
      <alignment horizontal="right"/>
      <protection/>
    </xf>
    <xf numFmtId="0" fontId="27" fillId="0" borderId="0" xfId="27" applyAlignment="1" quotePrefix="1">
      <alignment horizontal="left"/>
      <protection/>
    </xf>
    <xf numFmtId="2" fontId="0" fillId="0" borderId="0" xfId="17" applyNumberFormat="1" applyFont="1" applyAlignment="1">
      <alignment horizontal="right"/>
    </xf>
    <xf numFmtId="166" fontId="17" fillId="0" borderId="0" xfId="27" applyNumberFormat="1" applyFont="1">
      <alignment/>
      <protection/>
    </xf>
    <xf numFmtId="0" fontId="17" fillId="0" borderId="0" xfId="27" applyFont="1" applyAlignment="1">
      <alignment horizontal="left"/>
      <protection/>
    </xf>
    <xf numFmtId="0" fontId="0" fillId="0" borderId="9" xfId="27" applyFont="1" applyBorder="1" applyAlignment="1" applyProtection="1" quotePrefix="1">
      <alignment horizontal="left"/>
      <protection/>
    </xf>
    <xf numFmtId="44" fontId="0" fillId="0" borderId="9" xfId="17" applyFont="1" applyBorder="1" applyAlignment="1">
      <alignment horizontal="center"/>
    </xf>
    <xf numFmtId="7" fontId="0" fillId="0" borderId="9" xfId="27" applyNumberFormat="1" applyFont="1" applyBorder="1" applyAlignment="1">
      <alignment horizontal="center"/>
      <protection/>
    </xf>
    <xf numFmtId="166" fontId="0" fillId="0" borderId="9" xfId="27" applyNumberFormat="1" applyFont="1" applyBorder="1">
      <alignment/>
      <protection/>
    </xf>
    <xf numFmtId="166" fontId="0" fillId="0" borderId="3" xfId="26" applyNumberFormat="1" applyFont="1" applyBorder="1" applyAlignment="1" applyProtection="1" quotePrefix="1">
      <alignment horizontal="left"/>
      <protection/>
    </xf>
    <xf numFmtId="0" fontId="0" fillId="0" borderId="3" xfId="26" applyFont="1" applyBorder="1">
      <alignment/>
      <protection/>
    </xf>
    <xf numFmtId="0" fontId="0" fillId="12" borderId="3" xfId="26" applyFont="1" applyFill="1" applyBorder="1" applyAlignment="1" applyProtection="1" quotePrefix="1">
      <alignment horizontal="left"/>
      <protection/>
    </xf>
    <xf numFmtId="166" fontId="0" fillId="12" borderId="3" xfId="26" applyNumberFormat="1" applyFont="1" applyFill="1" applyBorder="1" applyAlignment="1" applyProtection="1" quotePrefix="1">
      <alignment horizontal="left"/>
      <protection/>
    </xf>
    <xf numFmtId="1" fontId="0" fillId="12" borderId="3" xfId="26" applyNumberFormat="1" applyFont="1" applyFill="1" applyBorder="1">
      <alignment/>
      <protection/>
    </xf>
    <xf numFmtId="44" fontId="0" fillId="12" borderId="3" xfId="17" applyFont="1" applyFill="1" applyBorder="1" applyAlignment="1">
      <alignment/>
    </xf>
    <xf numFmtId="168" fontId="0" fillId="12" borderId="3" xfId="17" applyNumberFormat="1" applyFont="1" applyFill="1" applyBorder="1" applyAlignment="1">
      <alignment/>
    </xf>
    <xf numFmtId="0" fontId="0" fillId="14" borderId="3" xfId="26" applyFont="1" applyFill="1" applyBorder="1" applyAlignment="1" applyProtection="1" quotePrefix="1">
      <alignment horizontal="left"/>
      <protection/>
    </xf>
    <xf numFmtId="166" fontId="0" fillId="14" borderId="3" xfId="26" applyNumberFormat="1" applyFont="1" applyFill="1" applyBorder="1" applyAlignment="1" applyProtection="1" quotePrefix="1">
      <alignment horizontal="left"/>
      <protection/>
    </xf>
    <xf numFmtId="1" fontId="0" fillId="14" borderId="3" xfId="26" applyNumberFormat="1" applyFont="1" applyFill="1" applyBorder="1">
      <alignment/>
      <protection/>
    </xf>
    <xf numFmtId="44" fontId="0" fillId="14" borderId="3" xfId="17" applyFont="1" applyFill="1" applyBorder="1" applyAlignment="1">
      <alignment/>
    </xf>
    <xf numFmtId="168" fontId="0" fillId="14" borderId="3" xfId="17" applyNumberFormat="1" applyFont="1" applyFill="1" applyBorder="1" applyAlignment="1">
      <alignment/>
    </xf>
    <xf numFmtId="165" fontId="0" fillId="12" borderId="3" xfId="26" applyNumberFormat="1" applyFont="1" applyFill="1" applyBorder="1">
      <alignment/>
      <protection/>
    </xf>
    <xf numFmtId="177" fontId="0" fillId="12" borderId="3" xfId="26" applyNumberFormat="1" applyFont="1" applyFill="1" applyBorder="1" applyAlignment="1" applyProtection="1">
      <alignment horizontal="center"/>
      <protection/>
    </xf>
    <xf numFmtId="178" fontId="0" fillId="14" borderId="3" xfId="26" applyNumberFormat="1" applyFont="1" applyFill="1" applyBorder="1" applyAlignment="1" applyProtection="1">
      <alignment horizontal="center"/>
      <protection/>
    </xf>
    <xf numFmtId="178" fontId="0" fillId="12" borderId="3" xfId="26" applyNumberFormat="1" applyFont="1" applyFill="1" applyBorder="1" applyAlignment="1" applyProtection="1">
      <alignment horizontal="center"/>
      <protection/>
    </xf>
    <xf numFmtId="0" fontId="0" fillId="11" borderId="3" xfId="26" applyFont="1" applyFill="1" applyBorder="1">
      <alignment/>
      <protection/>
    </xf>
    <xf numFmtId="0" fontId="17" fillId="11" borderId="3" xfId="24" applyFont="1" applyFill="1" applyBorder="1" applyAlignment="1">
      <alignment horizontal="center"/>
      <protection/>
    </xf>
    <xf numFmtId="0" fontId="17" fillId="11" borderId="3" xfId="26" applyFont="1" applyFill="1" applyBorder="1" applyAlignment="1">
      <alignment wrapText="1"/>
      <protection/>
    </xf>
    <xf numFmtId="0" fontId="17" fillId="11" borderId="3" xfId="26" applyFont="1" applyFill="1" applyBorder="1" applyAlignment="1" quotePrefix="1">
      <alignment horizontal="left"/>
      <protection/>
    </xf>
    <xf numFmtId="0" fontId="0" fillId="15" borderId="30" xfId="27" applyFont="1" applyFill="1" applyBorder="1">
      <alignment/>
      <protection/>
    </xf>
    <xf numFmtId="0" fontId="0" fillId="15" borderId="9" xfId="27" applyFont="1" applyFill="1" applyBorder="1" applyAlignment="1" applyProtection="1" quotePrefix="1">
      <alignment horizontal="left"/>
      <protection/>
    </xf>
    <xf numFmtId="166" fontId="0" fillId="15" borderId="9" xfId="27" applyNumberFormat="1" applyFont="1" applyFill="1" applyBorder="1">
      <alignment/>
      <protection/>
    </xf>
    <xf numFmtId="0" fontId="0" fillId="15" borderId="9" xfId="27" applyFont="1" applyFill="1" applyBorder="1" applyAlignment="1">
      <alignment horizontal="center"/>
      <protection/>
    </xf>
    <xf numFmtId="44" fontId="0" fillId="15" borderId="9" xfId="17" applyFont="1" applyFill="1" applyBorder="1" applyAlignment="1">
      <alignment horizontal="center"/>
    </xf>
    <xf numFmtId="7" fontId="0" fillId="15" borderId="9" xfId="27" applyNumberFormat="1" applyFont="1" applyFill="1" applyBorder="1" applyAlignment="1">
      <alignment horizontal="center"/>
      <protection/>
    </xf>
    <xf numFmtId="44" fontId="30" fillId="15" borderId="37" xfId="17" applyFont="1" applyFill="1" applyBorder="1" applyAlignment="1">
      <alignment/>
    </xf>
    <xf numFmtId="0" fontId="0" fillId="15" borderId="21" xfId="27" applyFont="1" applyFill="1" applyBorder="1">
      <alignment/>
      <protection/>
    </xf>
    <xf numFmtId="0" fontId="0" fillId="15" borderId="3" xfId="27" applyFont="1" applyFill="1" applyBorder="1" applyAlignment="1" applyProtection="1" quotePrefix="1">
      <alignment horizontal="left"/>
      <protection/>
    </xf>
    <xf numFmtId="166" fontId="0" fillId="15" borderId="3" xfId="27" applyNumberFormat="1" applyFont="1" applyFill="1" applyBorder="1">
      <alignment/>
      <protection/>
    </xf>
    <xf numFmtId="0" fontId="0" fillId="15" borderId="3" xfId="27" applyFont="1" applyFill="1" applyBorder="1" applyAlignment="1">
      <alignment horizontal="center"/>
      <protection/>
    </xf>
    <xf numFmtId="44" fontId="0" fillId="15" borderId="3" xfId="17" applyFont="1" applyFill="1" applyBorder="1" applyAlignment="1">
      <alignment horizontal="center"/>
    </xf>
    <xf numFmtId="7" fontId="0" fillId="15" borderId="3" xfId="27" applyNumberFormat="1" applyFont="1" applyFill="1" applyBorder="1" applyAlignment="1">
      <alignment horizontal="center"/>
      <protection/>
    </xf>
    <xf numFmtId="44" fontId="30" fillId="15" borderId="31" xfId="17" applyFont="1" applyFill="1" applyBorder="1" applyAlignment="1">
      <alignment/>
    </xf>
    <xf numFmtId="0" fontId="27" fillId="15" borderId="13" xfId="27" applyFill="1" applyBorder="1">
      <alignment/>
      <protection/>
    </xf>
    <xf numFmtId="0" fontId="27" fillId="0" borderId="0" xfId="27" applyFont="1" quotePrefix="1">
      <alignment/>
      <protection/>
    </xf>
    <xf numFmtId="44" fontId="0" fillId="15" borderId="3" xfId="17" applyFont="1" applyFill="1" applyBorder="1" applyAlignment="1" applyProtection="1">
      <alignment horizontal="right"/>
      <protection/>
    </xf>
    <xf numFmtId="44" fontId="0" fillId="15" borderId="3" xfId="17" applyFont="1" applyFill="1" applyBorder="1" applyAlignment="1">
      <alignment/>
    </xf>
    <xf numFmtId="0" fontId="0" fillId="15" borderId="3" xfId="27" applyFont="1" applyFill="1" applyBorder="1" applyAlignment="1" applyProtection="1">
      <alignment/>
      <protection/>
    </xf>
    <xf numFmtId="166" fontId="0" fillId="15" borderId="3" xfId="27" applyNumberFormat="1" applyFont="1" applyFill="1" applyBorder="1" applyAlignment="1" applyProtection="1">
      <alignment/>
      <protection/>
    </xf>
    <xf numFmtId="177" fontId="0" fillId="15" borderId="3" xfId="27" applyNumberFormat="1" applyFont="1" applyFill="1" applyBorder="1" applyAlignment="1" applyProtection="1">
      <alignment horizontal="center"/>
      <protection/>
    </xf>
    <xf numFmtId="0" fontId="25" fillId="0" borderId="3" xfId="24" applyFont="1" applyBorder="1" applyAlignment="1">
      <alignment horizontal="center"/>
      <protection/>
    </xf>
    <xf numFmtId="0" fontId="25" fillId="0" borderId="3" xfId="24" applyFont="1" applyBorder="1" applyAlignment="1" quotePrefix="1">
      <alignment horizontal="center"/>
      <protection/>
    </xf>
    <xf numFmtId="2" fontId="0" fillId="0" borderId="3" xfId="26" applyNumberFormat="1" applyFont="1" applyBorder="1">
      <alignment/>
      <protection/>
    </xf>
    <xf numFmtId="1" fontId="17" fillId="11" borderId="3" xfId="26" applyNumberFormat="1" applyFont="1" applyFill="1" applyBorder="1">
      <alignment/>
      <protection/>
    </xf>
    <xf numFmtId="0" fontId="0" fillId="0" borderId="3" xfId="26" applyFont="1" applyFill="1" applyBorder="1" applyAlignment="1" applyProtection="1" quotePrefix="1">
      <alignment horizontal="left"/>
      <protection/>
    </xf>
    <xf numFmtId="1" fontId="0" fillId="0" borderId="3" xfId="26" applyNumberFormat="1" applyFont="1" applyFill="1" applyBorder="1">
      <alignment/>
      <protection/>
    </xf>
    <xf numFmtId="0" fontId="0" fillId="0" borderId="3" xfId="26" applyFont="1" applyFill="1" applyBorder="1">
      <alignment/>
      <protection/>
    </xf>
    <xf numFmtId="0" fontId="0" fillId="0" borderId="3" xfId="26" applyFont="1" applyFill="1" applyBorder="1" applyAlignment="1" quotePrefix="1">
      <alignment horizontal="left"/>
      <protection/>
    </xf>
    <xf numFmtId="0" fontId="17" fillId="14" borderId="3" xfId="26" applyFont="1" applyFill="1" applyBorder="1">
      <alignment/>
      <protection/>
    </xf>
    <xf numFmtId="1" fontId="17" fillId="14" borderId="3" xfId="26" applyNumberFormat="1" applyFont="1" applyFill="1" applyBorder="1">
      <alignment/>
      <protection/>
    </xf>
    <xf numFmtId="0" fontId="17" fillId="14" borderId="3" xfId="26" applyFont="1" applyFill="1" applyBorder="1" applyAlignment="1">
      <alignment horizontal="left"/>
      <protection/>
    </xf>
    <xf numFmtId="165" fontId="17" fillId="14" borderId="3" xfId="26" applyNumberFormat="1" applyFont="1" applyFill="1" applyBorder="1">
      <alignment/>
      <protection/>
    </xf>
    <xf numFmtId="169" fontId="0" fillId="11" borderId="3" xfId="15" applyNumberFormat="1" applyFont="1" applyFill="1" applyBorder="1" applyAlignment="1">
      <alignment/>
    </xf>
    <xf numFmtId="169" fontId="0" fillId="15" borderId="3" xfId="15" applyNumberFormat="1" applyFont="1" applyFill="1" applyBorder="1" applyAlignment="1">
      <alignment/>
    </xf>
    <xf numFmtId="0" fontId="0" fillId="0" borderId="3" xfId="0" applyBorder="1" applyAlignment="1">
      <alignment horizontal="center"/>
    </xf>
    <xf numFmtId="169" fontId="0" fillId="14" borderId="3" xfId="15" applyNumberFormat="1" applyFont="1" applyFill="1" applyBorder="1" applyAlignment="1">
      <alignment/>
    </xf>
    <xf numFmtId="1" fontId="17" fillId="11" borderId="21" xfId="0" applyNumberFormat="1" applyFont="1" applyFill="1" applyBorder="1" applyAlignment="1">
      <alignment/>
    </xf>
    <xf numFmtId="0" fontId="0" fillId="0" borderId="31" xfId="0" applyBorder="1" applyAlignment="1">
      <alignment/>
    </xf>
    <xf numFmtId="1" fontId="17" fillId="14" borderId="21" xfId="0" applyNumberFormat="1" applyFont="1" applyFill="1" applyBorder="1" applyAlignment="1">
      <alignment/>
    </xf>
    <xf numFmtId="169" fontId="17" fillId="14" borderId="3" xfId="15" applyNumberFormat="1" applyFont="1" applyFill="1" applyBorder="1" applyAlignment="1">
      <alignment/>
    </xf>
    <xf numFmtId="169" fontId="17" fillId="14" borderId="31" xfId="15" applyNumberFormat="1" applyFont="1" applyFill="1" applyBorder="1" applyAlignment="1">
      <alignment/>
    </xf>
    <xf numFmtId="169" fontId="17" fillId="11" borderId="3" xfId="15" applyNumberFormat="1" applyFont="1" applyFill="1" applyBorder="1" applyAlignment="1">
      <alignment/>
    </xf>
    <xf numFmtId="169" fontId="17" fillId="11" borderId="31" xfId="15" applyNumberFormat="1" applyFont="1" applyFill="1" applyBorder="1" applyAlignment="1">
      <alignment/>
    </xf>
    <xf numFmtId="1" fontId="17" fillId="3" borderId="35" xfId="0" applyNumberFormat="1" applyFont="1" applyFill="1" applyBorder="1" applyAlignment="1">
      <alignment/>
    </xf>
    <xf numFmtId="169" fontId="17" fillId="3" borderId="22" xfId="15" applyNumberFormat="1" applyFont="1" applyFill="1" applyBorder="1" applyAlignment="1">
      <alignment/>
    </xf>
    <xf numFmtId="169" fontId="17" fillId="3" borderId="36" xfId="15" applyNumberFormat="1" applyFont="1" applyFill="1" applyBorder="1" applyAlignment="1">
      <alignment/>
    </xf>
    <xf numFmtId="9" fontId="17" fillId="0" borderId="3" xfId="26" applyNumberFormat="1" applyFont="1" applyBorder="1">
      <alignment/>
      <protection/>
    </xf>
    <xf numFmtId="0" fontId="0" fillId="3" borderId="28" xfId="26" applyFont="1" applyFill="1" applyBorder="1">
      <alignment/>
      <protection/>
    </xf>
    <xf numFmtId="1" fontId="17" fillId="3" borderId="32" xfId="0" applyNumberFormat="1" applyFont="1" applyFill="1" applyBorder="1" applyAlignment="1">
      <alignment/>
    </xf>
    <xf numFmtId="9" fontId="17" fillId="0" borderId="4" xfId="26" applyNumberFormat="1" applyFont="1" applyBorder="1">
      <alignment/>
      <protection/>
    </xf>
    <xf numFmtId="0" fontId="0" fillId="0" borderId="34" xfId="0" applyBorder="1" applyAlignment="1">
      <alignment/>
    </xf>
    <xf numFmtId="169" fontId="17" fillId="0" borderId="3" xfId="15" applyNumberFormat="1" applyFont="1" applyBorder="1" applyAlignment="1">
      <alignment/>
    </xf>
    <xf numFmtId="1" fontId="17" fillId="0" borderId="4" xfId="0" applyNumberFormat="1" applyFont="1" applyBorder="1" applyAlignment="1">
      <alignment/>
    </xf>
    <xf numFmtId="0" fontId="17" fillId="3" borderId="27" xfId="0" applyFont="1" applyFill="1" applyBorder="1" applyAlignment="1">
      <alignment/>
    </xf>
    <xf numFmtId="0" fontId="17" fillId="3" borderId="26" xfId="0" applyFont="1" applyFill="1" applyBorder="1" applyAlignment="1">
      <alignment/>
    </xf>
    <xf numFmtId="0" fontId="0" fillId="3" borderId="26" xfId="0" applyFill="1" applyBorder="1" applyAlignment="1">
      <alignment/>
    </xf>
    <xf numFmtId="0" fontId="17" fillId="0" borderId="16" xfId="26" applyFont="1" applyBorder="1">
      <alignment/>
      <protection/>
    </xf>
    <xf numFmtId="9" fontId="17" fillId="0" borderId="23" xfId="26" applyNumberFormat="1" applyFont="1" applyBorder="1">
      <alignment/>
      <protection/>
    </xf>
    <xf numFmtId="9" fontId="17" fillId="0" borderId="24" xfId="26" applyNumberFormat="1" applyFont="1" applyBorder="1">
      <alignment/>
      <protection/>
    </xf>
    <xf numFmtId="0" fontId="17" fillId="3" borderId="38" xfId="0" applyFont="1" applyFill="1" applyBorder="1" applyAlignment="1">
      <alignment/>
    </xf>
    <xf numFmtId="169" fontId="17" fillId="14" borderId="5" xfId="15" applyNumberFormat="1" applyFont="1" applyFill="1" applyBorder="1" applyAlignment="1">
      <alignment/>
    </xf>
    <xf numFmtId="169" fontId="17" fillId="11" borderId="5" xfId="15" applyNumberFormat="1" applyFont="1" applyFill="1" applyBorder="1" applyAlignment="1">
      <alignment/>
    </xf>
    <xf numFmtId="169" fontId="17" fillId="3" borderId="39" xfId="15" applyNumberFormat="1" applyFont="1" applyFill="1" applyBorder="1" applyAlignment="1">
      <alignment/>
    </xf>
    <xf numFmtId="0" fontId="17" fillId="3" borderId="40" xfId="0" applyFont="1" applyFill="1" applyBorder="1" applyAlignment="1">
      <alignment/>
    </xf>
    <xf numFmtId="169" fontId="17" fillId="12" borderId="16" xfId="15" applyNumberFormat="1" applyFont="1" applyFill="1" applyBorder="1" applyAlignment="1">
      <alignment/>
    </xf>
    <xf numFmtId="9" fontId="17" fillId="12" borderId="23" xfId="26" applyNumberFormat="1" applyFont="1" applyFill="1" applyBorder="1">
      <alignment/>
      <protection/>
    </xf>
    <xf numFmtId="169" fontId="17" fillId="12" borderId="23" xfId="15" applyNumberFormat="1" applyFont="1" applyFill="1" applyBorder="1" applyAlignment="1">
      <alignment/>
    </xf>
    <xf numFmtId="0" fontId="0" fillId="12" borderId="24" xfId="26" applyFont="1" applyFill="1" applyBorder="1">
      <alignment/>
      <protection/>
    </xf>
    <xf numFmtId="169" fontId="17" fillId="0" borderId="3" xfId="0" applyNumberFormat="1" applyFont="1" applyBorder="1" applyAlignment="1">
      <alignment/>
    </xf>
    <xf numFmtId="1" fontId="0" fillId="0" borderId="3" xfId="26" applyNumberFormat="1" applyFont="1" applyBorder="1">
      <alignment/>
      <protection/>
    </xf>
    <xf numFmtId="169" fontId="0" fillId="0" borderId="3" xfId="15" applyNumberFormat="1" applyFont="1" applyBorder="1" applyAlignment="1">
      <alignment/>
    </xf>
    <xf numFmtId="166" fontId="0" fillId="0" borderId="3" xfId="26" applyNumberFormat="1" applyFont="1" applyBorder="1">
      <alignment/>
      <protection/>
    </xf>
    <xf numFmtId="0" fontId="17" fillId="12" borderId="3" xfId="26" applyFont="1" applyFill="1" applyBorder="1">
      <alignment/>
      <protection/>
    </xf>
    <xf numFmtId="1" fontId="17" fillId="12" borderId="26" xfId="29" applyNumberFormat="1" applyFont="1" applyFill="1" applyBorder="1" applyAlignment="1" quotePrefix="1">
      <alignment horizontal="left" wrapText="1"/>
      <protection/>
    </xf>
    <xf numFmtId="0" fontId="17" fillId="12" borderId="41" xfId="0" applyFont="1" applyFill="1" applyBorder="1" applyAlignment="1">
      <alignment/>
    </xf>
    <xf numFmtId="0" fontId="17" fillId="15" borderId="13" xfId="0" applyFont="1" applyFill="1" applyBorder="1" applyAlignment="1">
      <alignment/>
    </xf>
    <xf numFmtId="1" fontId="17" fillId="14" borderId="26" xfId="29" applyNumberFormat="1" applyFont="1" applyFill="1" applyBorder="1" applyAlignment="1" quotePrefix="1">
      <alignment horizontal="left" wrapText="1"/>
      <protection/>
    </xf>
    <xf numFmtId="1" fontId="17" fillId="14" borderId="21" xfId="29" applyNumberFormat="1" applyFont="1" applyFill="1" applyBorder="1" applyAlignment="1">
      <alignment horizontal="left" wrapText="1"/>
      <protection/>
    </xf>
    <xf numFmtId="1" fontId="17" fillId="14" borderId="21" xfId="29" applyNumberFormat="1" applyFont="1" applyFill="1" applyBorder="1" applyAlignment="1" quotePrefix="1">
      <alignment horizontal="left" wrapText="1"/>
      <protection/>
    </xf>
    <xf numFmtId="1" fontId="17" fillId="11" borderId="27" xfId="29" applyNumberFormat="1" applyFont="1" applyFill="1" applyBorder="1" applyAlignment="1">
      <alignment horizontal="center"/>
      <protection/>
    </xf>
    <xf numFmtId="166" fontId="17" fillId="11" borderId="28" xfId="29" applyNumberFormat="1" applyFont="1" applyFill="1" applyBorder="1" applyAlignment="1">
      <alignment horizontal="center"/>
      <protection/>
    </xf>
    <xf numFmtId="1" fontId="17" fillId="11" borderId="3" xfId="29" applyNumberFormat="1" applyFont="1" applyFill="1" applyBorder="1" applyAlignment="1">
      <alignment horizontal="center"/>
      <protection/>
    </xf>
    <xf numFmtId="166" fontId="17" fillId="11" borderId="31" xfId="29" applyNumberFormat="1" applyFont="1" applyFill="1" applyBorder="1" applyAlignment="1">
      <alignment horizontal="center"/>
      <protection/>
    </xf>
    <xf numFmtId="1" fontId="17" fillId="11" borderId="3" xfId="29" applyNumberFormat="1" applyFont="1" applyFill="1" applyBorder="1" applyAlignment="1">
      <alignment horizontal="centerContinuous"/>
      <protection/>
    </xf>
    <xf numFmtId="166" fontId="17" fillId="11" borderId="31" xfId="29" applyNumberFormat="1" applyFont="1" applyFill="1" applyBorder="1" applyAlignment="1">
      <alignment horizontal="centerContinuous"/>
      <protection/>
    </xf>
    <xf numFmtId="169" fontId="17" fillId="11" borderId="3" xfId="15" applyNumberFormat="1" applyFont="1" applyFill="1" applyBorder="1" applyAlignment="1">
      <alignment horizontal="centerContinuous"/>
    </xf>
    <xf numFmtId="169" fontId="17" fillId="11" borderId="31" xfId="0" applyNumberFormat="1" applyFont="1" applyFill="1" applyBorder="1" applyAlignment="1">
      <alignment/>
    </xf>
    <xf numFmtId="180" fontId="17" fillId="11" borderId="3" xfId="15" applyNumberFormat="1" applyFont="1" applyFill="1" applyBorder="1" applyAlignment="1">
      <alignment horizontal="left"/>
    </xf>
    <xf numFmtId="180" fontId="17" fillId="11" borderId="31" xfId="15" applyNumberFormat="1" applyFont="1" applyFill="1" applyBorder="1" applyAlignment="1">
      <alignment horizontal="left"/>
    </xf>
    <xf numFmtId="166" fontId="17" fillId="16" borderId="18" xfId="0" applyNumberFormat="1" applyFont="1" applyFill="1" applyBorder="1" applyAlignment="1">
      <alignment/>
    </xf>
    <xf numFmtId="1" fontId="17" fillId="14" borderId="32" xfId="29" applyNumberFormat="1" applyFont="1" applyFill="1" applyBorder="1" applyAlignment="1">
      <alignment horizontal="left" wrapText="1"/>
      <protection/>
    </xf>
    <xf numFmtId="180" fontId="17" fillId="11" borderId="4" xfId="15" applyNumberFormat="1" applyFont="1" applyFill="1" applyBorder="1" applyAlignment="1">
      <alignment horizontal="left"/>
    </xf>
    <xf numFmtId="166" fontId="17" fillId="16" borderId="15" xfId="0" applyNumberFormat="1" applyFont="1" applyFill="1" applyBorder="1" applyAlignment="1">
      <alignment/>
    </xf>
    <xf numFmtId="0" fontId="17" fillId="0" borderId="3" xfId="0" applyFont="1" applyBorder="1" applyAlignment="1">
      <alignment/>
    </xf>
    <xf numFmtId="0" fontId="17" fillId="0" borderId="3" xfId="0" applyFont="1" applyBorder="1" applyAlignment="1">
      <alignment horizontal="left"/>
    </xf>
    <xf numFmtId="1" fontId="17" fillId="0" borderId="3" xfId="0" applyNumberFormat="1" applyFont="1" applyBorder="1" applyAlignment="1">
      <alignment/>
    </xf>
    <xf numFmtId="0" fontId="17" fillId="17" borderId="3" xfId="26" applyFont="1" applyFill="1" applyBorder="1" applyAlignment="1">
      <alignment horizontal="left"/>
      <protection/>
    </xf>
    <xf numFmtId="0" fontId="17" fillId="0" borderId="0" xfId="0" applyFont="1" applyAlignment="1">
      <alignment horizontal="center"/>
    </xf>
    <xf numFmtId="0" fontId="0" fillId="12" borderId="42" xfId="0" applyFont="1" applyFill="1" applyBorder="1" applyAlignment="1">
      <alignment/>
    </xf>
    <xf numFmtId="0" fontId="17" fillId="12" borderId="43" xfId="24" applyFont="1" applyFill="1" applyBorder="1" applyAlignment="1">
      <alignment horizontal="right"/>
      <protection/>
    </xf>
    <xf numFmtId="0" fontId="17" fillId="12" borderId="35" xfId="0" applyFont="1" applyFill="1" applyBorder="1" applyAlignment="1">
      <alignment/>
    </xf>
    <xf numFmtId="0" fontId="17" fillId="12" borderId="36" xfId="0" applyFont="1" applyFill="1" applyBorder="1" applyAlignment="1">
      <alignment/>
    </xf>
    <xf numFmtId="0" fontId="17" fillId="11" borderId="44" xfId="24" applyFont="1" applyFill="1" applyBorder="1" applyAlignment="1">
      <alignment horizontal="right"/>
      <protection/>
    </xf>
    <xf numFmtId="0" fontId="17" fillId="11" borderId="45" xfId="24" applyFont="1" applyFill="1" applyBorder="1" applyAlignment="1">
      <alignment horizontal="right"/>
      <protection/>
    </xf>
    <xf numFmtId="168" fontId="0" fillId="0" borderId="46" xfId="0" applyNumberFormat="1" applyBorder="1" applyAlignment="1">
      <alignment/>
    </xf>
    <xf numFmtId="0" fontId="17" fillId="11" borderId="45" xfId="0" applyFont="1" applyFill="1" applyBorder="1" applyAlignment="1">
      <alignment horizontal="right"/>
    </xf>
    <xf numFmtId="0" fontId="17" fillId="11" borderId="43" xfId="0" applyFont="1" applyFill="1" applyBorder="1" applyAlignment="1">
      <alignment horizontal="right"/>
    </xf>
    <xf numFmtId="168" fontId="0" fillId="0" borderId="47" xfId="0" applyNumberFormat="1" applyBorder="1" applyAlignment="1">
      <alignment/>
    </xf>
    <xf numFmtId="0" fontId="17" fillId="11" borderId="21" xfId="0" applyFont="1" applyFill="1" applyBorder="1" applyAlignment="1">
      <alignment horizontal="right"/>
    </xf>
    <xf numFmtId="0" fontId="17" fillId="11" borderId="32" xfId="0" applyFont="1" applyFill="1" applyBorder="1" applyAlignment="1">
      <alignment horizontal="right"/>
    </xf>
    <xf numFmtId="9" fontId="17" fillId="11" borderId="31" xfId="30" applyFont="1" applyFill="1" applyBorder="1" applyAlignment="1">
      <alignment/>
    </xf>
    <xf numFmtId="0" fontId="17" fillId="11" borderId="21" xfId="24" applyFont="1" applyFill="1" applyBorder="1" applyAlignment="1">
      <alignment horizontal="right"/>
      <protection/>
    </xf>
    <xf numFmtId="169" fontId="0" fillId="15" borderId="3" xfId="0" applyNumberFormat="1" applyFont="1" applyFill="1" applyBorder="1" applyAlignment="1">
      <alignment/>
    </xf>
    <xf numFmtId="1" fontId="0" fillId="0" borderId="21" xfId="0" applyNumberFormat="1" applyFont="1" applyBorder="1" applyAlignment="1">
      <alignment/>
    </xf>
    <xf numFmtId="0" fontId="0" fillId="0" borderId="31" xfId="0" applyFont="1" applyBorder="1" applyAlignment="1">
      <alignment/>
    </xf>
    <xf numFmtId="0" fontId="0" fillId="0" borderId="35" xfId="0" applyBorder="1" applyAlignment="1">
      <alignment/>
    </xf>
    <xf numFmtId="0" fontId="0" fillId="0" borderId="22" xfId="0" applyBorder="1" applyAlignment="1">
      <alignment/>
    </xf>
    <xf numFmtId="0" fontId="0" fillId="0" borderId="22" xfId="0" applyFont="1" applyBorder="1" applyAlignment="1">
      <alignment/>
    </xf>
    <xf numFmtId="0" fontId="0" fillId="0" borderId="36" xfId="0" applyFont="1" applyBorder="1" applyAlignment="1">
      <alignment/>
    </xf>
    <xf numFmtId="168" fontId="0" fillId="0" borderId="30" xfId="17" applyNumberFormat="1" applyFont="1" applyBorder="1" applyAlignment="1">
      <alignment/>
    </xf>
    <xf numFmtId="0" fontId="0" fillId="0" borderId="37" xfId="0" applyFont="1" applyBorder="1" applyAlignment="1">
      <alignment/>
    </xf>
    <xf numFmtId="168" fontId="0" fillId="0" borderId="21" xfId="17" applyNumberFormat="1" applyFont="1" applyBorder="1" applyAlignment="1">
      <alignment/>
    </xf>
    <xf numFmtId="1" fontId="17" fillId="18" borderId="16" xfId="29" applyNumberFormat="1" applyFont="1" applyFill="1" applyBorder="1" applyAlignment="1">
      <alignment horizontal="left" wrapText="1"/>
      <protection/>
    </xf>
    <xf numFmtId="168" fontId="17" fillId="18" borderId="23" xfId="17" applyNumberFormat="1" applyFont="1" applyFill="1" applyBorder="1" applyAlignment="1">
      <alignment horizontal="centerContinuous"/>
    </xf>
    <xf numFmtId="44" fontId="17" fillId="18" borderId="24" xfId="17" applyNumberFormat="1" applyFont="1" applyFill="1" applyBorder="1" applyAlignment="1">
      <alignment horizontal="centerContinuous"/>
    </xf>
    <xf numFmtId="1" fontId="17" fillId="12" borderId="35" xfId="29" applyNumberFormat="1" applyFont="1" applyFill="1" applyBorder="1" applyAlignment="1">
      <alignment horizontal="left" wrapText="1"/>
      <protection/>
    </xf>
    <xf numFmtId="1" fontId="17" fillId="12" borderId="48" xfId="29" applyNumberFormat="1" applyFont="1" applyFill="1" applyBorder="1" applyAlignment="1" quotePrefix="1">
      <alignment horizontal="left" wrapText="1"/>
      <protection/>
    </xf>
    <xf numFmtId="0" fontId="17" fillId="12" borderId="49" xfId="0" applyFont="1" applyFill="1" applyBorder="1" applyAlignment="1">
      <alignment/>
    </xf>
    <xf numFmtId="1" fontId="17" fillId="12" borderId="50" xfId="0" applyNumberFormat="1" applyFont="1" applyFill="1" applyBorder="1" applyAlignment="1">
      <alignment/>
    </xf>
    <xf numFmtId="0" fontId="17" fillId="12" borderId="50" xfId="0" applyFont="1" applyFill="1" applyBorder="1" applyAlignment="1">
      <alignment/>
    </xf>
    <xf numFmtId="1" fontId="17" fillId="11" borderId="51" xfId="0" applyNumberFormat="1" applyFont="1" applyFill="1" applyBorder="1" applyAlignment="1">
      <alignment/>
    </xf>
    <xf numFmtId="43" fontId="17" fillId="11" borderId="34" xfId="15" applyNumberFormat="1" applyFont="1" applyFill="1" applyBorder="1" applyAlignment="1">
      <alignment horizontal="left"/>
    </xf>
    <xf numFmtId="0" fontId="0" fillId="16" borderId="3" xfId="26" applyFont="1" applyFill="1" applyBorder="1" applyAlignment="1" applyProtection="1" quotePrefix="1">
      <alignment horizontal="left"/>
      <protection/>
    </xf>
    <xf numFmtId="166" fontId="0" fillId="16" borderId="3" xfId="26" applyNumberFormat="1" applyFont="1" applyFill="1" applyBorder="1" applyAlignment="1" applyProtection="1" quotePrefix="1">
      <alignment horizontal="left"/>
      <protection/>
    </xf>
    <xf numFmtId="44" fontId="0" fillId="16" borderId="3" xfId="17" applyFont="1" applyFill="1" applyBorder="1" applyAlignment="1">
      <alignment/>
    </xf>
    <xf numFmtId="177" fontId="0" fillId="16" borderId="3" xfId="26" applyNumberFormat="1" applyFont="1" applyFill="1" applyBorder="1" applyAlignment="1" applyProtection="1">
      <alignment horizontal="center"/>
      <protection/>
    </xf>
    <xf numFmtId="1" fontId="0" fillId="16" borderId="3" xfId="26" applyNumberFormat="1" applyFont="1" applyFill="1" applyBorder="1">
      <alignment/>
      <protection/>
    </xf>
    <xf numFmtId="168" fontId="0" fillId="16" borderId="3" xfId="17" applyNumberFormat="1" applyFont="1" applyFill="1" applyBorder="1" applyAlignment="1">
      <alignment/>
    </xf>
    <xf numFmtId="178" fontId="0" fillId="16" borderId="3" xfId="26" applyNumberFormat="1" applyFont="1" applyFill="1" applyBorder="1" applyAlignment="1" applyProtection="1">
      <alignment horizontal="center"/>
      <protection/>
    </xf>
    <xf numFmtId="0" fontId="0" fillId="16" borderId="13" xfId="26" applyFont="1" applyFill="1" applyBorder="1" applyAlignment="1">
      <alignment horizontal="left"/>
      <protection/>
    </xf>
    <xf numFmtId="1" fontId="17" fillId="0" borderId="3" xfId="26" applyNumberFormat="1" applyFont="1" applyBorder="1">
      <alignment/>
      <protection/>
    </xf>
    <xf numFmtId="165" fontId="17" fillId="0" borderId="3" xfId="26" applyNumberFormat="1" applyFont="1" applyBorder="1">
      <alignment/>
      <protection/>
    </xf>
    <xf numFmtId="9" fontId="17" fillId="0" borderId="3" xfId="30" applyFont="1" applyBorder="1" applyAlignment="1">
      <alignment/>
    </xf>
    <xf numFmtId="1" fontId="0" fillId="0" borderId="3" xfId="25" applyNumberFormat="1" applyFont="1" applyBorder="1">
      <alignment/>
      <protection/>
    </xf>
    <xf numFmtId="0" fontId="17" fillId="0" borderId="3" xfId="26" applyFont="1" applyBorder="1" applyAlignment="1">
      <alignment horizontal="right"/>
      <protection/>
    </xf>
    <xf numFmtId="0" fontId="17" fillId="11" borderId="3" xfId="26" applyFont="1" applyFill="1" applyBorder="1" applyAlignment="1">
      <alignment horizontal="left" wrapText="1"/>
      <protection/>
    </xf>
    <xf numFmtId="0" fontId="17" fillId="11" borderId="3" xfId="25" applyFont="1" applyFill="1" applyBorder="1" applyAlignment="1">
      <alignment horizontal="left" wrapText="1"/>
      <protection/>
    </xf>
    <xf numFmtId="9" fontId="17" fillId="11" borderId="4" xfId="30" applyFont="1" applyFill="1" applyBorder="1" applyAlignment="1">
      <alignment/>
    </xf>
    <xf numFmtId="9" fontId="17" fillId="11" borderId="34" xfId="30" applyFont="1" applyFill="1" applyBorder="1" applyAlignment="1">
      <alignment/>
    </xf>
    <xf numFmtId="1" fontId="17" fillId="3" borderId="3" xfId="30" applyNumberFormat="1" applyFont="1" applyFill="1" applyBorder="1" applyAlignment="1">
      <alignment/>
    </xf>
    <xf numFmtId="9" fontId="17" fillId="3" borderId="3" xfId="30" applyFont="1" applyFill="1" applyBorder="1" applyAlignment="1">
      <alignment/>
    </xf>
    <xf numFmtId="0" fontId="17" fillId="3" borderId="3" xfId="0" applyFont="1" applyFill="1" applyBorder="1" applyAlignment="1">
      <alignment/>
    </xf>
    <xf numFmtId="0" fontId="17" fillId="11" borderId="30" xfId="24" applyFont="1" applyFill="1" applyBorder="1" applyAlignment="1">
      <alignment horizontal="left"/>
      <protection/>
    </xf>
    <xf numFmtId="9" fontId="17" fillId="11" borderId="9" xfId="30" applyFont="1" applyFill="1" applyBorder="1" applyAlignment="1">
      <alignment/>
    </xf>
    <xf numFmtId="9" fontId="17" fillId="11" borderId="37" xfId="30" applyFont="1" applyFill="1" applyBorder="1" applyAlignment="1">
      <alignment/>
    </xf>
    <xf numFmtId="0" fontId="17" fillId="12" borderId="26" xfId="26" applyFont="1" applyFill="1" applyBorder="1">
      <alignment/>
      <protection/>
    </xf>
    <xf numFmtId="0" fontId="17" fillId="12" borderId="27" xfId="26" applyFont="1" applyFill="1" applyBorder="1">
      <alignment/>
      <protection/>
    </xf>
    <xf numFmtId="0" fontId="0" fillId="12" borderId="28" xfId="0" applyFont="1" applyFill="1" applyBorder="1" applyAlignment="1">
      <alignment/>
    </xf>
    <xf numFmtId="0" fontId="17" fillId="12" borderId="35" xfId="26" applyFont="1" applyFill="1" applyBorder="1">
      <alignment/>
      <protection/>
    </xf>
    <xf numFmtId="9" fontId="17" fillId="12" borderId="22" xfId="30" applyFont="1" applyFill="1" applyBorder="1" applyAlignment="1">
      <alignment/>
    </xf>
    <xf numFmtId="9" fontId="17" fillId="12" borderId="36" xfId="30" applyFont="1" applyFill="1" applyBorder="1" applyAlignment="1">
      <alignment/>
    </xf>
    <xf numFmtId="9" fontId="17" fillId="19" borderId="52" xfId="0" applyNumberFormat="1" applyFont="1" applyFill="1" applyBorder="1" applyAlignment="1">
      <alignment/>
    </xf>
    <xf numFmtId="1" fontId="17" fillId="19" borderId="47" xfId="0" applyNumberFormat="1" applyFont="1" applyFill="1" applyBorder="1" applyAlignment="1">
      <alignment/>
    </xf>
    <xf numFmtId="9" fontId="17" fillId="3" borderId="13" xfId="30" applyNumberFormat="1" applyFont="1" applyFill="1" applyBorder="1" applyAlignment="1">
      <alignment/>
    </xf>
    <xf numFmtId="0" fontId="17" fillId="11" borderId="53" xfId="0" applyFont="1" applyFill="1" applyBorder="1" applyAlignment="1">
      <alignment horizontal="right"/>
    </xf>
    <xf numFmtId="0" fontId="17" fillId="13" borderId="16" xfId="0" applyFont="1" applyFill="1" applyBorder="1" applyAlignment="1">
      <alignment horizontal="right"/>
    </xf>
    <xf numFmtId="169" fontId="0" fillId="13" borderId="23" xfId="0" applyNumberFormat="1" applyFont="1" applyFill="1" applyBorder="1" applyAlignment="1">
      <alignment/>
    </xf>
    <xf numFmtId="165" fontId="0" fillId="13" borderId="23" xfId="0" applyNumberFormat="1" applyFont="1" applyFill="1" applyBorder="1" applyAlignment="1">
      <alignment/>
    </xf>
    <xf numFmtId="168" fontId="0" fillId="13" borderId="24" xfId="0" applyNumberFormat="1" applyFill="1" applyBorder="1" applyAlignment="1">
      <alignment/>
    </xf>
    <xf numFmtId="168" fontId="0" fillId="0" borderId="22" xfId="17" applyNumberFormat="1" applyFont="1" applyBorder="1" applyAlignment="1">
      <alignment/>
    </xf>
    <xf numFmtId="1" fontId="0" fillId="0" borderId="22" xfId="0" applyNumberFormat="1" applyFont="1" applyBorder="1" applyAlignment="1">
      <alignment/>
    </xf>
    <xf numFmtId="1" fontId="0" fillId="0" borderId="30" xfId="0" applyNumberFormat="1" applyFont="1" applyBorder="1" applyAlignment="1">
      <alignment/>
    </xf>
    <xf numFmtId="1" fontId="0" fillId="0" borderId="9" xfId="0" applyNumberFormat="1" applyFont="1" applyBorder="1" applyAlignment="1">
      <alignment/>
    </xf>
    <xf numFmtId="169" fontId="0" fillId="0" borderId="3" xfId="0" applyNumberFormat="1" applyFont="1" applyFill="1" applyBorder="1" applyAlignment="1">
      <alignment/>
    </xf>
    <xf numFmtId="165" fontId="0" fillId="0" borderId="3" xfId="0" applyNumberFormat="1" applyFont="1" applyFill="1" applyBorder="1" applyAlignment="1">
      <alignment/>
    </xf>
    <xf numFmtId="169" fontId="0" fillId="0" borderId="4" xfId="0" applyNumberFormat="1" applyFont="1" applyFill="1" applyBorder="1" applyAlignment="1">
      <alignment/>
    </xf>
    <xf numFmtId="165" fontId="0" fillId="0" borderId="4" xfId="0" applyNumberFormat="1" applyFont="1" applyFill="1" applyBorder="1" applyAlignment="1">
      <alignment/>
    </xf>
    <xf numFmtId="180" fontId="0" fillId="15" borderId="3" xfId="0" applyNumberFormat="1" applyFont="1" applyFill="1" applyBorder="1" applyAlignment="1">
      <alignment/>
    </xf>
    <xf numFmtId="180" fontId="0" fillId="0" borderId="3" xfId="0" applyNumberFormat="1" applyFont="1" applyBorder="1" applyAlignment="1">
      <alignment/>
    </xf>
    <xf numFmtId="0" fontId="17" fillId="11" borderId="54" xfId="24" applyFont="1" applyFill="1" applyBorder="1" applyAlignment="1">
      <alignment horizontal="right"/>
      <protection/>
    </xf>
    <xf numFmtId="169" fontId="0" fillId="15" borderId="9" xfId="0" applyNumberFormat="1" applyFont="1" applyFill="1" applyBorder="1" applyAlignment="1">
      <alignment/>
    </xf>
    <xf numFmtId="180" fontId="0" fillId="15" borderId="9" xfId="0" applyNumberFormat="1" applyFont="1" applyFill="1" applyBorder="1" applyAlignment="1">
      <alignment/>
    </xf>
    <xf numFmtId="169" fontId="0" fillId="0" borderId="9" xfId="0" applyNumberFormat="1" applyFont="1" applyBorder="1" applyAlignment="1">
      <alignment/>
    </xf>
    <xf numFmtId="180" fontId="0" fillId="0" borderId="9" xfId="0" applyNumberFormat="1" applyFont="1" applyBorder="1" applyAlignment="1">
      <alignment/>
    </xf>
    <xf numFmtId="168" fontId="0" fillId="0" borderId="55" xfId="0" applyNumberFormat="1" applyBorder="1" applyAlignment="1">
      <alignment/>
    </xf>
    <xf numFmtId="0" fontId="0" fillId="12" borderId="56" xfId="0" applyFont="1" applyFill="1" applyBorder="1" applyAlignment="1">
      <alignment/>
    </xf>
    <xf numFmtId="0" fontId="0" fillId="12" borderId="5" xfId="29" applyFont="1" applyFill="1" applyBorder="1">
      <alignment/>
      <protection/>
    </xf>
    <xf numFmtId="166" fontId="0" fillId="3" borderId="3" xfId="0" applyNumberFormat="1" applyFont="1" applyFill="1" applyBorder="1" applyAlignment="1">
      <alignment/>
    </xf>
    <xf numFmtId="165" fontId="0" fillId="3" borderId="3" xfId="0" applyNumberFormat="1" applyFont="1" applyFill="1" applyBorder="1" applyAlignment="1">
      <alignment/>
    </xf>
    <xf numFmtId="0" fontId="0" fillId="3" borderId="12" xfId="0" applyFont="1" applyFill="1" applyBorder="1" applyAlignment="1">
      <alignment/>
    </xf>
    <xf numFmtId="0" fontId="0" fillId="3" borderId="10" xfId="0" applyFont="1" applyFill="1" applyBorder="1" applyAlignment="1">
      <alignment/>
    </xf>
    <xf numFmtId="0" fontId="0" fillId="3" borderId="11" xfId="0" applyFont="1" applyFill="1" applyBorder="1" applyAlignment="1">
      <alignment/>
    </xf>
    <xf numFmtId="0" fontId="0" fillId="12" borderId="30" xfId="29" applyFont="1" applyFill="1" applyBorder="1">
      <alignment/>
      <protection/>
    </xf>
    <xf numFmtId="1" fontId="0" fillId="13" borderId="9" xfId="29" applyNumberFormat="1" applyFont="1" applyFill="1" applyBorder="1">
      <alignment/>
      <protection/>
    </xf>
    <xf numFmtId="0" fontId="0" fillId="12" borderId="9" xfId="29" applyFont="1" applyFill="1" applyBorder="1">
      <alignment/>
      <protection/>
    </xf>
    <xf numFmtId="1" fontId="12" fillId="13" borderId="9" xfId="0" applyNumberFormat="1" applyFont="1" applyFill="1" applyBorder="1" applyAlignment="1">
      <alignment/>
    </xf>
    <xf numFmtId="0" fontId="0" fillId="12" borderId="8" xfId="29" applyFont="1" applyFill="1" applyBorder="1">
      <alignment/>
      <protection/>
    </xf>
    <xf numFmtId="166" fontId="0" fillId="3" borderId="9" xfId="0" applyNumberFormat="1" applyFont="1" applyFill="1" applyBorder="1" applyAlignment="1">
      <alignment/>
    </xf>
    <xf numFmtId="165" fontId="0" fillId="3" borderId="9" xfId="0" applyNumberFormat="1" applyFont="1" applyFill="1" applyBorder="1" applyAlignment="1">
      <alignment/>
    </xf>
    <xf numFmtId="0" fontId="17" fillId="17" borderId="16" xfId="29" applyFont="1" applyFill="1" applyBorder="1" applyAlignment="1">
      <alignment horizontal="center"/>
      <protection/>
    </xf>
    <xf numFmtId="0" fontId="17" fillId="17" borderId="23" xfId="29" applyFont="1" applyFill="1" applyBorder="1" applyAlignment="1">
      <alignment horizontal="center"/>
      <protection/>
    </xf>
    <xf numFmtId="1" fontId="17" fillId="17" borderId="24" xfId="29" applyNumberFormat="1" applyFont="1" applyFill="1" applyBorder="1" applyAlignment="1" quotePrefix="1">
      <alignment horizontal="left" wrapText="1"/>
      <protection/>
    </xf>
    <xf numFmtId="1" fontId="17" fillId="17" borderId="12" xfId="29" applyNumberFormat="1" applyFont="1" applyFill="1" applyBorder="1" applyAlignment="1" quotePrefix="1">
      <alignment horizontal="center" wrapText="1"/>
      <protection/>
    </xf>
    <xf numFmtId="1" fontId="17" fillId="17" borderId="10" xfId="29" applyNumberFormat="1" applyFont="1" applyFill="1" applyBorder="1" applyAlignment="1" quotePrefix="1">
      <alignment horizontal="center" wrapText="1"/>
      <protection/>
    </xf>
    <xf numFmtId="1" fontId="17" fillId="17" borderId="11" xfId="29" applyNumberFormat="1" applyFont="1" applyFill="1" applyBorder="1" applyAlignment="1" quotePrefix="1">
      <alignment horizontal="center" wrapText="1"/>
      <protection/>
    </xf>
    <xf numFmtId="168" fontId="0" fillId="0" borderId="31" xfId="0" applyNumberFormat="1" applyFill="1" applyBorder="1" applyAlignment="1">
      <alignment/>
    </xf>
    <xf numFmtId="168" fontId="0" fillId="0" borderId="34" xfId="0" applyNumberFormat="1" applyFill="1" applyBorder="1" applyAlignment="1">
      <alignment/>
    </xf>
    <xf numFmtId="0" fontId="0" fillId="0" borderId="3" xfId="0" applyFill="1" applyBorder="1" applyAlignment="1">
      <alignment/>
    </xf>
    <xf numFmtId="166" fontId="0" fillId="0" borderId="3" xfId="0" applyNumberFormat="1" applyFill="1" applyBorder="1" applyAlignment="1">
      <alignment/>
    </xf>
    <xf numFmtId="2" fontId="0" fillId="0" borderId="3" xfId="0" applyNumberFormat="1" applyFill="1" applyBorder="1" applyAlignment="1">
      <alignment horizontal="right"/>
    </xf>
    <xf numFmtId="169" fontId="0" fillId="0" borderId="3" xfId="15" applyNumberFormat="1" applyFill="1" applyBorder="1" applyAlignment="1">
      <alignment/>
    </xf>
    <xf numFmtId="1" fontId="0" fillId="0" borderId="3" xfId="0" applyNumberFormat="1" applyFill="1" applyBorder="1" applyAlignment="1">
      <alignment/>
    </xf>
    <xf numFmtId="0" fontId="0" fillId="11" borderId="3" xfId="0" applyFill="1" applyBorder="1" applyAlignment="1">
      <alignment/>
    </xf>
    <xf numFmtId="0" fontId="0" fillId="11" borderId="5" xfId="0" applyFill="1" applyBorder="1" applyAlignment="1">
      <alignment/>
    </xf>
    <xf numFmtId="0" fontId="0" fillId="11" borderId="26" xfId="0" applyFill="1" applyBorder="1" applyAlignment="1">
      <alignment/>
    </xf>
    <xf numFmtId="0" fontId="0" fillId="11" borderId="27" xfId="0" applyFill="1" applyBorder="1" applyAlignment="1">
      <alignment/>
    </xf>
    <xf numFmtId="0" fontId="0" fillId="11" borderId="28" xfId="0" applyFill="1" applyBorder="1" applyAlignment="1">
      <alignment/>
    </xf>
    <xf numFmtId="1" fontId="0" fillId="0" borderId="21" xfId="0" applyNumberFormat="1" applyFill="1" applyBorder="1" applyAlignment="1">
      <alignment/>
    </xf>
    <xf numFmtId="1" fontId="0" fillId="0" borderId="31" xfId="0" applyNumberFormat="1" applyFill="1" applyBorder="1" applyAlignment="1">
      <alignment/>
    </xf>
    <xf numFmtId="166" fontId="0" fillId="0" borderId="21" xfId="0" applyNumberFormat="1" applyFill="1" applyBorder="1" applyAlignment="1">
      <alignment/>
    </xf>
    <xf numFmtId="166" fontId="0" fillId="0" borderId="31" xfId="0" applyNumberFormat="1" applyFill="1" applyBorder="1" applyAlignment="1">
      <alignment/>
    </xf>
    <xf numFmtId="1" fontId="17" fillId="0" borderId="21" xfId="0" applyNumberFormat="1" applyFont="1" applyFill="1" applyBorder="1" applyAlignment="1">
      <alignment/>
    </xf>
    <xf numFmtId="1" fontId="17" fillId="0" borderId="3" xfId="0" applyNumberFormat="1" applyFont="1" applyFill="1" applyBorder="1" applyAlignment="1">
      <alignment/>
    </xf>
    <xf numFmtId="1" fontId="17" fillId="0" borderId="31" xfId="0" applyNumberFormat="1" applyFont="1" applyFill="1" applyBorder="1" applyAlignment="1">
      <alignment/>
    </xf>
    <xf numFmtId="2" fontId="0" fillId="0" borderId="32" xfId="0" applyNumberFormat="1" applyFill="1" applyBorder="1" applyAlignment="1">
      <alignment horizontal="right"/>
    </xf>
    <xf numFmtId="2" fontId="0" fillId="0" borderId="4" xfId="0" applyNumberFormat="1" applyFill="1" applyBorder="1" applyAlignment="1">
      <alignment horizontal="right"/>
    </xf>
    <xf numFmtId="2" fontId="0" fillId="0" borderId="34" xfId="0" applyNumberFormat="1" applyFill="1" applyBorder="1" applyAlignment="1">
      <alignment horizontal="right"/>
    </xf>
    <xf numFmtId="169" fontId="0" fillId="12" borderId="16" xfId="15" applyNumberFormat="1" applyFill="1" applyBorder="1" applyAlignment="1">
      <alignment/>
    </xf>
    <xf numFmtId="169" fontId="0" fillId="12" borderId="23" xfId="15" applyNumberFormat="1" applyFill="1" applyBorder="1" applyAlignment="1">
      <alignment/>
    </xf>
    <xf numFmtId="169" fontId="0" fillId="12" borderId="24" xfId="15" applyNumberFormat="1" applyFill="1" applyBorder="1" applyAlignment="1">
      <alignment/>
    </xf>
    <xf numFmtId="180" fontId="0" fillId="0" borderId="3" xfId="15" applyNumberFormat="1" applyBorder="1" applyAlignment="1">
      <alignment/>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57"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11" borderId="3" xfId="0" applyFont="1" applyFill="1" applyBorder="1" applyAlignment="1">
      <alignment horizontal="center"/>
    </xf>
    <xf numFmtId="0" fontId="0" fillId="12" borderId="57" xfId="0" applyFont="1" applyFill="1" applyBorder="1" applyAlignment="1">
      <alignment horizontal="center"/>
    </xf>
    <xf numFmtId="0" fontId="0" fillId="12" borderId="11" xfId="0" applyFont="1" applyFill="1" applyBorder="1" applyAlignment="1">
      <alignment horizontal="center"/>
    </xf>
    <xf numFmtId="0" fontId="0" fillId="12" borderId="12" xfId="0" applyFont="1" applyFill="1" applyBorder="1" applyAlignment="1">
      <alignment horizontal="center"/>
    </xf>
    <xf numFmtId="0" fontId="0" fillId="12" borderId="17" xfId="0" applyFont="1" applyFill="1" applyBorder="1" applyAlignment="1">
      <alignment horizontal="center"/>
    </xf>
    <xf numFmtId="0" fontId="0" fillId="12" borderId="10" xfId="0" applyFont="1" applyFill="1" applyBorder="1" applyAlignment="1">
      <alignment horizontal="center"/>
    </xf>
    <xf numFmtId="0" fontId="17" fillId="12" borderId="26" xfId="0" applyFont="1" applyFill="1" applyBorder="1" applyAlignment="1">
      <alignment/>
    </xf>
    <xf numFmtId="0" fontId="17" fillId="12" borderId="28" xfId="0" applyFont="1" applyFill="1" applyBorder="1" applyAlignment="1">
      <alignment/>
    </xf>
    <xf numFmtId="0" fontId="17" fillId="12" borderId="55" xfId="0" applyFont="1" applyFill="1" applyBorder="1" applyAlignment="1">
      <alignment horizontal="center" wrapText="1"/>
    </xf>
    <xf numFmtId="0" fontId="17" fillId="12" borderId="47" xfId="0" applyFont="1" applyFill="1" applyBorder="1" applyAlignment="1">
      <alignment horizontal="center" wrapText="1"/>
    </xf>
    <xf numFmtId="0" fontId="17" fillId="11" borderId="58" xfId="0" applyFont="1" applyFill="1" applyBorder="1" applyAlignment="1">
      <alignment horizontal="center"/>
    </xf>
    <xf numFmtId="0" fontId="17" fillId="11" borderId="59" xfId="0" applyFont="1" applyFill="1" applyBorder="1" applyAlignment="1">
      <alignment horizontal="center"/>
    </xf>
    <xf numFmtId="0" fontId="17" fillId="12" borderId="44" xfId="0" applyFont="1" applyFill="1" applyBorder="1" applyAlignment="1">
      <alignment horizontal="center"/>
    </xf>
    <xf numFmtId="0" fontId="17" fillId="12" borderId="52" xfId="0" applyFont="1" applyFill="1" applyBorder="1" applyAlignment="1">
      <alignment horizontal="center"/>
    </xf>
    <xf numFmtId="169" fontId="17" fillId="17" borderId="12" xfId="15" applyNumberFormat="1" applyFont="1" applyFill="1" applyBorder="1" applyAlignment="1">
      <alignment horizontal="center"/>
    </xf>
    <xf numFmtId="169" fontId="17" fillId="17" borderId="11" xfId="15" applyNumberFormat="1" applyFont="1" applyFill="1" applyBorder="1" applyAlignment="1">
      <alignment horizontal="center"/>
    </xf>
    <xf numFmtId="169" fontId="17" fillId="17" borderId="58" xfId="15" applyNumberFormat="1" applyFont="1" applyFill="1" applyBorder="1" applyAlignment="1">
      <alignment horizontal="center"/>
    </xf>
    <xf numFmtId="169" fontId="17" fillId="17" borderId="60" xfId="15" applyNumberFormat="1" applyFont="1" applyFill="1" applyBorder="1" applyAlignment="1">
      <alignment horizontal="center"/>
    </xf>
    <xf numFmtId="1" fontId="17" fillId="16" borderId="12" xfId="29" applyNumberFormat="1" applyFont="1" applyFill="1" applyBorder="1" applyAlignment="1">
      <alignment horizontal="center" wrapText="1"/>
      <protection/>
    </xf>
    <xf numFmtId="1" fontId="17" fillId="16" borderId="10" xfId="29" applyNumberFormat="1" applyFont="1" applyFill="1" applyBorder="1" applyAlignment="1" quotePrefix="1">
      <alignment horizontal="center" wrapText="1"/>
      <protection/>
    </xf>
    <xf numFmtId="1" fontId="17" fillId="16" borderId="11" xfId="29" applyNumberFormat="1" applyFont="1" applyFill="1" applyBorder="1" applyAlignment="1" quotePrefix="1">
      <alignment horizontal="center" wrapText="1"/>
      <protection/>
    </xf>
    <xf numFmtId="0" fontId="17" fillId="12" borderId="12" xfId="0" applyFont="1" applyFill="1" applyBorder="1" applyAlignment="1">
      <alignment horizontal="center"/>
    </xf>
    <xf numFmtId="0" fontId="17" fillId="12" borderId="10" xfId="0" applyFont="1" applyFill="1" applyBorder="1" applyAlignment="1">
      <alignment horizontal="center"/>
    </xf>
    <xf numFmtId="0" fontId="17" fillId="12" borderId="11" xfId="0" applyFont="1" applyFill="1" applyBorder="1" applyAlignment="1">
      <alignment horizontal="center"/>
    </xf>
    <xf numFmtId="0" fontId="0" fillId="12" borderId="56" xfId="0" applyFont="1" applyFill="1" applyBorder="1" applyAlignment="1">
      <alignment horizontal="center"/>
    </xf>
    <xf numFmtId="0" fontId="0" fillId="12" borderId="14" xfId="0" applyFont="1" applyFill="1" applyBorder="1" applyAlignment="1">
      <alignment horizontal="center"/>
    </xf>
    <xf numFmtId="0" fontId="0" fillId="12" borderId="15" xfId="0" applyFont="1" applyFill="1" applyBorder="1" applyAlignment="1">
      <alignment horizontal="center"/>
    </xf>
    <xf numFmtId="0" fontId="17" fillId="12" borderId="52" xfId="0" applyFont="1" applyFill="1" applyBorder="1" applyAlignment="1">
      <alignment horizontal="center" wrapText="1"/>
    </xf>
    <xf numFmtId="0" fontId="28" fillId="0" borderId="12" xfId="27" applyFont="1" applyBorder="1" applyAlignment="1">
      <alignment wrapText="1"/>
      <protection/>
    </xf>
    <xf numFmtId="0" fontId="28" fillId="0" borderId="10" xfId="27" applyFont="1" applyBorder="1" applyAlignment="1">
      <alignment wrapText="1"/>
      <protection/>
    </xf>
    <xf numFmtId="0" fontId="28" fillId="0" borderId="11" xfId="27" applyFont="1" applyBorder="1" applyAlignment="1">
      <alignment wrapText="1"/>
      <protection/>
    </xf>
    <xf numFmtId="0" fontId="17" fillId="0" borderId="12" xfId="0" applyNumberFormat="1" applyFont="1" applyFill="1" applyBorder="1" applyAlignment="1" applyProtection="1">
      <alignment horizontal="center"/>
      <protection/>
    </xf>
    <xf numFmtId="0" fontId="17" fillId="0" borderId="1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cellXfs>
  <cellStyles count="17">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ConMeasMultiFamily (2)" xfId="23"/>
    <cellStyle name="Normal_ConMeasSingleFamily" xfId="24"/>
    <cellStyle name="Normal_New Mobile Home" xfId="25"/>
    <cellStyle name="Normal_New Single Family" xfId="26"/>
    <cellStyle name="Normal_SFMEACST" xfId="27"/>
    <cellStyle name="Normal_SGCSubMeterDAT" xfId="28"/>
    <cellStyle name="Normal_T_Energy Use and Savings"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3.emf" /><Relationship Id="rId5" Type="http://schemas.openxmlformats.org/officeDocument/2006/relationships/image" Target="../media/image9.emf" /><Relationship Id="rId6" Type="http://schemas.openxmlformats.org/officeDocument/2006/relationships/image" Target="../media/image5.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10.emf" /><Relationship Id="rId10" Type="http://schemas.openxmlformats.org/officeDocument/2006/relationships/image" Target="../media/image2.emf" /><Relationship Id="rId11" Type="http://schemas.openxmlformats.org/officeDocument/2006/relationships/image" Target="../media/image7.emf" /><Relationship Id="rId12" Type="http://schemas.openxmlformats.org/officeDocument/2006/relationships/image" Target="../media/image14.emf" /><Relationship Id="rId13" Type="http://schemas.openxmlformats.org/officeDocument/2006/relationships/image" Target="../media/image15.emf" /><Relationship Id="rId14" Type="http://schemas.openxmlformats.org/officeDocument/2006/relationships/image" Target="../media/image8.emf" /><Relationship Id="rId15"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7"/>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1"/>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2"/>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3"/>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4"/>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5"/>
        <a:stretch>
          <a:fillRect/>
        </a:stretch>
      </xdr:blipFill>
      <xdr:spPr>
        <a:xfrm>
          <a:off x="6915150" y="1152525"/>
          <a:ext cx="5619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M9"/>
  <sheetViews>
    <sheetView tabSelected="1" workbookViewId="0" topLeftCell="A1">
      <selection activeCell="A1" sqref="A1"/>
    </sheetView>
  </sheetViews>
  <sheetFormatPr defaultColWidth="9.140625" defaultRowHeight="12.75"/>
  <cols>
    <col min="1" max="1" width="27.57421875" style="0" customWidth="1"/>
    <col min="2" max="2" width="26.140625" style="0" customWidth="1"/>
    <col min="3" max="3" width="14.140625" style="0" customWidth="1"/>
    <col min="4" max="4" width="8.8515625" style="0" customWidth="1"/>
    <col min="5" max="5" width="10.140625" style="0" customWidth="1"/>
    <col min="6" max="6" width="10.8515625" style="0" customWidth="1"/>
    <col min="7" max="7" width="12.5742187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4.851562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87.57421875" style="0" customWidth="1"/>
    <col min="36" max="36" width="63.7109375" style="0" customWidth="1"/>
    <col min="37" max="37" width="11.28125" style="0" bestFit="1" customWidth="1"/>
  </cols>
  <sheetData>
    <row r="1" ht="13.5" thickBot="1">
      <c r="AM1" t="s">
        <v>157</v>
      </c>
    </row>
    <row r="2" spans="1:36" s="76" customFormat="1" ht="33" customHeight="1" thickBot="1">
      <c r="A2" s="521" t="s">
        <v>111</v>
      </c>
      <c r="B2" s="522"/>
      <c r="C2" s="522"/>
      <c r="D2" s="522"/>
      <c r="E2" s="522"/>
      <c r="F2" s="522"/>
      <c r="G2" s="522"/>
      <c r="H2" s="522"/>
      <c r="I2" s="522"/>
      <c r="J2" s="522"/>
      <c r="K2" s="522"/>
      <c r="L2" s="522"/>
      <c r="M2" s="522"/>
      <c r="N2" s="522"/>
      <c r="O2" s="522"/>
      <c r="P2" s="522"/>
      <c r="Q2" s="522"/>
      <c r="R2" s="522"/>
      <c r="S2" s="522"/>
      <c r="T2" s="522"/>
      <c r="U2" s="522"/>
      <c r="V2" s="522"/>
      <c r="W2" s="523"/>
      <c r="X2" s="521" t="s">
        <v>112</v>
      </c>
      <c r="Y2" s="522"/>
      <c r="Z2" s="523"/>
      <c r="AA2" s="522" t="s">
        <v>113</v>
      </c>
      <c r="AB2" s="522"/>
      <c r="AC2" s="522"/>
      <c r="AD2" s="525"/>
      <c r="AE2" s="524" t="s">
        <v>114</v>
      </c>
      <c r="AF2" s="522"/>
      <c r="AG2" s="522"/>
      <c r="AH2" s="525"/>
      <c r="AI2" s="74"/>
      <c r="AJ2" s="75"/>
    </row>
    <row r="3" spans="1:38" s="79" customFormat="1" ht="79.5" thickBot="1">
      <c r="A3" s="77" t="s">
        <v>115</v>
      </c>
      <c r="B3" s="78" t="s">
        <v>116</v>
      </c>
      <c r="C3" s="78" t="s">
        <v>117</v>
      </c>
      <c r="D3" s="78" t="s">
        <v>118</v>
      </c>
      <c r="E3" s="78" t="s">
        <v>149</v>
      </c>
      <c r="F3" s="78" t="s">
        <v>150</v>
      </c>
      <c r="G3" s="78" t="s">
        <v>151</v>
      </c>
      <c r="H3" s="78" t="s">
        <v>119</v>
      </c>
      <c r="I3" s="78" t="s">
        <v>152</v>
      </c>
      <c r="J3" s="78" t="s">
        <v>120</v>
      </c>
      <c r="K3" s="78" t="s">
        <v>121</v>
      </c>
      <c r="L3" s="78" t="s">
        <v>122</v>
      </c>
      <c r="M3" s="78" t="s">
        <v>123</v>
      </c>
      <c r="N3" s="78" t="s">
        <v>153</v>
      </c>
      <c r="O3" s="78" t="s">
        <v>124</v>
      </c>
      <c r="P3" s="78" t="s">
        <v>154</v>
      </c>
      <c r="Q3" s="78" t="s">
        <v>125</v>
      </c>
      <c r="R3" s="78" t="s">
        <v>126</v>
      </c>
      <c r="S3" s="78" t="s">
        <v>131</v>
      </c>
      <c r="T3" s="78" t="s">
        <v>132</v>
      </c>
      <c r="U3" s="78" t="s">
        <v>133</v>
      </c>
      <c r="V3" s="78" t="s">
        <v>134</v>
      </c>
      <c r="W3" s="78" t="s">
        <v>135</v>
      </c>
      <c r="X3" s="85" t="s">
        <v>136</v>
      </c>
      <c r="Y3" s="85" t="s">
        <v>137</v>
      </c>
      <c r="Z3" s="86" t="s">
        <v>138</v>
      </c>
      <c r="AA3" s="86" t="s">
        <v>139</v>
      </c>
      <c r="AB3" s="86" t="s">
        <v>140</v>
      </c>
      <c r="AC3" s="86" t="s">
        <v>141</v>
      </c>
      <c r="AD3" s="86" t="s">
        <v>142</v>
      </c>
      <c r="AE3" s="86" t="s">
        <v>143</v>
      </c>
      <c r="AF3" s="86" t="s">
        <v>144</v>
      </c>
      <c r="AG3" s="86" t="s">
        <v>145</v>
      </c>
      <c r="AH3" s="87" t="s">
        <v>135</v>
      </c>
      <c r="AI3" s="83" t="s">
        <v>146</v>
      </c>
      <c r="AJ3" s="83" t="s">
        <v>147</v>
      </c>
      <c r="AK3" s="83" t="s">
        <v>61</v>
      </c>
      <c r="AL3" s="76"/>
    </row>
    <row r="4" spans="1:38" ht="36" customHeight="1">
      <c r="A4" s="88" t="str">
        <f>LTSGC!B23</f>
        <v>Single Family Site Built Long Term SGC - Heating Zone 3</v>
      </c>
      <c r="B4" s="89" t="str">
        <f>VLOOKUP($A4,'Lookup Table'!$A$4:$D$10,2,0)</f>
        <v>Home must be certified under the Long Term Super Good Cents Program &amp; Specifications </v>
      </c>
      <c r="C4" s="89" t="str">
        <f>VLOOKUP($A4,'Lookup Table'!$A$4:$D$10,3,0)</f>
        <v>Single Family Dwellings w/Electric Heat</v>
      </c>
      <c r="D4" s="89" t="str">
        <f>VLOOKUP($A4,'Lookup Table'!$A$4:$D$10,4,0)</f>
        <v>Heating Zone 3</v>
      </c>
      <c r="E4" s="90">
        <f>LTSGC!E23</f>
        <v>487.67</v>
      </c>
      <c r="F4" s="90">
        <f>LTSGC!F23</f>
        <v>0</v>
      </c>
      <c r="G4" s="90">
        <f>LTSGC!G23</f>
        <v>0</v>
      </c>
      <c r="H4" s="91">
        <f>LTSGC!C23</f>
        <v>70</v>
      </c>
      <c r="I4" s="91" t="s">
        <v>161</v>
      </c>
      <c r="J4" s="92">
        <f>LTSGC!D23</f>
        <v>1969.0686556615983</v>
      </c>
      <c r="K4" s="92">
        <f>LTSGC!K23</f>
        <v>2119.2101406557954</v>
      </c>
      <c r="L4" s="93">
        <f>LTSGC!J23</f>
        <v>0.3659999966621399</v>
      </c>
      <c r="M4" s="94">
        <f>LTSGC!L23</f>
        <v>0.49742888025652493</v>
      </c>
      <c r="N4" s="95">
        <f>LTSGC!N23/LTSGC!K23</f>
        <v>0.23011710575725475</v>
      </c>
      <c r="O4" s="95">
        <f>LTSGC!O23/LTSGC!$K23</f>
        <v>0</v>
      </c>
      <c r="P4" s="95">
        <f>LTSGC!P23/LTSGC!$K23</f>
        <v>0</v>
      </c>
      <c r="Q4" s="95">
        <f>LTSGC!Q23/LTSGC!K23</f>
        <v>0.23011710568511165</v>
      </c>
      <c r="R4" s="96">
        <f>LTSGC!S23/LTSGC!K23</f>
        <v>0.4453691296305542</v>
      </c>
      <c r="S4" s="96">
        <f>LTSGC!T23/LTSGC!$K23</f>
        <v>0.0142489475443404</v>
      </c>
      <c r="T4" s="96">
        <f>LTSGC!U23/LTSGC!$K23</f>
        <v>0.07067464013557047</v>
      </c>
      <c r="U4" s="96">
        <f>SUM(R4:T4)</f>
        <v>0.5302927173104651</v>
      </c>
      <c r="V4" s="96">
        <f>U4-Q4</f>
        <v>0.30017561162535344</v>
      </c>
      <c r="W4" s="93">
        <f>LTSGC!X23</f>
        <v>2.301639341221795</v>
      </c>
      <c r="X4" s="93">
        <f>LTSGC!I23</f>
        <v>0.178</v>
      </c>
      <c r="Y4" s="94">
        <f>LTSGC!M23</f>
        <v>1.3590953350067139</v>
      </c>
      <c r="Z4" s="93">
        <f>LTSGC!Y23/LTSGC!K23</f>
        <v>0.25954373254873625</v>
      </c>
      <c r="AA4" s="96" t="s">
        <v>162</v>
      </c>
      <c r="AB4" s="97" t="s">
        <v>163</v>
      </c>
      <c r="AC4" s="96">
        <f>LTSGC!Z23/LTSGC!$K23</f>
        <v>0</v>
      </c>
      <c r="AD4" s="96">
        <f>LTSGC!AA23/LTSGC!$K23</f>
        <v>0</v>
      </c>
      <c r="AE4" s="96">
        <f>LTSGC!AC23/LTSGC!$K23</f>
        <v>0.23011710568511165</v>
      </c>
      <c r="AF4" s="96">
        <f>LTSGC!AB23/LTSGC!$K23</f>
        <v>0.7891902982732355</v>
      </c>
      <c r="AG4" s="96">
        <f>AF4-AE4</f>
        <v>0.5590731925881238</v>
      </c>
      <c r="AH4" s="93">
        <f>AF4/AE4</f>
        <v>3.4295160106574176</v>
      </c>
      <c r="AI4" s="84" t="s">
        <v>289</v>
      </c>
      <c r="AJ4" s="84" t="s">
        <v>164</v>
      </c>
      <c r="AK4" s="520">
        <f>VLOOKUP(A4,LTSGC!$B$23:$R$26,17,0)</f>
        <v>11.37219592406713</v>
      </c>
      <c r="AL4" s="76"/>
    </row>
    <row r="5" spans="1:37" ht="45">
      <c r="A5" s="88" t="str">
        <f>LTSGC!B24</f>
        <v>Single Family Site Built Long Term SGC - PNW Average Climate</v>
      </c>
      <c r="B5" s="89" t="str">
        <f>VLOOKUP($A5,'Lookup Table'!$A$4:$D$10,2,0)</f>
        <v>Home Must Certified under the Long Term Super Good Cents Program &amp; Specifications </v>
      </c>
      <c r="C5" s="89" t="str">
        <f>VLOOKUP($A5,'Lookup Table'!$A$4:$D$10,3,0)</f>
        <v>Single Family Dwellings w/Electric Heat</v>
      </c>
      <c r="D5" s="89" t="str">
        <f>VLOOKUP($A5,'Lookup Table'!$A$4:$D$10,4,0)</f>
        <v>PNW Average Climate</v>
      </c>
      <c r="E5" s="90">
        <f>LTSGC!E24</f>
        <v>487.67</v>
      </c>
      <c r="F5" s="90">
        <f>LTSGC!F24</f>
        <v>0</v>
      </c>
      <c r="G5" s="90">
        <f>LTSGC!G24</f>
        <v>0</v>
      </c>
      <c r="H5" s="91">
        <f>LTSGC!C24</f>
        <v>70</v>
      </c>
      <c r="I5" s="91" t="s">
        <v>161</v>
      </c>
      <c r="J5" s="92">
        <f>LTSGC!D24</f>
        <v>1969.0686556615983</v>
      </c>
      <c r="K5" s="92">
        <f>LTSGC!K24</f>
        <v>2119.2101406557954</v>
      </c>
      <c r="L5" s="93">
        <f>LTSGC!J24</f>
        <v>0.3659999966621399</v>
      </c>
      <c r="M5" s="94">
        <f>LTSGC!L24</f>
        <v>0.49742888025652493</v>
      </c>
      <c r="N5" s="95">
        <f>LTSGC!N24/LTSGC!K24</f>
        <v>0.23011710575725475</v>
      </c>
      <c r="O5" s="95">
        <f>LTSGC!O24/LTSGC!$K24</f>
        <v>0</v>
      </c>
      <c r="P5" s="95">
        <f>LTSGC!P24/LTSGC!$K24</f>
        <v>0</v>
      </c>
      <c r="Q5" s="95">
        <f>LTSGC!Q24/LTSGC!K24</f>
        <v>0.23011710568511165</v>
      </c>
      <c r="R5" s="96">
        <f>LTSGC!S24/LTSGC!K24</f>
        <v>0.4453691296305542</v>
      </c>
      <c r="S5" s="96">
        <f>LTSGC!T24/LTSGC!$K24</f>
        <v>0.0142489475443404</v>
      </c>
      <c r="T5" s="96">
        <f>LTSGC!U24/LTSGC!$K24</f>
        <v>0.07067464013557047</v>
      </c>
      <c r="U5" s="96">
        <f>SUM(R5:T5)</f>
        <v>0.5302927173104651</v>
      </c>
      <c r="V5" s="96">
        <f>U5-Q5</f>
        <v>0.30017561162535344</v>
      </c>
      <c r="W5" s="93">
        <f>LTSGC!X24</f>
        <v>2.301639341221795</v>
      </c>
      <c r="X5" s="93">
        <f>LTSGC!I24</f>
        <v>0.178</v>
      </c>
      <c r="Y5" s="94">
        <f>LTSGC!M24</f>
        <v>1.3590953350067139</v>
      </c>
      <c r="Z5" s="93">
        <f>LTSGC!Y24/LTSGC!K24</f>
        <v>0.25954373254873625</v>
      </c>
      <c r="AA5" s="96" t="s">
        <v>162</v>
      </c>
      <c r="AB5" s="97" t="s">
        <v>163</v>
      </c>
      <c r="AC5" s="96">
        <f>LTSGC!Z24/LTSGC!$K24</f>
        <v>0</v>
      </c>
      <c r="AD5" s="96">
        <f>LTSGC!AA24/LTSGC!$K24</f>
        <v>0</v>
      </c>
      <c r="AE5" s="96">
        <f>LTSGC!AC24/LTSGC!$K24</f>
        <v>0.23011710568511165</v>
      </c>
      <c r="AF5" s="96">
        <f>LTSGC!AB24/LTSGC!$K24</f>
        <v>0.7891902982732355</v>
      </c>
      <c r="AG5" s="96">
        <f>AF5-AE5</f>
        <v>0.5590731925881238</v>
      </c>
      <c r="AH5" s="93">
        <f>AF5/AE5</f>
        <v>3.4295160106574176</v>
      </c>
      <c r="AI5" s="84" t="s">
        <v>289</v>
      </c>
      <c r="AJ5" s="84" t="s">
        <v>164</v>
      </c>
      <c r="AK5" s="520">
        <f>VLOOKUP(A5,LTSGC!$B$23:$R$26,17,0)</f>
        <v>11.37219592406713</v>
      </c>
    </row>
    <row r="6" spans="1:37" ht="45">
      <c r="A6" s="88" t="str">
        <f>LTSGC!B25</f>
        <v>Single Family Site Built Long Term SGC - Heating Zone 2</v>
      </c>
      <c r="B6" s="89" t="str">
        <f>VLOOKUP($A6,'Lookup Table'!$A$4:$D$10,2,0)</f>
        <v>Home Must Certified under the Long Term Super Good Cents Program &amp; Specifications </v>
      </c>
      <c r="C6" s="89" t="str">
        <f>VLOOKUP($A6,'Lookup Table'!$A$4:$D$10,3,0)</f>
        <v>Single Family Dwellings w/Electric Heat</v>
      </c>
      <c r="D6" s="89" t="str">
        <f>VLOOKUP($A6,'Lookup Table'!$A$4:$D$10,4,0)</f>
        <v>Heating Zone 2</v>
      </c>
      <c r="E6" s="90">
        <f>LTSGC!E25</f>
        <v>487.67</v>
      </c>
      <c r="F6" s="90">
        <f>LTSGC!F25</f>
        <v>0</v>
      </c>
      <c r="G6" s="90">
        <f>LTSGC!G25</f>
        <v>0</v>
      </c>
      <c r="H6" s="91">
        <f>LTSGC!C25</f>
        <v>70</v>
      </c>
      <c r="I6" s="91" t="s">
        <v>161</v>
      </c>
      <c r="J6" s="92">
        <f>LTSGC!D25</f>
        <v>1652.8032509134791</v>
      </c>
      <c r="K6" s="92">
        <f>LTSGC!K25</f>
        <v>1778.8294987956317</v>
      </c>
      <c r="L6" s="93">
        <f>LTSGC!J25</f>
        <v>0.3659999966621399</v>
      </c>
      <c r="M6" s="94">
        <f>LTSGC!L25</f>
        <v>0.4175334709748841</v>
      </c>
      <c r="N6" s="95">
        <f>LTSGC!N25/LTSGC!K25</f>
        <v>0.27415022316040644</v>
      </c>
      <c r="O6" s="95">
        <f>LTSGC!O25/LTSGC!$K25</f>
        <v>0</v>
      </c>
      <c r="P6" s="95">
        <f>LTSGC!P25/LTSGC!$K25</f>
        <v>0</v>
      </c>
      <c r="Q6" s="95">
        <f>LTSGC!Q25/LTSGC!K25</f>
        <v>0.2741502230744587</v>
      </c>
      <c r="R6" s="96">
        <f>LTSGC!S25/LTSGC!K25</f>
        <v>0.44536912963055325</v>
      </c>
      <c r="S6" s="96">
        <f>LTSGC!T25/LTSGC!$K25</f>
        <v>0.014248947926418136</v>
      </c>
      <c r="T6" s="96">
        <f>LTSGC!U25/LTSGC!$K25</f>
        <v>0.07067463434509419</v>
      </c>
      <c r="U6" s="96">
        <f>SUM(R6:T6)</f>
        <v>0.5302927119020655</v>
      </c>
      <c r="V6" s="96">
        <f>U6-Q6</f>
        <v>0.2561424888276068</v>
      </c>
      <c r="W6" s="93">
        <f>LTSGC!X25</f>
        <v>1.9319574932412815</v>
      </c>
      <c r="X6" s="93">
        <f>LTSGC!I25</f>
        <v>0.17799999999999996</v>
      </c>
      <c r="Y6" s="94">
        <f>LTSGC!M25</f>
        <v>1.1408017873764038</v>
      </c>
      <c r="Z6" s="93">
        <f>LTSGC!Y25/LTSGC!K25</f>
        <v>0.2595436660770161</v>
      </c>
      <c r="AA6" s="96" t="s">
        <v>162</v>
      </c>
      <c r="AB6" s="97" t="s">
        <v>163</v>
      </c>
      <c r="AC6" s="96">
        <f>LTSGC!Z25/LTSGC!$K25</f>
        <v>0</v>
      </c>
      <c r="AD6" s="96">
        <f>LTSGC!AA25/LTSGC!$K25</f>
        <v>0</v>
      </c>
      <c r="AE6" s="96">
        <f>LTSGC!AC25/LTSGC!$K25</f>
        <v>0.2741502230744587</v>
      </c>
      <c r="AF6" s="96">
        <f>LTSGC!AB25/LTSGC!$K25</f>
        <v>0.7891902173972621</v>
      </c>
      <c r="AG6" s="96">
        <f>AF6-AE6</f>
        <v>0.5150399943228035</v>
      </c>
      <c r="AH6" s="93">
        <f>AF6/AE6</f>
        <v>2.878678005609062</v>
      </c>
      <c r="AI6" s="84" t="s">
        <v>289</v>
      </c>
      <c r="AJ6" s="84" t="s">
        <v>164</v>
      </c>
      <c r="AK6" s="520">
        <f>VLOOKUP(A6,LTSGC!$B$23:$R$26,17,0)</f>
        <v>13.548275953442802</v>
      </c>
    </row>
    <row r="7" spans="1:37" ht="45">
      <c r="A7" s="88" t="str">
        <f>LTSGC!B26</f>
        <v>Single Family Site Built Long Term SGC - Heating Zone 1</v>
      </c>
      <c r="B7" s="89" t="str">
        <f>VLOOKUP($A7,'Lookup Table'!$A$4:$D$10,2,0)</f>
        <v>Home Must Certified under the Long Term Super Good Cents Program &amp; Specifications </v>
      </c>
      <c r="C7" s="89" t="str">
        <f>VLOOKUP($A7,'Lookup Table'!$A$4:$D$10,3,0)</f>
        <v>Single Family Dwellings w/Electric Heat</v>
      </c>
      <c r="D7" s="89" t="str">
        <f>VLOOKUP($A7,'Lookup Table'!$A$4:$D$10,4,0)</f>
        <v>Heating Zone 1</v>
      </c>
      <c r="E7" s="90">
        <f>LTSGC!E26</f>
        <v>371.98</v>
      </c>
      <c r="F7" s="90">
        <f>LTSGC!F26</f>
        <v>0</v>
      </c>
      <c r="G7" s="90">
        <f>LTSGC!G26</f>
        <v>0</v>
      </c>
      <c r="H7" s="91">
        <f>LTSGC!C26</f>
        <v>70</v>
      </c>
      <c r="I7" s="91" t="s">
        <v>161</v>
      </c>
      <c r="J7" s="92">
        <f>LTSGC!D26</f>
        <v>1142.0667475859427</v>
      </c>
      <c r="K7" s="92">
        <f>LTSGC!K26</f>
        <v>1229.1493370893709</v>
      </c>
      <c r="L7" s="93">
        <f>LTSGC!J26</f>
        <v>0.3659999966621399</v>
      </c>
      <c r="M7" s="94">
        <f>LTSGC!L26</f>
        <v>0.2885105005335676</v>
      </c>
      <c r="N7" s="95">
        <f>LTSGC!N26/LTSGC!K26</f>
        <v>0.30263489402788685</v>
      </c>
      <c r="O7" s="95">
        <f>LTSGC!O26/LTSGC!$K26</f>
        <v>0</v>
      </c>
      <c r="P7" s="95">
        <f>LTSGC!P26/LTSGC!$K26</f>
        <v>0</v>
      </c>
      <c r="Q7" s="95">
        <f>LTSGC!Q26/LTSGC!K26</f>
        <v>0.3026349026645471</v>
      </c>
      <c r="R7" s="96">
        <f>LTSGC!S26/LTSGC!K26</f>
        <v>0.44536912963055303</v>
      </c>
      <c r="S7" s="96">
        <f>LTSGC!T26/LTSGC!$K26</f>
        <v>0.014248947083824726</v>
      </c>
      <c r="T7" s="96">
        <f>LTSGC!U26/LTSGC!$K26</f>
        <v>0.07067462384914942</v>
      </c>
      <c r="U7" s="96">
        <f>SUM(R7:T7)</f>
        <v>0.5302927005635272</v>
      </c>
      <c r="V7" s="96">
        <f>U7-Q7</f>
        <v>0.22765779789898005</v>
      </c>
      <c r="W7" s="93">
        <f>LTSGC!X26</f>
        <v>1.750117312525655</v>
      </c>
      <c r="X7" s="93">
        <f>LTSGC!I26</f>
        <v>0.178</v>
      </c>
      <c r="Y7" s="94">
        <f>LTSGC!M26</f>
        <v>0.7882800698280334</v>
      </c>
      <c r="Z7" s="93">
        <f>LTSGC!Y26/LTSGC!K26</f>
        <v>0.25954360723867637</v>
      </c>
      <c r="AA7" s="96" t="s">
        <v>162</v>
      </c>
      <c r="AB7" s="97" t="s">
        <v>163</v>
      </c>
      <c r="AC7" s="96">
        <f>LTSGC!Z26/LTSGC!$K26</f>
        <v>0</v>
      </c>
      <c r="AD7" s="96">
        <f>LTSGC!AA26/LTSGC!$K26</f>
        <v>0</v>
      </c>
      <c r="AE7" s="96">
        <f>LTSGC!AC26/LTSGC!$K26</f>
        <v>0.3026349026645471</v>
      </c>
      <c r="AF7" s="96">
        <f>LTSGC!AB26/LTSGC!$K26</f>
        <v>0.7891901850351866</v>
      </c>
      <c r="AG7" s="96">
        <f>AF7-AE7</f>
        <v>0.48655528237063944</v>
      </c>
      <c r="AH7" s="93">
        <f>AF7/AE7</f>
        <v>2.6077302323253746</v>
      </c>
      <c r="AI7" s="84" t="s">
        <v>289</v>
      </c>
      <c r="AJ7" s="84" t="s">
        <v>167</v>
      </c>
      <c r="AK7" s="520">
        <f>VLOOKUP(A7,LTSGC!$B$23:$R$26,17,0)</f>
        <v>14.955965644077708</v>
      </c>
    </row>
    <row r="9" ht="12.75">
      <c r="Q9" s="98"/>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12"/>
  <dimension ref="A1:H32"/>
  <sheetViews>
    <sheetView workbookViewId="0" topLeftCell="A16">
      <selection activeCell="C17" sqref="C17"/>
    </sheetView>
  </sheetViews>
  <sheetFormatPr defaultColWidth="9.140625" defaultRowHeight="12.75"/>
  <cols>
    <col min="1" max="1" width="25.28125" style="205" customWidth="1"/>
    <col min="2" max="2" width="10.57421875" style="205" customWidth="1"/>
    <col min="3" max="3" width="9.57421875" style="205" customWidth="1"/>
    <col min="4" max="4" width="9.28125" style="205" customWidth="1"/>
    <col min="5" max="5" width="13.00390625" style="205" customWidth="1"/>
    <col min="6" max="6" width="11.140625" style="205" customWidth="1"/>
    <col min="7" max="7" width="11.57421875" style="205" customWidth="1"/>
    <col min="8" max="16384" width="11.421875" style="205" customWidth="1"/>
  </cols>
  <sheetData>
    <row r="1" spans="1:8" ht="15.75">
      <c r="A1" s="247" t="s">
        <v>318</v>
      </c>
      <c r="B1" s="206"/>
      <c r="C1" s="206"/>
      <c r="D1" s="206"/>
      <c r="E1" s="206"/>
      <c r="F1" s="206"/>
      <c r="G1" s="206"/>
      <c r="H1" s="206"/>
    </row>
    <row r="2" spans="1:8" ht="15.75">
      <c r="A2" s="248"/>
      <c r="B2" s="206"/>
      <c r="C2" s="206"/>
      <c r="D2" s="206"/>
      <c r="E2" s="206"/>
      <c r="F2" s="206"/>
      <c r="G2" s="206"/>
      <c r="H2" s="206"/>
    </row>
    <row r="3" spans="1:8" ht="15.75">
      <c r="A3" s="247" t="s">
        <v>319</v>
      </c>
      <c r="B3" s="206"/>
      <c r="C3" s="206"/>
      <c r="D3" s="206"/>
      <c r="E3" s="206"/>
      <c r="F3" s="206"/>
      <c r="G3" s="206"/>
      <c r="H3" s="206"/>
    </row>
    <row r="4" spans="1:8" ht="25.5">
      <c r="A4" s="247" t="s">
        <v>52</v>
      </c>
      <c r="B4" s="249" t="s">
        <v>308</v>
      </c>
      <c r="C4" s="249" t="s">
        <v>207</v>
      </c>
      <c r="D4" s="249" t="s">
        <v>309</v>
      </c>
      <c r="E4" s="249" t="s">
        <v>240</v>
      </c>
      <c r="F4" s="249" t="s">
        <v>230</v>
      </c>
      <c r="G4" s="249" t="s">
        <v>312</v>
      </c>
      <c r="H4" s="249" t="s">
        <v>208</v>
      </c>
    </row>
    <row r="5" spans="1:8" ht="15.75">
      <c r="A5" s="237" t="s">
        <v>346</v>
      </c>
      <c r="B5" s="238">
        <v>2.66</v>
      </c>
      <c r="C5" s="208">
        <v>0.088</v>
      </c>
      <c r="D5" s="250">
        <f aca="true" t="shared" si="0" ref="D5:D11">1/C5</f>
        <v>11.363636363636365</v>
      </c>
      <c r="E5" s="206">
        <v>0</v>
      </c>
      <c r="F5" s="207">
        <f>SUM($E$5:E5)</f>
        <v>0</v>
      </c>
      <c r="G5" s="206">
        <v>0</v>
      </c>
      <c r="H5" s="206">
        <v>0</v>
      </c>
    </row>
    <row r="6" spans="1:8" ht="15.75">
      <c r="A6" s="237" t="s">
        <v>347</v>
      </c>
      <c r="B6" s="238">
        <v>2.71</v>
      </c>
      <c r="C6" s="208">
        <v>0.082</v>
      </c>
      <c r="D6" s="250">
        <f t="shared" si="0"/>
        <v>12.195121951219512</v>
      </c>
      <c r="E6" s="251">
        <f aca="true" t="shared" si="1" ref="E6:E11">B6-B5</f>
        <v>0.04999999999999982</v>
      </c>
      <c r="F6" s="207">
        <f>SUM($E$5:E6)</f>
        <v>0.04999999999999982</v>
      </c>
      <c r="G6" s="208">
        <f aca="true" t="shared" si="2" ref="G6:G11">C5-C6</f>
        <v>0.0059999999999999915</v>
      </c>
      <c r="H6" s="207">
        <f aca="true" t="shared" si="3" ref="H6:H11">E6/G6</f>
        <v>8.333333333333316</v>
      </c>
    </row>
    <row r="7" spans="1:8" ht="15.75">
      <c r="A7" s="244" t="s">
        <v>348</v>
      </c>
      <c r="B7" s="238">
        <v>3.15</v>
      </c>
      <c r="C7" s="208">
        <v>0.062</v>
      </c>
      <c r="D7" s="250">
        <f t="shared" si="0"/>
        <v>16.129032258064516</v>
      </c>
      <c r="E7" s="251">
        <f t="shared" si="1"/>
        <v>0.43999999999999995</v>
      </c>
      <c r="F7" s="207">
        <f>SUM($E$5:E7)</f>
        <v>0.48999999999999977</v>
      </c>
      <c r="G7" s="208">
        <f t="shared" si="2"/>
        <v>0.020000000000000004</v>
      </c>
      <c r="H7" s="207">
        <f t="shared" si="3"/>
        <v>21.999999999999993</v>
      </c>
    </row>
    <row r="8" spans="1:8" ht="15.75">
      <c r="A8" s="206" t="s">
        <v>320</v>
      </c>
      <c r="B8" s="207">
        <v>3.25</v>
      </c>
      <c r="C8" s="208">
        <v>0.057</v>
      </c>
      <c r="D8" s="250">
        <f t="shared" si="0"/>
        <v>17.543859649122805</v>
      </c>
      <c r="E8" s="251">
        <f t="shared" si="1"/>
        <v>0.10000000000000009</v>
      </c>
      <c r="F8" s="207">
        <f>SUM($E$5:E8)</f>
        <v>0.5899999999999999</v>
      </c>
      <c r="G8" s="208">
        <f t="shared" si="2"/>
        <v>0.0049999999999999975</v>
      </c>
      <c r="H8" s="207">
        <f t="shared" si="3"/>
        <v>20.00000000000003</v>
      </c>
    </row>
    <row r="9" spans="1:8" ht="15.75">
      <c r="A9" s="206" t="s">
        <v>349</v>
      </c>
      <c r="B9" s="207">
        <v>3.82</v>
      </c>
      <c r="C9" s="208">
        <v>0.043</v>
      </c>
      <c r="D9" s="250">
        <f t="shared" si="0"/>
        <v>23.255813953488374</v>
      </c>
      <c r="E9" s="251">
        <f t="shared" si="1"/>
        <v>0.5699999999999998</v>
      </c>
      <c r="F9" s="207">
        <f>SUM($E$5:E9)</f>
        <v>1.1599999999999997</v>
      </c>
      <c r="G9" s="208">
        <f t="shared" si="2"/>
        <v>0.014000000000000005</v>
      </c>
      <c r="H9" s="207">
        <f t="shared" si="3"/>
        <v>40.71428571428569</v>
      </c>
    </row>
    <row r="10" spans="1:8" ht="15.75">
      <c r="A10" s="237" t="s">
        <v>188</v>
      </c>
      <c r="B10" s="207">
        <v>4.6</v>
      </c>
      <c r="C10" s="208">
        <v>0.034</v>
      </c>
      <c r="D10" s="250">
        <f t="shared" si="0"/>
        <v>29.41176470588235</v>
      </c>
      <c r="E10" s="251">
        <f t="shared" si="1"/>
        <v>0.7799999999999998</v>
      </c>
      <c r="F10" s="207">
        <f>SUM($E$5:E10)</f>
        <v>1.9399999999999995</v>
      </c>
      <c r="G10" s="208">
        <f t="shared" si="2"/>
        <v>0.008999999999999994</v>
      </c>
      <c r="H10" s="207">
        <f t="shared" si="3"/>
        <v>86.6666666666667</v>
      </c>
    </row>
    <row r="11" spans="1:8" ht="15.75">
      <c r="A11" s="206" t="s">
        <v>350</v>
      </c>
      <c r="B11" s="207">
        <v>5</v>
      </c>
      <c r="C11" s="208">
        <v>0.033</v>
      </c>
      <c r="D11" s="250">
        <f t="shared" si="0"/>
        <v>30.3030303030303</v>
      </c>
      <c r="E11" s="251">
        <f t="shared" si="1"/>
        <v>0.40000000000000036</v>
      </c>
      <c r="F11" s="207">
        <f>SUM($E$5:E11)</f>
        <v>2.34</v>
      </c>
      <c r="G11" s="208">
        <f t="shared" si="2"/>
        <v>0.0010000000000000009</v>
      </c>
      <c r="H11" s="207">
        <f t="shared" si="3"/>
        <v>400</v>
      </c>
    </row>
    <row r="12" spans="1:8" ht="15.75">
      <c r="A12" s="206"/>
      <c r="B12" s="207"/>
      <c r="C12" s="208"/>
      <c r="D12" s="252" t="s">
        <v>314</v>
      </c>
      <c r="E12" s="253"/>
      <c r="F12" s="253">
        <f>SUM($E$5:E12)</f>
        <v>2.34</v>
      </c>
      <c r="G12" s="247">
        <f>SUM(G5:G11)</f>
        <v>0.05499999999999999</v>
      </c>
      <c r="H12" s="206"/>
    </row>
    <row r="13" spans="1:8" ht="15.75">
      <c r="A13" s="247" t="s">
        <v>321</v>
      </c>
      <c r="B13" s="207"/>
      <c r="C13" s="208"/>
      <c r="D13" s="250"/>
      <c r="E13" s="206"/>
      <c r="F13" s="207"/>
      <c r="G13" s="206"/>
      <c r="H13" s="206"/>
    </row>
    <row r="14" spans="1:8" ht="25.5">
      <c r="A14" s="247" t="s">
        <v>52</v>
      </c>
      <c r="B14" s="249" t="s">
        <v>308</v>
      </c>
      <c r="C14" s="249" t="s">
        <v>207</v>
      </c>
      <c r="D14" s="249" t="s">
        <v>309</v>
      </c>
      <c r="E14" s="249" t="s">
        <v>240</v>
      </c>
      <c r="F14" s="249" t="s">
        <v>230</v>
      </c>
      <c r="G14" s="249" t="s">
        <v>312</v>
      </c>
      <c r="H14" s="249" t="s">
        <v>208</v>
      </c>
    </row>
    <row r="15" spans="1:8" ht="15.75">
      <c r="A15" s="237" t="s">
        <v>346</v>
      </c>
      <c r="B15" s="238">
        <v>2.66</v>
      </c>
      <c r="C15" s="208">
        <v>0.088</v>
      </c>
      <c r="D15" s="250">
        <f aca="true" t="shared" si="4" ref="D15:D21">1/C15</f>
        <v>11.363636363636365</v>
      </c>
      <c r="E15" s="206">
        <v>0</v>
      </c>
      <c r="F15" s="207">
        <v>0</v>
      </c>
      <c r="G15" s="206">
        <v>0</v>
      </c>
      <c r="H15" s="206">
        <v>0</v>
      </c>
    </row>
    <row r="16" spans="1:8" ht="15.75">
      <c r="A16" s="237" t="s">
        <v>347</v>
      </c>
      <c r="B16" s="238">
        <v>2.71</v>
      </c>
      <c r="C16" s="208">
        <v>0.082</v>
      </c>
      <c r="D16" s="250">
        <f t="shared" si="4"/>
        <v>12.195121951219512</v>
      </c>
      <c r="E16" s="251">
        <f aca="true" t="shared" si="5" ref="E16:E21">B16-B15</f>
        <v>0.04999999999999982</v>
      </c>
      <c r="F16" s="207">
        <f>SUM($E$15:E16)</f>
        <v>0.04999999999999982</v>
      </c>
      <c r="G16" s="208">
        <f aca="true" t="shared" si="6" ref="G16:G21">C15-C16</f>
        <v>0.0059999999999999915</v>
      </c>
      <c r="H16" s="207">
        <f aca="true" t="shared" si="7" ref="H16:H21">E16/G16</f>
        <v>8.333333333333316</v>
      </c>
    </row>
    <row r="17" spans="1:8" ht="15.75">
      <c r="A17" s="206" t="s">
        <v>351</v>
      </c>
      <c r="B17" s="207">
        <v>3.15</v>
      </c>
      <c r="C17" s="208">
        <v>0.058</v>
      </c>
      <c r="D17" s="250">
        <f t="shared" si="4"/>
        <v>17.241379310344826</v>
      </c>
      <c r="E17" s="251">
        <f t="shared" si="5"/>
        <v>0.43999999999999995</v>
      </c>
      <c r="F17" s="207">
        <f>SUM($E$15:E17)</f>
        <v>0.48999999999999977</v>
      </c>
      <c r="G17" s="208">
        <f t="shared" si="6"/>
        <v>0.024</v>
      </c>
      <c r="H17" s="207">
        <f t="shared" si="7"/>
        <v>18.333333333333332</v>
      </c>
    </row>
    <row r="18" spans="1:8" ht="15.75">
      <c r="A18" s="206" t="s">
        <v>352</v>
      </c>
      <c r="B18" s="207">
        <v>3.25</v>
      </c>
      <c r="C18" s="208">
        <v>0.054</v>
      </c>
      <c r="D18" s="250">
        <f t="shared" si="4"/>
        <v>18.51851851851852</v>
      </c>
      <c r="E18" s="251">
        <f t="shared" si="5"/>
        <v>0.10000000000000009</v>
      </c>
      <c r="F18" s="207">
        <f>SUM($E$15:E18)</f>
        <v>0.5899999999999999</v>
      </c>
      <c r="G18" s="208">
        <f t="shared" si="6"/>
        <v>0.0040000000000000036</v>
      </c>
      <c r="H18" s="207">
        <f t="shared" si="7"/>
        <v>25</v>
      </c>
    </row>
    <row r="19" spans="1:8" ht="15.75">
      <c r="A19" s="206" t="s">
        <v>349</v>
      </c>
      <c r="B19" s="207">
        <v>3.82</v>
      </c>
      <c r="C19" s="208">
        <v>0.043</v>
      </c>
      <c r="D19" s="250">
        <f t="shared" si="4"/>
        <v>23.255813953488374</v>
      </c>
      <c r="E19" s="251">
        <f t="shared" si="5"/>
        <v>0.5699999999999998</v>
      </c>
      <c r="F19" s="207">
        <f>SUM($E$15:E19)</f>
        <v>1.1599999999999997</v>
      </c>
      <c r="G19" s="208">
        <f t="shared" si="6"/>
        <v>0.011000000000000003</v>
      </c>
      <c r="H19" s="207">
        <f t="shared" si="7"/>
        <v>51.81818181818179</v>
      </c>
    </row>
    <row r="20" spans="1:8" ht="15.75">
      <c r="A20" s="237" t="s">
        <v>188</v>
      </c>
      <c r="B20" s="207">
        <v>4.6</v>
      </c>
      <c r="C20" s="208">
        <v>0.034</v>
      </c>
      <c r="D20" s="250">
        <f t="shared" si="4"/>
        <v>29.41176470588235</v>
      </c>
      <c r="E20" s="251">
        <f t="shared" si="5"/>
        <v>0.7799999999999998</v>
      </c>
      <c r="F20" s="207">
        <f>SUM($E$15:E20)</f>
        <v>1.9399999999999995</v>
      </c>
      <c r="G20" s="208">
        <f t="shared" si="6"/>
        <v>0.008999999999999994</v>
      </c>
      <c r="H20" s="207">
        <f t="shared" si="7"/>
        <v>86.6666666666667</v>
      </c>
    </row>
    <row r="21" spans="1:8" ht="15.75">
      <c r="A21" s="206" t="s">
        <v>189</v>
      </c>
      <c r="B21" s="207">
        <v>5</v>
      </c>
      <c r="C21" s="208">
        <v>0.033</v>
      </c>
      <c r="D21" s="250">
        <f t="shared" si="4"/>
        <v>30.3030303030303</v>
      </c>
      <c r="E21" s="251">
        <f t="shared" si="5"/>
        <v>0.40000000000000036</v>
      </c>
      <c r="F21" s="207">
        <f>SUM($E$15:E21)</f>
        <v>2.34</v>
      </c>
      <c r="G21" s="208">
        <f t="shared" si="6"/>
        <v>0.0010000000000000009</v>
      </c>
      <c r="H21" s="207">
        <f t="shared" si="7"/>
        <v>400</v>
      </c>
    </row>
    <row r="22" spans="1:8" ht="15.75">
      <c r="A22" s="206"/>
      <c r="B22" s="206"/>
      <c r="C22" s="206"/>
      <c r="D22" s="252" t="s">
        <v>314</v>
      </c>
      <c r="E22" s="253"/>
      <c r="F22" s="253">
        <f>SUM($E$15:E22)</f>
        <v>2.34</v>
      </c>
      <c r="G22" s="247">
        <f>SUM(G15:G21)</f>
        <v>0.05499999999999999</v>
      </c>
      <c r="H22" s="206"/>
    </row>
    <row r="23" spans="1:8" ht="15.75">
      <c r="A23" s="247" t="s">
        <v>322</v>
      </c>
      <c r="B23" s="206"/>
      <c r="C23" s="206"/>
      <c r="D23" s="206"/>
      <c r="E23" s="206"/>
      <c r="F23" s="207"/>
      <c r="G23" s="206"/>
      <c r="H23" s="206"/>
    </row>
    <row r="24" spans="1:8" ht="25.5">
      <c r="A24" s="247" t="s">
        <v>52</v>
      </c>
      <c r="B24" s="249" t="s">
        <v>308</v>
      </c>
      <c r="C24" s="249" t="s">
        <v>207</v>
      </c>
      <c r="D24" s="249" t="s">
        <v>309</v>
      </c>
      <c r="E24" s="249" t="s">
        <v>240</v>
      </c>
      <c r="F24" s="249" t="s">
        <v>230</v>
      </c>
      <c r="G24" s="249" t="s">
        <v>312</v>
      </c>
      <c r="H24" s="249" t="s">
        <v>208</v>
      </c>
    </row>
    <row r="25" spans="1:8" ht="15.75">
      <c r="A25" s="237" t="s">
        <v>346</v>
      </c>
      <c r="B25" s="238">
        <v>2.66</v>
      </c>
      <c r="C25" s="208">
        <v>0.088</v>
      </c>
      <c r="D25" s="250">
        <f aca="true" t="shared" si="8" ref="D25:D31">1/C25</f>
        <v>11.363636363636365</v>
      </c>
      <c r="E25" s="206">
        <v>0</v>
      </c>
      <c r="F25" s="207">
        <v>0</v>
      </c>
      <c r="G25" s="206">
        <v>0</v>
      </c>
      <c r="H25" s="206">
        <v>0</v>
      </c>
    </row>
    <row r="26" spans="1:8" ht="15.75">
      <c r="A26" s="237" t="s">
        <v>347</v>
      </c>
      <c r="B26" s="238">
        <v>2.71</v>
      </c>
      <c r="C26" s="208">
        <v>0.082</v>
      </c>
      <c r="D26" s="250">
        <f t="shared" si="8"/>
        <v>12.195121951219512</v>
      </c>
      <c r="E26" s="251">
        <f aca="true" t="shared" si="9" ref="E26:E31">B26-B25</f>
        <v>0.04999999999999982</v>
      </c>
      <c r="F26" s="207">
        <f>SUM($E$25:E26)</f>
        <v>0.04999999999999982</v>
      </c>
      <c r="G26" s="208">
        <f aca="true" t="shared" si="10" ref="G26:G31">C25-C26</f>
        <v>0.0059999999999999915</v>
      </c>
      <c r="H26" s="207">
        <f aca="true" t="shared" si="11" ref="H26:H31">E26/G26</f>
        <v>8.333333333333316</v>
      </c>
    </row>
    <row r="27" spans="1:8" ht="15.75">
      <c r="A27" s="206" t="s">
        <v>323</v>
      </c>
      <c r="B27" s="207">
        <v>2.96</v>
      </c>
      <c r="C27" s="208">
        <v>0.055</v>
      </c>
      <c r="D27" s="250">
        <f t="shared" si="8"/>
        <v>18.181818181818183</v>
      </c>
      <c r="E27" s="251">
        <f t="shared" si="9"/>
        <v>0.25</v>
      </c>
      <c r="F27" s="207">
        <f>SUM($E$25:E27)</f>
        <v>0.2999999999999998</v>
      </c>
      <c r="G27" s="208">
        <f t="shared" si="10"/>
        <v>0.027000000000000003</v>
      </c>
      <c r="H27" s="207">
        <f t="shared" si="11"/>
        <v>9.259259259259258</v>
      </c>
    </row>
    <row r="28" spans="1:8" ht="15.75">
      <c r="A28" s="206" t="s">
        <v>353</v>
      </c>
      <c r="B28" s="207">
        <v>3.06</v>
      </c>
      <c r="C28" s="208">
        <v>0.051</v>
      </c>
      <c r="D28" s="250">
        <f t="shared" si="8"/>
        <v>19.607843137254903</v>
      </c>
      <c r="E28" s="251">
        <f t="shared" si="9"/>
        <v>0.10000000000000009</v>
      </c>
      <c r="F28" s="207">
        <f>SUM($E$25:E28)</f>
        <v>0.3999999999999999</v>
      </c>
      <c r="G28" s="208">
        <f t="shared" si="10"/>
        <v>0.0040000000000000036</v>
      </c>
      <c r="H28" s="207">
        <f t="shared" si="11"/>
        <v>25</v>
      </c>
    </row>
    <row r="29" spans="1:8" ht="15.75">
      <c r="A29" s="206" t="s">
        <v>354</v>
      </c>
      <c r="B29" s="207">
        <v>3.63</v>
      </c>
      <c r="C29" s="208">
        <v>0.04</v>
      </c>
      <c r="D29" s="250">
        <f t="shared" si="8"/>
        <v>25</v>
      </c>
      <c r="E29" s="251">
        <f t="shared" si="9"/>
        <v>0.5699999999999998</v>
      </c>
      <c r="F29" s="207">
        <f>SUM($E$25:E29)</f>
        <v>0.9699999999999998</v>
      </c>
      <c r="G29" s="208">
        <f t="shared" si="10"/>
        <v>0.010999999999999996</v>
      </c>
      <c r="H29" s="207">
        <f t="shared" si="11"/>
        <v>51.81818181818182</v>
      </c>
    </row>
    <row r="30" spans="1:8" ht="15.75">
      <c r="A30" s="237" t="s">
        <v>188</v>
      </c>
      <c r="B30" s="207">
        <v>4.6</v>
      </c>
      <c r="C30" s="208">
        <v>0.034</v>
      </c>
      <c r="D30" s="250">
        <f t="shared" si="8"/>
        <v>29.41176470588235</v>
      </c>
      <c r="E30" s="251">
        <f t="shared" si="9"/>
        <v>0.9699999999999998</v>
      </c>
      <c r="F30" s="207">
        <f>SUM($E$25:E30)</f>
        <v>1.9399999999999995</v>
      </c>
      <c r="G30" s="208">
        <f t="shared" si="10"/>
        <v>0.005999999999999998</v>
      </c>
      <c r="H30" s="207">
        <f t="shared" si="11"/>
        <v>161.66666666666666</v>
      </c>
    </row>
    <row r="31" spans="1:8" ht="15.75">
      <c r="A31" s="206" t="s">
        <v>350</v>
      </c>
      <c r="B31" s="207">
        <v>5</v>
      </c>
      <c r="C31" s="208">
        <v>0.033</v>
      </c>
      <c r="D31" s="250">
        <f t="shared" si="8"/>
        <v>30.3030303030303</v>
      </c>
      <c r="E31" s="251">
        <f t="shared" si="9"/>
        <v>0.40000000000000036</v>
      </c>
      <c r="F31" s="207">
        <f>SUM($E$25:E31)</f>
        <v>2.34</v>
      </c>
      <c r="G31" s="208">
        <f t="shared" si="10"/>
        <v>0.0010000000000000009</v>
      </c>
      <c r="H31" s="207">
        <f t="shared" si="11"/>
        <v>400</v>
      </c>
    </row>
    <row r="32" spans="1:8" ht="15.75">
      <c r="A32" s="206"/>
      <c r="B32" s="206"/>
      <c r="C32" s="206"/>
      <c r="D32" s="252" t="s">
        <v>314</v>
      </c>
      <c r="E32" s="253"/>
      <c r="F32" s="253">
        <f>SUM($E$25:E32)</f>
        <v>2.34</v>
      </c>
      <c r="G32" s="247">
        <f>SUM(G25:G31)</f>
        <v>0.05499999999999999</v>
      </c>
      <c r="H32" s="206"/>
    </row>
  </sheetData>
  <printOptions gridLines="1"/>
  <pageMargins left="0.5" right="0.5" top="0.5" bottom="0.5" header="0.5" footer="0.5"/>
  <pageSetup orientation="landscape" r:id="rId1"/>
</worksheet>
</file>

<file path=xl/worksheets/sheet11.xml><?xml version="1.0" encoding="utf-8"?>
<worksheet xmlns="http://schemas.openxmlformats.org/spreadsheetml/2006/main" xmlns:r="http://schemas.openxmlformats.org/officeDocument/2006/relationships">
  <sheetPr codeName="Sheet13"/>
  <dimension ref="A1:H17"/>
  <sheetViews>
    <sheetView workbookViewId="0" topLeftCell="A1">
      <selection activeCell="B18" sqref="B18"/>
    </sheetView>
  </sheetViews>
  <sheetFormatPr defaultColWidth="9.140625" defaultRowHeight="12.75"/>
  <cols>
    <col min="1" max="1" width="25.57421875" style="205" customWidth="1"/>
    <col min="2" max="2" width="11.421875" style="205" customWidth="1"/>
    <col min="3" max="3" width="6.421875" style="205" customWidth="1"/>
    <col min="4" max="4" width="10.140625" style="205" customWidth="1"/>
    <col min="5" max="5" width="13.8515625" style="205" customWidth="1"/>
    <col min="6" max="6" width="11.8515625" style="205" customWidth="1"/>
    <col min="7" max="7" width="12.421875" style="205" customWidth="1"/>
    <col min="8" max="8" width="10.00390625" style="205" customWidth="1"/>
    <col min="9" max="16384" width="11.421875" style="205" customWidth="1"/>
  </cols>
  <sheetData>
    <row r="1" ht="15.75">
      <c r="A1" s="232" t="s">
        <v>306</v>
      </c>
    </row>
    <row r="2" ht="15.75">
      <c r="A2" s="233" t="s">
        <v>307</v>
      </c>
    </row>
    <row r="3" spans="1:8" ht="38.25">
      <c r="A3" s="234" t="s">
        <v>52</v>
      </c>
      <c r="B3" s="235" t="s">
        <v>308</v>
      </c>
      <c r="C3" s="235" t="s">
        <v>207</v>
      </c>
      <c r="D3" s="235" t="s">
        <v>309</v>
      </c>
      <c r="E3" s="236" t="s">
        <v>310</v>
      </c>
      <c r="F3" s="236" t="s">
        <v>311</v>
      </c>
      <c r="G3" s="235" t="s">
        <v>312</v>
      </c>
      <c r="H3" s="235" t="s">
        <v>208</v>
      </c>
    </row>
    <row r="4" spans="1:8" ht="15.75">
      <c r="A4" s="237" t="s">
        <v>313</v>
      </c>
      <c r="B4" s="238">
        <v>4.5</v>
      </c>
      <c r="C4" s="208">
        <v>0.193</v>
      </c>
      <c r="D4" s="239">
        <f>1/C4</f>
        <v>5.181347150259067</v>
      </c>
      <c r="E4" s="240">
        <v>0</v>
      </c>
      <c r="F4" s="241">
        <f>SUM($E4:E4)</f>
        <v>0</v>
      </c>
      <c r="G4" s="240">
        <v>0</v>
      </c>
      <c r="H4" s="240">
        <v>0</v>
      </c>
    </row>
    <row r="5" spans="1:8" ht="15.75">
      <c r="A5" s="237" t="s">
        <v>222</v>
      </c>
      <c r="B5" s="238">
        <v>6.27</v>
      </c>
      <c r="C5" s="208">
        <v>0.054</v>
      </c>
      <c r="D5" s="239">
        <f>1/C5</f>
        <v>18.51851851851852</v>
      </c>
      <c r="E5" s="242">
        <f>B5-B4</f>
        <v>1.7699999999999996</v>
      </c>
      <c r="F5" s="241">
        <f>SUM($E$4:E5)</f>
        <v>1.7699999999999996</v>
      </c>
      <c r="G5" s="243">
        <f>C4-C5</f>
        <v>0.139</v>
      </c>
      <c r="H5" s="241">
        <f>E5/G5</f>
        <v>12.733812949640283</v>
      </c>
    </row>
    <row r="6" spans="1:8" ht="15.75">
      <c r="A6" s="244" t="s">
        <v>223</v>
      </c>
      <c r="B6" s="238">
        <v>6.47</v>
      </c>
      <c r="C6" s="208">
        <v>0.037</v>
      </c>
      <c r="D6" s="239">
        <f>1/C6</f>
        <v>27.027027027027028</v>
      </c>
      <c r="E6" s="242">
        <f>B6-B5</f>
        <v>0.20000000000000018</v>
      </c>
      <c r="F6" s="241">
        <f>SUM($E$4:E6)</f>
        <v>1.9699999999999998</v>
      </c>
      <c r="G6" s="243">
        <f>C5-C6</f>
        <v>0.017</v>
      </c>
      <c r="H6" s="241">
        <f>E6/G6</f>
        <v>11.764705882352951</v>
      </c>
    </row>
    <row r="7" spans="1:8" ht="15.75">
      <c r="A7" s="244" t="s">
        <v>196</v>
      </c>
      <c r="B7" s="238">
        <v>6.57</v>
      </c>
      <c r="C7" s="208">
        <v>0.034</v>
      </c>
      <c r="D7" s="239">
        <f>1/C7</f>
        <v>29.41176470588235</v>
      </c>
      <c r="E7" s="242">
        <f>B7-B6</f>
        <v>0.10000000000000053</v>
      </c>
      <c r="F7" s="241">
        <f>SUM($E$4:E7)</f>
        <v>2.0700000000000003</v>
      </c>
      <c r="G7" s="243">
        <f>C6-C7</f>
        <v>0.0029999999999999957</v>
      </c>
      <c r="H7" s="241">
        <f>E7/G7</f>
        <v>33.333333333333556</v>
      </c>
    </row>
    <row r="8" spans="1:8" ht="15.75">
      <c r="A8" s="237" t="s">
        <v>194</v>
      </c>
      <c r="B8" s="238">
        <v>6.58</v>
      </c>
      <c r="C8" s="208">
        <v>0.032</v>
      </c>
      <c r="D8" s="239">
        <f>1/C8</f>
        <v>31.25</v>
      </c>
      <c r="E8" s="242">
        <f>B8-B7</f>
        <v>0.009999999999999787</v>
      </c>
      <c r="F8" s="241">
        <f>SUM($E$4:E8)</f>
        <v>2.08</v>
      </c>
      <c r="G8" s="243">
        <f>C7-C8</f>
        <v>0.0020000000000000018</v>
      </c>
      <c r="H8" s="241">
        <f>E8/G8</f>
        <v>4.999999999999889</v>
      </c>
    </row>
    <row r="9" spans="1:8" ht="15.75">
      <c r="A9" s="240"/>
      <c r="B9" s="241"/>
      <c r="C9" s="243"/>
      <c r="D9" s="245" t="s">
        <v>314</v>
      </c>
      <c r="E9" s="246"/>
      <c r="F9" s="246">
        <f>SUM($E$5:E9)</f>
        <v>2.08</v>
      </c>
      <c r="G9" s="234">
        <f>SUM(G5:G8)</f>
        <v>0.16100000000000003</v>
      </c>
      <c r="H9" s="240"/>
    </row>
    <row r="11" ht="15.75">
      <c r="A11" s="233" t="s">
        <v>315</v>
      </c>
    </row>
    <row r="12" spans="1:8" ht="38.25">
      <c r="A12" s="234" t="s">
        <v>52</v>
      </c>
      <c r="B12" s="235" t="s">
        <v>308</v>
      </c>
      <c r="C12" s="235" t="s">
        <v>207</v>
      </c>
      <c r="D12" s="235" t="s">
        <v>309</v>
      </c>
      <c r="E12" s="236" t="s">
        <v>310</v>
      </c>
      <c r="F12" s="236" t="s">
        <v>311</v>
      </c>
      <c r="G12" s="235" t="s">
        <v>312</v>
      </c>
      <c r="H12" s="235" t="s">
        <v>208</v>
      </c>
    </row>
    <row r="13" spans="1:8" ht="15.75">
      <c r="A13" s="237" t="s">
        <v>313</v>
      </c>
      <c r="B13" s="238">
        <v>4.5</v>
      </c>
      <c r="C13" s="208">
        <v>0.193</v>
      </c>
      <c r="D13" s="239">
        <f>1/C13</f>
        <v>5.181347150259067</v>
      </c>
      <c r="E13" s="240">
        <v>0</v>
      </c>
      <c r="F13" s="241">
        <f>SUM($E$13:E13)</f>
        <v>0</v>
      </c>
      <c r="G13" s="240">
        <v>0</v>
      </c>
      <c r="H13" s="240">
        <v>0</v>
      </c>
    </row>
    <row r="14" spans="1:8" ht="15.75">
      <c r="A14" s="244" t="s">
        <v>316</v>
      </c>
      <c r="B14" s="238">
        <v>5.99</v>
      </c>
      <c r="C14" s="208">
        <v>0.056</v>
      </c>
      <c r="D14" s="239">
        <f>1/C14</f>
        <v>17.857142857142858</v>
      </c>
      <c r="E14" s="242">
        <f>B14-B13</f>
        <v>1.4900000000000002</v>
      </c>
      <c r="F14" s="241">
        <f>SUM($E$13:E14)</f>
        <v>1.4900000000000002</v>
      </c>
      <c r="G14" s="240">
        <v>0</v>
      </c>
      <c r="H14" s="240">
        <v>0</v>
      </c>
    </row>
    <row r="15" spans="1:8" ht="15.75">
      <c r="A15" s="237" t="s">
        <v>317</v>
      </c>
      <c r="B15" s="238">
        <v>6.31</v>
      </c>
      <c r="C15" s="208">
        <v>0.033</v>
      </c>
      <c r="D15" s="239">
        <f>1/C15</f>
        <v>30.3030303030303</v>
      </c>
      <c r="E15" s="242">
        <f>B15-B14</f>
        <v>0.3199999999999994</v>
      </c>
      <c r="F15" s="241">
        <f>SUM($E$13:E15)</f>
        <v>1.8099999999999996</v>
      </c>
      <c r="G15" s="243">
        <f>C14-C15</f>
        <v>0.023</v>
      </c>
      <c r="H15" s="241">
        <f>E15/G15</f>
        <v>13.913043478260844</v>
      </c>
    </row>
    <row r="16" spans="1:8" ht="15.75">
      <c r="A16" s="237" t="s">
        <v>194</v>
      </c>
      <c r="B16" s="238">
        <v>5.65</v>
      </c>
      <c r="C16" s="208">
        <v>0.032</v>
      </c>
      <c r="D16" s="239">
        <f>1/C16</f>
        <v>31.25</v>
      </c>
      <c r="E16" s="242">
        <f>B16-B15</f>
        <v>-0.6599999999999993</v>
      </c>
      <c r="F16" s="241">
        <f>SUM($E$13:E16)</f>
        <v>1.1500000000000004</v>
      </c>
      <c r="G16" s="243">
        <f>C15-C16</f>
        <v>0.0010000000000000009</v>
      </c>
      <c r="H16" s="241">
        <f>E16/G16</f>
        <v>-659.9999999999986</v>
      </c>
    </row>
    <row r="17" spans="1:8" ht="15.75">
      <c r="A17" s="240"/>
      <c r="B17" s="241"/>
      <c r="C17" s="243"/>
      <c r="D17" s="245" t="s">
        <v>314</v>
      </c>
      <c r="E17" s="246"/>
      <c r="F17" s="246">
        <f>SUM($E$14:E17)</f>
        <v>1.1500000000000004</v>
      </c>
      <c r="G17" s="234">
        <f>SUM(G14:G16)</f>
        <v>0.024</v>
      </c>
      <c r="H17" s="240"/>
    </row>
  </sheetData>
  <printOptions gridLines="1"/>
  <pageMargins left="0.5" right="0.5" top="0.5" bottom="0.5" header="0.5" footer="0.5"/>
  <pageSetup orientation="landscape" r:id="rId1"/>
</worksheet>
</file>

<file path=xl/worksheets/sheet12.xml><?xml version="1.0" encoding="utf-8"?>
<worksheet xmlns="http://schemas.openxmlformats.org/spreadsheetml/2006/main" xmlns:r="http://schemas.openxmlformats.org/officeDocument/2006/relationships">
  <sheetPr codeName="Sheet14"/>
  <dimension ref="A1:H15"/>
  <sheetViews>
    <sheetView workbookViewId="0" topLeftCell="A1">
      <selection activeCell="E13" sqref="E13"/>
    </sheetView>
  </sheetViews>
  <sheetFormatPr defaultColWidth="9.140625" defaultRowHeight="12.75"/>
  <cols>
    <col min="1" max="1" width="17.7109375" style="205" customWidth="1"/>
    <col min="2" max="3" width="11.421875" style="205" customWidth="1"/>
    <col min="4" max="4" width="10.140625" style="205" customWidth="1"/>
    <col min="5" max="7" width="13.8515625" style="205" customWidth="1"/>
    <col min="8" max="8" width="8.28125" style="205" customWidth="1"/>
    <col min="9" max="16384" width="11.421875" style="205" customWidth="1"/>
  </cols>
  <sheetData>
    <row r="1" spans="1:8" ht="15.75">
      <c r="A1" s="254" t="s">
        <v>324</v>
      </c>
      <c r="B1" s="248"/>
      <c r="C1" s="248"/>
      <c r="D1" s="248"/>
      <c r="E1" s="248"/>
      <c r="F1" s="248"/>
      <c r="G1" s="248"/>
      <c r="H1" s="248"/>
    </row>
    <row r="2" spans="1:8" ht="15.75">
      <c r="A2" s="254" t="s">
        <v>325</v>
      </c>
      <c r="B2" s="248"/>
      <c r="C2" s="248"/>
      <c r="D2" s="248"/>
      <c r="E2" s="248"/>
      <c r="F2" s="248"/>
      <c r="G2" s="248"/>
      <c r="H2" s="248"/>
    </row>
    <row r="3" spans="1:8" ht="25.5">
      <c r="A3" s="247" t="s">
        <v>52</v>
      </c>
      <c r="B3" s="249" t="s">
        <v>308</v>
      </c>
      <c r="C3" s="249" t="s">
        <v>207</v>
      </c>
      <c r="D3" s="249" t="s">
        <v>309</v>
      </c>
      <c r="E3" s="249" t="s">
        <v>240</v>
      </c>
      <c r="F3" s="249" t="s">
        <v>230</v>
      </c>
      <c r="G3" s="249" t="s">
        <v>312</v>
      </c>
      <c r="H3" s="249" t="s">
        <v>208</v>
      </c>
    </row>
    <row r="4" spans="1:8" ht="15.75">
      <c r="A4" s="244" t="s">
        <v>211</v>
      </c>
      <c r="B4" s="238">
        <v>3.26</v>
      </c>
      <c r="C4" s="208">
        <v>0.036</v>
      </c>
      <c r="D4" s="250">
        <f>1/C4</f>
        <v>27.77777777777778</v>
      </c>
      <c r="E4" s="206">
        <v>0</v>
      </c>
      <c r="F4" s="207">
        <f>SUM($E$4:E4)</f>
        <v>0</v>
      </c>
      <c r="G4" s="206">
        <v>0</v>
      </c>
      <c r="H4" s="206">
        <v>0</v>
      </c>
    </row>
    <row r="5" spans="1:8" ht="15.75">
      <c r="A5" s="244" t="s">
        <v>212</v>
      </c>
      <c r="B5" s="238">
        <v>3.34</v>
      </c>
      <c r="C5" s="208">
        <v>0.031</v>
      </c>
      <c r="D5" s="250">
        <f>1/C5</f>
        <v>32.25806451612903</v>
      </c>
      <c r="E5" s="251">
        <f>B5-B4</f>
        <v>0.08000000000000007</v>
      </c>
      <c r="F5" s="207">
        <f>SUM($E$4:E5)</f>
        <v>0.08000000000000007</v>
      </c>
      <c r="G5" s="208">
        <f>C4-C5</f>
        <v>0.0049999999999999975</v>
      </c>
      <c r="H5" s="207">
        <f>E5/G5</f>
        <v>16.00000000000002</v>
      </c>
    </row>
    <row r="6" spans="1:8" ht="15.75">
      <c r="A6" s="255" t="s">
        <v>326</v>
      </c>
      <c r="B6" s="207">
        <v>4.13</v>
      </c>
      <c r="C6" s="208">
        <v>0.02</v>
      </c>
      <c r="D6" s="250">
        <f>1/C6</f>
        <v>50</v>
      </c>
      <c r="E6" s="251">
        <f>B6-B5</f>
        <v>0.79</v>
      </c>
      <c r="F6" s="207">
        <f>SUM($E$4:E6)</f>
        <v>0.8700000000000001</v>
      </c>
      <c r="G6" s="208">
        <f>C5-C6</f>
        <v>0.011</v>
      </c>
      <c r="H6" s="207">
        <f>E6/G6</f>
        <v>71.81818181818183</v>
      </c>
    </row>
    <row r="7" spans="1:8" ht="15.75">
      <c r="A7" s="206"/>
      <c r="B7" s="207"/>
      <c r="C7" s="208"/>
      <c r="D7" s="252" t="s">
        <v>314</v>
      </c>
      <c r="E7" s="253"/>
      <c r="F7" s="253">
        <f>SUM($E$4:E7)</f>
        <v>0.8700000000000001</v>
      </c>
      <c r="G7" s="247">
        <f>SUM(G4:G6)</f>
        <v>0.015999999999999997</v>
      </c>
      <c r="H7" s="206"/>
    </row>
    <row r="8" spans="1:8" ht="15.75">
      <c r="A8" s="248"/>
      <c r="B8" s="248"/>
      <c r="C8" s="248"/>
      <c r="D8" s="248"/>
      <c r="E8" s="248"/>
      <c r="F8" s="248"/>
      <c r="G8" s="248"/>
      <c r="H8" s="248"/>
    </row>
    <row r="9" spans="1:8" ht="15.75">
      <c r="A9" s="256" t="s">
        <v>327</v>
      </c>
      <c r="B9" s="248"/>
      <c r="C9" s="248"/>
      <c r="D9" s="248"/>
      <c r="E9" s="248"/>
      <c r="F9" s="248"/>
      <c r="G9" s="248"/>
      <c r="H9" s="248"/>
    </row>
    <row r="10" spans="1:8" ht="25.5">
      <c r="A10" s="247" t="s">
        <v>52</v>
      </c>
      <c r="B10" s="249" t="s">
        <v>308</v>
      </c>
      <c r="C10" s="249" t="s">
        <v>207</v>
      </c>
      <c r="D10" s="249" t="s">
        <v>309</v>
      </c>
      <c r="E10" s="249" t="s">
        <v>240</v>
      </c>
      <c r="F10" s="249" t="s">
        <v>230</v>
      </c>
      <c r="G10" s="249" t="s">
        <v>312</v>
      </c>
      <c r="H10" s="249" t="s">
        <v>208</v>
      </c>
    </row>
    <row r="11" spans="1:8" ht="15.75">
      <c r="A11" s="244" t="s">
        <v>211</v>
      </c>
      <c r="B11" s="238">
        <v>3.26</v>
      </c>
      <c r="C11" s="208">
        <v>0.036</v>
      </c>
      <c r="D11" s="250">
        <f>1/C11</f>
        <v>27.77777777777778</v>
      </c>
      <c r="E11" s="206">
        <v>0</v>
      </c>
      <c r="F11" s="207">
        <f>SUM($E$11:E11)</f>
        <v>0</v>
      </c>
      <c r="G11" s="206">
        <v>0</v>
      </c>
      <c r="H11" s="206">
        <v>0</v>
      </c>
    </row>
    <row r="12" spans="1:8" ht="15.75">
      <c r="A12" s="244" t="s">
        <v>212</v>
      </c>
      <c r="B12" s="238">
        <v>3.34</v>
      </c>
      <c r="C12" s="208">
        <v>0.031</v>
      </c>
      <c r="D12" s="250">
        <f>1/C12</f>
        <v>32.25806451612903</v>
      </c>
      <c r="E12" s="251">
        <f>B12-B11</f>
        <v>0.08000000000000007</v>
      </c>
      <c r="F12" s="207">
        <f>SUM($E$11:E12)</f>
        <v>0.08000000000000007</v>
      </c>
      <c r="G12" s="208">
        <f>C11-C12</f>
        <v>0.0049999999999999975</v>
      </c>
      <c r="H12" s="207">
        <f>E12/G12</f>
        <v>16.00000000000002</v>
      </c>
    </row>
    <row r="13" spans="1:8" ht="15.75">
      <c r="A13" s="255" t="s">
        <v>184</v>
      </c>
      <c r="B13" s="207">
        <v>3.81</v>
      </c>
      <c r="C13" s="208">
        <v>0.02</v>
      </c>
      <c r="D13" s="250">
        <f>1/C13</f>
        <v>50</v>
      </c>
      <c r="E13" s="251">
        <f>B13-B12</f>
        <v>0.4700000000000002</v>
      </c>
      <c r="F13" s="207">
        <f>SUM($E$11:E13)</f>
        <v>0.5500000000000003</v>
      </c>
      <c r="G13" s="208">
        <f>C12-C13</f>
        <v>0.011</v>
      </c>
      <c r="H13" s="207">
        <f>E13/G13</f>
        <v>42.72727272727275</v>
      </c>
    </row>
    <row r="14" spans="1:8" ht="15.75">
      <c r="A14" s="257" t="s">
        <v>186</v>
      </c>
      <c r="B14" s="207">
        <v>4.08</v>
      </c>
      <c r="C14" s="208">
        <v>0.017</v>
      </c>
      <c r="D14" s="250">
        <f>1/C14</f>
        <v>58.8235294117647</v>
      </c>
      <c r="E14" s="251">
        <f>B14-B13</f>
        <v>0.27</v>
      </c>
      <c r="F14" s="207">
        <f>SUM($E$11:E14)</f>
        <v>0.8200000000000003</v>
      </c>
      <c r="G14" s="208">
        <f>C13-C14</f>
        <v>0.002999999999999999</v>
      </c>
      <c r="H14" s="207">
        <f>E14/G14</f>
        <v>90.00000000000003</v>
      </c>
    </row>
    <row r="15" spans="1:8" ht="15.75">
      <c r="A15" s="206"/>
      <c r="B15" s="207"/>
      <c r="C15" s="208"/>
      <c r="D15" s="252" t="s">
        <v>314</v>
      </c>
      <c r="E15" s="253"/>
      <c r="F15" s="253">
        <f>SUM($E$11:E15)</f>
        <v>0.8200000000000003</v>
      </c>
      <c r="G15" s="247">
        <f>SUM(G11:G13)</f>
        <v>0.015999999999999997</v>
      </c>
      <c r="H15" s="206"/>
    </row>
  </sheetData>
  <printOptions gridLines="1"/>
  <pageMargins left="0.5" right="0.5" top="0.5" bottom="0.75" header="0.5" footer="0.5"/>
  <pageSetup orientation="landscape" r:id="rId1"/>
</worksheet>
</file>

<file path=xl/worksheets/sheet13.xml><?xml version="1.0" encoding="utf-8"?>
<worksheet xmlns="http://schemas.openxmlformats.org/spreadsheetml/2006/main" xmlns:r="http://schemas.openxmlformats.org/officeDocument/2006/relationships">
  <sheetPr codeName="Sheet15"/>
  <dimension ref="A1:H14"/>
  <sheetViews>
    <sheetView workbookViewId="0" topLeftCell="A1">
      <selection activeCell="C6" sqref="C6"/>
    </sheetView>
  </sheetViews>
  <sheetFormatPr defaultColWidth="9.140625" defaultRowHeight="12.75"/>
  <cols>
    <col min="1" max="1" width="18.8515625" style="205" customWidth="1"/>
    <col min="2" max="2" width="10.7109375" style="205" customWidth="1"/>
    <col min="3" max="3" width="5.8515625" style="205" customWidth="1"/>
    <col min="4" max="4" width="9.7109375" style="205" customWidth="1"/>
    <col min="5" max="5" width="12.00390625" style="205" customWidth="1"/>
    <col min="6" max="6" width="11.140625" style="205" customWidth="1"/>
    <col min="7" max="7" width="12.00390625" style="205" customWidth="1"/>
    <col min="8" max="16384" width="11.421875" style="205" customWidth="1"/>
  </cols>
  <sheetData>
    <row r="1" spans="1:8" ht="15.75">
      <c r="A1" s="256" t="s">
        <v>328</v>
      </c>
      <c r="B1" s="248"/>
      <c r="C1" s="248"/>
      <c r="D1" s="248"/>
      <c r="E1" s="248"/>
      <c r="F1" s="248"/>
      <c r="G1" s="248"/>
      <c r="H1" s="248"/>
    </row>
    <row r="2" spans="1:8" ht="15.75">
      <c r="A2" s="256" t="s">
        <v>329</v>
      </c>
      <c r="B2" s="248"/>
      <c r="C2" s="248"/>
      <c r="D2" s="248"/>
      <c r="E2" s="248"/>
      <c r="F2" s="248"/>
      <c r="G2" s="248"/>
      <c r="H2" s="248"/>
    </row>
    <row r="3" spans="1:8" ht="25.5">
      <c r="A3" s="247" t="s">
        <v>52</v>
      </c>
      <c r="B3" s="249" t="s">
        <v>308</v>
      </c>
      <c r="C3" s="249" t="s">
        <v>207</v>
      </c>
      <c r="D3" s="249" t="s">
        <v>309</v>
      </c>
      <c r="E3" s="249" t="s">
        <v>240</v>
      </c>
      <c r="F3" s="249" t="s">
        <v>230</v>
      </c>
      <c r="G3" s="249" t="s">
        <v>312</v>
      </c>
      <c r="H3" s="249" t="s">
        <v>208</v>
      </c>
    </row>
    <row r="4" spans="1:8" ht="15.75">
      <c r="A4" s="237" t="s">
        <v>213</v>
      </c>
      <c r="B4" s="238">
        <v>3.49</v>
      </c>
      <c r="C4" s="208">
        <v>0.043</v>
      </c>
      <c r="D4" s="250">
        <f>1/C4</f>
        <v>23.255813953488374</v>
      </c>
      <c r="E4" s="206">
        <v>0</v>
      </c>
      <c r="F4" s="207">
        <f>SUM($E$4:E4)</f>
        <v>0</v>
      </c>
      <c r="G4" s="206">
        <v>0</v>
      </c>
      <c r="H4" s="206">
        <v>0</v>
      </c>
    </row>
    <row r="5" spans="1:8" ht="15.75">
      <c r="A5" s="244" t="s">
        <v>183</v>
      </c>
      <c r="B5" s="238">
        <v>3.57</v>
      </c>
      <c r="C5" s="208">
        <v>0.035</v>
      </c>
      <c r="D5" s="250">
        <f>1/C5</f>
        <v>28.57142857142857</v>
      </c>
      <c r="E5" s="251">
        <f>B5-B4</f>
        <v>0.07999999999999963</v>
      </c>
      <c r="F5" s="207">
        <f>SUM($E$4:E5)</f>
        <v>0.07999999999999963</v>
      </c>
      <c r="G5" s="208">
        <f>C4-C5</f>
        <v>0.007999999999999993</v>
      </c>
      <c r="H5" s="207">
        <f>E5/G5</f>
        <v>9.999999999999963</v>
      </c>
    </row>
    <row r="6" spans="1:8" ht="15.75">
      <c r="A6" s="257" t="s">
        <v>185</v>
      </c>
      <c r="B6" s="207">
        <v>4.75</v>
      </c>
      <c r="C6" s="208">
        <v>0.026</v>
      </c>
      <c r="D6" s="250">
        <f>1/C6</f>
        <v>38.46153846153846</v>
      </c>
      <c r="E6" s="251">
        <f>B6-B5</f>
        <v>1.1800000000000002</v>
      </c>
      <c r="F6" s="207">
        <f>SUM($E$4:E6)</f>
        <v>1.2599999999999998</v>
      </c>
      <c r="G6" s="208">
        <f>C5-C6</f>
        <v>0.009000000000000005</v>
      </c>
      <c r="H6" s="207">
        <f>E6/G6</f>
        <v>131.11111111111106</v>
      </c>
    </row>
    <row r="7" spans="1:8" ht="15.75">
      <c r="A7" s="206"/>
      <c r="B7" s="207"/>
      <c r="C7" s="208"/>
      <c r="D7" s="252" t="s">
        <v>314</v>
      </c>
      <c r="E7" s="253"/>
      <c r="F7" s="253">
        <f>SUM($E$4:E7)</f>
        <v>1.2599999999999998</v>
      </c>
      <c r="G7" s="247">
        <f>SUM(G4:G6)</f>
        <v>0.016999999999999998</v>
      </c>
      <c r="H7" s="206"/>
    </row>
    <row r="8" spans="1:8" ht="15.75">
      <c r="A8" s="248"/>
      <c r="B8" s="248"/>
      <c r="C8" s="248"/>
      <c r="D8" s="248"/>
      <c r="E8" s="248"/>
      <c r="F8" s="248"/>
      <c r="G8" s="248"/>
      <c r="H8" s="248"/>
    </row>
    <row r="9" spans="1:8" ht="15.75">
      <c r="A9" s="256" t="s">
        <v>330</v>
      </c>
      <c r="B9" s="248"/>
      <c r="C9" s="248"/>
      <c r="D9" s="248"/>
      <c r="E9" s="248"/>
      <c r="F9" s="248"/>
      <c r="G9" s="248"/>
      <c r="H9" s="248"/>
    </row>
    <row r="10" spans="1:8" ht="25.5">
      <c r="A10" s="247" t="s">
        <v>52</v>
      </c>
      <c r="B10" s="249" t="s">
        <v>308</v>
      </c>
      <c r="C10" s="249" t="s">
        <v>207</v>
      </c>
      <c r="D10" s="249" t="s">
        <v>309</v>
      </c>
      <c r="E10" s="249" t="s">
        <v>240</v>
      </c>
      <c r="F10" s="249" t="s">
        <v>230</v>
      </c>
      <c r="G10" s="249" t="s">
        <v>312</v>
      </c>
      <c r="H10" s="249" t="s">
        <v>208</v>
      </c>
    </row>
    <row r="11" spans="1:8" ht="15.75">
      <c r="A11" s="237" t="s">
        <v>331</v>
      </c>
      <c r="B11" s="238">
        <v>2.91</v>
      </c>
      <c r="C11" s="208">
        <v>0.034</v>
      </c>
      <c r="D11" s="250">
        <f>1/C11</f>
        <v>29.41176470588235</v>
      </c>
      <c r="E11" s="206">
        <v>0</v>
      </c>
      <c r="F11" s="207">
        <f>SUM($E$11:E11)</f>
        <v>0</v>
      </c>
      <c r="G11" s="206">
        <v>0</v>
      </c>
      <c r="H11" s="206">
        <v>0</v>
      </c>
    </row>
    <row r="12" spans="1:8" ht="15.75">
      <c r="A12" s="237" t="s">
        <v>332</v>
      </c>
      <c r="B12" s="238">
        <v>3.32</v>
      </c>
      <c r="C12" s="208">
        <v>0.027</v>
      </c>
      <c r="D12" s="250">
        <f>1/C12</f>
        <v>37.03703703703704</v>
      </c>
      <c r="E12" s="251">
        <f>B12-B11</f>
        <v>0.4099999999999997</v>
      </c>
      <c r="F12" s="207">
        <f>SUM($E$11:E12)</f>
        <v>0.4099999999999997</v>
      </c>
      <c r="G12" s="208">
        <f>C11-C12</f>
        <v>0.007000000000000003</v>
      </c>
      <c r="H12" s="207">
        <f>E12/G12</f>
        <v>58.571428571428505</v>
      </c>
    </row>
    <row r="13" spans="1:8" ht="15.75">
      <c r="A13" s="257" t="s">
        <v>185</v>
      </c>
      <c r="B13" s="207">
        <v>4.75</v>
      </c>
      <c r="C13" s="208">
        <v>0.026</v>
      </c>
      <c r="D13" s="250">
        <f>1/C13</f>
        <v>38.46153846153846</v>
      </c>
      <c r="E13" s="251">
        <f>B13-B12</f>
        <v>1.4300000000000002</v>
      </c>
      <c r="F13" s="207">
        <f>SUM($E$11:E13)</f>
        <v>1.8399999999999999</v>
      </c>
      <c r="G13" s="208">
        <f>C12-C13</f>
        <v>0.0010000000000000009</v>
      </c>
      <c r="H13" s="207">
        <f>E13/G13</f>
        <v>1429.9999999999989</v>
      </c>
    </row>
    <row r="14" spans="1:8" ht="15.75">
      <c r="A14" s="206"/>
      <c r="B14" s="207"/>
      <c r="C14" s="208"/>
      <c r="D14" s="252" t="s">
        <v>314</v>
      </c>
      <c r="E14" s="253"/>
      <c r="F14" s="253">
        <f>SUM($E$11:E14)</f>
        <v>1.8399999999999999</v>
      </c>
      <c r="G14" s="247">
        <f>SUM(G11:G13)</f>
        <v>0.008000000000000004</v>
      </c>
      <c r="H14" s="206"/>
    </row>
  </sheetData>
  <printOptions gridLines="1"/>
  <pageMargins left="0.5" right="0.5" top="0.5" bottom="0.5" header="0.5" footer="0.5"/>
  <pageSetup orientation="landscape" r:id="rId1"/>
</worksheet>
</file>

<file path=xl/worksheets/sheet14.xml><?xml version="1.0" encoding="utf-8"?>
<worksheet xmlns="http://schemas.openxmlformats.org/spreadsheetml/2006/main" xmlns:r="http://schemas.openxmlformats.org/officeDocument/2006/relationships">
  <sheetPr codeName="Sheet16"/>
  <dimension ref="A1:H16"/>
  <sheetViews>
    <sheetView workbookViewId="0" topLeftCell="A1">
      <selection activeCell="B19" sqref="B19"/>
    </sheetView>
  </sheetViews>
  <sheetFormatPr defaultColWidth="9.140625" defaultRowHeight="12.75"/>
  <cols>
    <col min="1" max="1" width="24.421875" style="205" customWidth="1"/>
    <col min="2" max="2" width="11.421875" style="205" customWidth="1"/>
    <col min="3" max="3" width="7.140625" style="205" customWidth="1"/>
    <col min="4" max="4" width="9.140625" style="205" customWidth="1"/>
    <col min="5" max="5" width="11.7109375" style="205" customWidth="1"/>
    <col min="6" max="6" width="11.28125" style="205" customWidth="1"/>
    <col min="7" max="7" width="11.7109375" style="205" customWidth="1"/>
    <col min="8" max="8" width="8.00390625" style="205" customWidth="1"/>
    <col min="9" max="16384" width="11.421875" style="205" customWidth="1"/>
  </cols>
  <sheetData>
    <row r="1" spans="1:8" ht="15.75">
      <c r="A1" s="258" t="s">
        <v>333</v>
      </c>
      <c r="B1" s="248"/>
      <c r="C1" s="248"/>
      <c r="D1" s="248"/>
      <c r="E1" s="248"/>
      <c r="F1" s="248"/>
      <c r="G1" s="248"/>
      <c r="H1" s="248"/>
    </row>
    <row r="2" spans="1:8" ht="15.75">
      <c r="A2" s="258" t="s">
        <v>334</v>
      </c>
      <c r="B2" s="248"/>
      <c r="C2" s="248"/>
      <c r="D2" s="248"/>
      <c r="E2" s="248"/>
      <c r="F2" s="248"/>
      <c r="G2" s="248"/>
      <c r="H2" s="248"/>
    </row>
    <row r="3" spans="1:8" ht="25.5">
      <c r="A3" s="247" t="s">
        <v>52</v>
      </c>
      <c r="B3" s="249" t="s">
        <v>308</v>
      </c>
      <c r="C3" s="249" t="s">
        <v>207</v>
      </c>
      <c r="D3" s="249" t="s">
        <v>309</v>
      </c>
      <c r="E3" s="249" t="s">
        <v>240</v>
      </c>
      <c r="F3" s="249" t="s">
        <v>230</v>
      </c>
      <c r="G3" s="249" t="s">
        <v>312</v>
      </c>
      <c r="H3" s="249" t="s">
        <v>208</v>
      </c>
    </row>
    <row r="4" spans="1:8" ht="15.75">
      <c r="A4" s="244" t="s">
        <v>214</v>
      </c>
      <c r="B4" s="238">
        <v>2.9</v>
      </c>
      <c r="C4" s="208">
        <v>0.041</v>
      </c>
      <c r="D4" s="250">
        <f>1/C4</f>
        <v>24.390243902439025</v>
      </c>
      <c r="E4" s="206">
        <v>0</v>
      </c>
      <c r="F4" s="207">
        <f>SUM($E$4:E4)</f>
        <v>0</v>
      </c>
      <c r="G4" s="206">
        <v>0</v>
      </c>
      <c r="H4" s="206">
        <v>0</v>
      </c>
    </row>
    <row r="5" spans="1:8" ht="15.75">
      <c r="A5" s="237" t="s">
        <v>180</v>
      </c>
      <c r="B5" s="238">
        <v>3</v>
      </c>
      <c r="C5" s="208">
        <v>0.033</v>
      </c>
      <c r="D5" s="250">
        <f>1/C5</f>
        <v>30.3030303030303</v>
      </c>
      <c r="E5" s="251">
        <f>B5-B4</f>
        <v>0.10000000000000009</v>
      </c>
      <c r="F5" s="207">
        <f>SUM($E$4:E5)</f>
        <v>0.10000000000000009</v>
      </c>
      <c r="G5" s="208">
        <f>C4-C5</f>
        <v>0.008</v>
      </c>
      <c r="H5" s="207">
        <f>E5/G5</f>
        <v>12.50000000000001</v>
      </c>
    </row>
    <row r="6" spans="1:8" ht="15.75">
      <c r="A6" s="237" t="s">
        <v>181</v>
      </c>
      <c r="B6" s="238">
        <v>3.06</v>
      </c>
      <c r="C6" s="208">
        <v>0.029</v>
      </c>
      <c r="D6" s="250">
        <f>1/C6</f>
        <v>34.48275862068965</v>
      </c>
      <c r="E6" s="251">
        <f>B6-B5</f>
        <v>0.06000000000000005</v>
      </c>
      <c r="F6" s="207">
        <f>SUM($E$4:E6)</f>
        <v>0.16000000000000014</v>
      </c>
      <c r="G6" s="208">
        <f>C5-C6</f>
        <v>0.004</v>
      </c>
      <c r="H6" s="207">
        <f>E6/G6</f>
        <v>15.000000000000012</v>
      </c>
    </row>
    <row r="7" spans="1:8" ht="15.75">
      <c r="A7" s="237" t="s">
        <v>357</v>
      </c>
      <c r="B7" s="238">
        <v>3.33</v>
      </c>
      <c r="C7" s="208">
        <v>0.022</v>
      </c>
      <c r="D7" s="250">
        <f>1/C7</f>
        <v>45.45454545454546</v>
      </c>
      <c r="E7" s="251">
        <f>B7-B6</f>
        <v>0.27</v>
      </c>
      <c r="F7" s="207">
        <f>SUM($E$4:E7)</f>
        <v>0.43000000000000016</v>
      </c>
      <c r="G7" s="208">
        <f>C6-C7</f>
        <v>0.007000000000000003</v>
      </c>
      <c r="H7" s="207">
        <f>E7/G7</f>
        <v>38.57142857142856</v>
      </c>
    </row>
    <row r="8" spans="1:8" ht="15.75">
      <c r="A8" s="206"/>
      <c r="B8" s="207"/>
      <c r="C8" s="208"/>
      <c r="D8" s="252" t="s">
        <v>314</v>
      </c>
      <c r="E8" s="253"/>
      <c r="F8" s="253">
        <f>SUM($E$4:E8)</f>
        <v>0.43000000000000016</v>
      </c>
      <c r="G8" s="247">
        <f>SUM(G4:G7)</f>
        <v>0.019000000000000003</v>
      </c>
      <c r="H8" s="206"/>
    </row>
    <row r="9" spans="1:8" ht="15.75">
      <c r="A9" s="248"/>
      <c r="B9" s="248"/>
      <c r="C9" s="248"/>
      <c r="D9" s="248"/>
      <c r="E9" s="248"/>
      <c r="F9" s="248"/>
      <c r="G9" s="248"/>
      <c r="H9" s="248"/>
    </row>
    <row r="10" spans="1:8" ht="15.75">
      <c r="A10" s="256" t="s">
        <v>335</v>
      </c>
      <c r="B10" s="248"/>
      <c r="C10" s="248"/>
      <c r="D10" s="248"/>
      <c r="E10" s="248"/>
      <c r="F10" s="248"/>
      <c r="G10" s="248"/>
      <c r="H10" s="248"/>
    </row>
    <row r="11" spans="1:8" ht="25.5">
      <c r="A11" s="247" t="s">
        <v>52</v>
      </c>
      <c r="B11" s="249" t="s">
        <v>308</v>
      </c>
      <c r="C11" s="249" t="s">
        <v>207</v>
      </c>
      <c r="D11" s="249" t="s">
        <v>309</v>
      </c>
      <c r="E11" s="249" t="s">
        <v>240</v>
      </c>
      <c r="F11" s="249" t="s">
        <v>230</v>
      </c>
      <c r="G11" s="249" t="s">
        <v>312</v>
      </c>
      <c r="H11" s="249" t="s">
        <v>208</v>
      </c>
    </row>
    <row r="12" spans="1:8" ht="15.75">
      <c r="A12" s="244" t="s">
        <v>214</v>
      </c>
      <c r="B12" s="238">
        <v>2.9</v>
      </c>
      <c r="C12" s="208">
        <v>0.041</v>
      </c>
      <c r="D12" s="250">
        <f>1/C12</f>
        <v>24.390243902439025</v>
      </c>
      <c r="E12" s="206">
        <v>0</v>
      </c>
      <c r="F12" s="207">
        <f>SUM($E$12:E12)</f>
        <v>0</v>
      </c>
      <c r="G12" s="206">
        <v>0</v>
      </c>
      <c r="H12" s="206">
        <v>0</v>
      </c>
    </row>
    <row r="13" spans="1:8" ht="15.75">
      <c r="A13" s="237" t="s">
        <v>180</v>
      </c>
      <c r="B13" s="238">
        <v>3</v>
      </c>
      <c r="C13" s="208">
        <v>0.033</v>
      </c>
      <c r="D13" s="250">
        <f>1/C13</f>
        <v>30.3030303030303</v>
      </c>
      <c r="E13" s="251">
        <f>B13-B12</f>
        <v>0.10000000000000009</v>
      </c>
      <c r="F13" s="207">
        <f>SUM($E$12:E13)</f>
        <v>0.10000000000000009</v>
      </c>
      <c r="G13" s="208">
        <f>C12-C13</f>
        <v>0.008</v>
      </c>
      <c r="H13" s="207">
        <f>E13/G13</f>
        <v>12.50000000000001</v>
      </c>
    </row>
    <row r="14" spans="1:8" ht="15.75">
      <c r="A14" s="237" t="s">
        <v>181</v>
      </c>
      <c r="B14" s="238">
        <v>3.06</v>
      </c>
      <c r="C14" s="208">
        <v>0.029</v>
      </c>
      <c r="D14" s="250">
        <f>1/C14</f>
        <v>34.48275862068965</v>
      </c>
      <c r="E14" s="251">
        <f>B14-B13</f>
        <v>0.06000000000000005</v>
      </c>
      <c r="F14" s="207">
        <f>SUM($E$12:E14)</f>
        <v>0.16000000000000014</v>
      </c>
      <c r="G14" s="208">
        <f>C13-C14</f>
        <v>0.004</v>
      </c>
      <c r="H14" s="207">
        <f>E14/G14</f>
        <v>15.000000000000012</v>
      </c>
    </row>
    <row r="15" spans="1:8" ht="15.75">
      <c r="A15" s="237" t="s">
        <v>358</v>
      </c>
      <c r="B15" s="238">
        <v>3.45</v>
      </c>
      <c r="C15" s="208">
        <v>0.022</v>
      </c>
      <c r="D15" s="250">
        <f>1/C15</f>
        <v>45.45454545454546</v>
      </c>
      <c r="E15" s="251">
        <f>B15-B14</f>
        <v>0.3900000000000001</v>
      </c>
      <c r="F15" s="207">
        <f>SUM($E$12:E15)</f>
        <v>0.5500000000000003</v>
      </c>
      <c r="G15" s="208">
        <f>C14-C15</f>
        <v>0.007000000000000003</v>
      </c>
      <c r="H15" s="207">
        <f>E15/G15</f>
        <v>55.71428571428571</v>
      </c>
    </row>
    <row r="16" spans="1:8" ht="15.75">
      <c r="A16" s="206"/>
      <c r="B16" s="207"/>
      <c r="C16" s="208"/>
      <c r="D16" s="252" t="s">
        <v>314</v>
      </c>
      <c r="E16" s="253"/>
      <c r="F16" s="253">
        <f>SUM($E$12:E16)</f>
        <v>0.5500000000000003</v>
      </c>
      <c r="G16" s="247">
        <f>SUM(G12:G15)</f>
        <v>0.019000000000000003</v>
      </c>
      <c r="H16" s="206"/>
    </row>
  </sheetData>
  <printOptions gridLines="1"/>
  <pageMargins left="0.5" right="0.5" top="0.5" bottom="0.5" header="0.5" footer="0.5"/>
  <pageSetup orientation="landscape" r:id="rId1"/>
</worksheet>
</file>

<file path=xl/worksheets/sheet15.xml><?xml version="1.0" encoding="utf-8"?>
<worksheet xmlns="http://schemas.openxmlformats.org/spreadsheetml/2006/main" xmlns:r="http://schemas.openxmlformats.org/officeDocument/2006/relationships">
  <sheetPr codeName="Sheet17"/>
  <dimension ref="A1:J18"/>
  <sheetViews>
    <sheetView workbookViewId="0" topLeftCell="A1">
      <selection activeCell="C4" sqref="C4"/>
    </sheetView>
  </sheetViews>
  <sheetFormatPr defaultColWidth="9.140625" defaultRowHeight="12.75"/>
  <cols>
    <col min="1" max="1" width="16.421875" style="205" customWidth="1"/>
    <col min="2" max="2" width="8.7109375" style="205" customWidth="1"/>
    <col min="3" max="3" width="10.28125" style="205" customWidth="1"/>
    <col min="4" max="4" width="7.8515625" style="205" customWidth="1"/>
    <col min="5" max="5" width="8.7109375" style="205" customWidth="1"/>
    <col min="6" max="8" width="12.57421875" style="205" customWidth="1"/>
    <col min="9" max="16384" width="11.421875" style="205" customWidth="1"/>
  </cols>
  <sheetData>
    <row r="1" spans="1:9" ht="15.75">
      <c r="A1" s="258" t="s">
        <v>336</v>
      </c>
      <c r="B1" s="254"/>
      <c r="C1" s="254"/>
      <c r="D1" s="248"/>
      <c r="E1" s="248"/>
      <c r="F1" s="248"/>
      <c r="G1" s="248"/>
      <c r="H1" s="248"/>
      <c r="I1" s="248"/>
    </row>
    <row r="2" spans="1:9" ht="38.25">
      <c r="A2" s="247" t="s">
        <v>52</v>
      </c>
      <c r="B2" s="249" t="s">
        <v>308</v>
      </c>
      <c r="C2" s="249" t="s">
        <v>337</v>
      </c>
      <c r="D2" s="259" t="s">
        <v>338</v>
      </c>
      <c r="E2" s="249" t="s">
        <v>309</v>
      </c>
      <c r="F2" s="259" t="s">
        <v>310</v>
      </c>
      <c r="G2" s="259" t="s">
        <v>311</v>
      </c>
      <c r="H2" s="249" t="s">
        <v>312</v>
      </c>
      <c r="I2" s="249" t="s">
        <v>208</v>
      </c>
    </row>
    <row r="3" spans="1:10" ht="15.75">
      <c r="A3" s="244" t="s">
        <v>215</v>
      </c>
      <c r="B3" s="238">
        <v>6.49</v>
      </c>
      <c r="C3" s="260">
        <v>0.65</v>
      </c>
      <c r="D3" s="208">
        <f aca="true" t="shared" si="0" ref="D3:D8">1/((1/C3)+0.08)</f>
        <v>0.6178707224334601</v>
      </c>
      <c r="E3" s="250">
        <f aca="true" t="shared" si="1" ref="E3:E8">1/D3</f>
        <v>1.6184615384615384</v>
      </c>
      <c r="F3" s="206">
        <v>0</v>
      </c>
      <c r="G3" s="207">
        <f>SUM($F$3:F3)</f>
        <v>0</v>
      </c>
      <c r="H3" s="206">
        <v>0</v>
      </c>
      <c r="I3" s="206">
        <v>0</v>
      </c>
      <c r="J3" s="261"/>
    </row>
    <row r="4" spans="1:9" ht="15.75">
      <c r="A4" s="244" t="s">
        <v>216</v>
      </c>
      <c r="B4" s="238">
        <v>6.63</v>
      </c>
      <c r="C4" s="260">
        <v>0.5</v>
      </c>
      <c r="D4" s="208">
        <f t="shared" si="0"/>
        <v>0.4807692307692307</v>
      </c>
      <c r="E4" s="250">
        <f t="shared" si="1"/>
        <v>2.08</v>
      </c>
      <c r="F4" s="251">
        <f>B4-B3</f>
        <v>0.13999999999999968</v>
      </c>
      <c r="G4" s="207">
        <f>SUM($F$3:F4)</f>
        <v>0.13999999999999968</v>
      </c>
      <c r="H4" s="208">
        <f>D3-D4</f>
        <v>0.13710149166422936</v>
      </c>
      <c r="I4" s="207">
        <f>F4/H4</f>
        <v>1.0211413333333306</v>
      </c>
    </row>
    <row r="5" spans="1:9" ht="15.75">
      <c r="A5" s="257" t="s">
        <v>217</v>
      </c>
      <c r="B5" s="238">
        <v>8.21</v>
      </c>
      <c r="C5" s="260">
        <v>0.4</v>
      </c>
      <c r="D5" s="208">
        <f t="shared" si="0"/>
        <v>0.38759689922480617</v>
      </c>
      <c r="E5" s="250">
        <f t="shared" si="1"/>
        <v>2.58</v>
      </c>
      <c r="F5" s="251">
        <f>B5-B4</f>
        <v>1.580000000000001</v>
      </c>
      <c r="G5" s="207">
        <f>SUM($F$3:F5)</f>
        <v>1.7200000000000006</v>
      </c>
      <c r="H5" s="208">
        <f>D4-D5</f>
        <v>0.09317233154442456</v>
      </c>
      <c r="I5" s="207">
        <f>F5/H5</f>
        <v>16.957824000000013</v>
      </c>
    </row>
    <row r="6" spans="1:9" ht="15.75">
      <c r="A6" s="206" t="s">
        <v>179</v>
      </c>
      <c r="B6" s="238">
        <v>8.66</v>
      </c>
      <c r="C6" s="260">
        <v>0.35</v>
      </c>
      <c r="D6" s="208">
        <f t="shared" si="0"/>
        <v>0.3404669260700389</v>
      </c>
      <c r="E6" s="250">
        <f t="shared" si="1"/>
        <v>2.937142857142857</v>
      </c>
      <c r="F6" s="251">
        <f>B6-B5</f>
        <v>0.4499999999999993</v>
      </c>
      <c r="G6" s="207">
        <f>SUM($F$3:F6)</f>
        <v>2.17</v>
      </c>
      <c r="H6" s="208">
        <f>D5-D6</f>
        <v>0.047129973154767246</v>
      </c>
      <c r="I6" s="207">
        <f>F6/H6</f>
        <v>9.548063999999995</v>
      </c>
    </row>
    <row r="7" spans="1:9" ht="15.75">
      <c r="A7" s="244" t="s">
        <v>339</v>
      </c>
      <c r="B7" s="238">
        <v>11</v>
      </c>
      <c r="C7" s="260">
        <v>0.3</v>
      </c>
      <c r="D7" s="208">
        <f t="shared" si="0"/>
        <v>0.29296875</v>
      </c>
      <c r="E7" s="250">
        <f t="shared" si="1"/>
        <v>3.4133333333333336</v>
      </c>
      <c r="F7" s="251">
        <f>B7-B6</f>
        <v>2.34</v>
      </c>
      <c r="G7" s="207">
        <f>SUM($F$3:F7)</f>
        <v>4.51</v>
      </c>
      <c r="H7" s="208">
        <f>D6-D7</f>
        <v>0.04749817607003892</v>
      </c>
      <c r="I7" s="207">
        <f>F7/H7</f>
        <v>49.26504959999998</v>
      </c>
    </row>
    <row r="8" spans="1:9" ht="15.75">
      <c r="A8" s="206" t="s">
        <v>182</v>
      </c>
      <c r="B8" s="207">
        <v>13.5</v>
      </c>
      <c r="C8" s="262">
        <v>0.25</v>
      </c>
      <c r="D8" s="208">
        <f t="shared" si="0"/>
        <v>0.24509803921568626</v>
      </c>
      <c r="E8" s="250">
        <f t="shared" si="1"/>
        <v>4.08</v>
      </c>
      <c r="F8" s="251">
        <f>B8-B7</f>
        <v>2.5</v>
      </c>
      <c r="G8" s="207">
        <f>SUM($F$3:F8)</f>
        <v>7.01</v>
      </c>
      <c r="H8" s="208">
        <f>D7-D8</f>
        <v>0.047870710784313736</v>
      </c>
      <c r="I8" s="207">
        <f>F8/H8</f>
        <v>52.22399999999999</v>
      </c>
    </row>
    <row r="9" spans="1:9" ht="15.75">
      <c r="A9" s="248"/>
      <c r="B9" s="207"/>
      <c r="C9" s="207"/>
      <c r="D9" s="208"/>
      <c r="E9" s="252" t="s">
        <v>314</v>
      </c>
      <c r="F9" s="253"/>
      <c r="G9" s="253">
        <f>SUM($F$3:F9)</f>
        <v>7.01</v>
      </c>
      <c r="H9" s="263">
        <f>SUM(H3:H8)</f>
        <v>0.3727726832177738</v>
      </c>
      <c r="I9" s="206"/>
    </row>
    <row r="10" spans="1:9" ht="15.75">
      <c r="A10" s="248"/>
      <c r="B10" s="207"/>
      <c r="C10" s="207"/>
      <c r="D10" s="208"/>
      <c r="E10" s="252"/>
      <c r="F10" s="253"/>
      <c r="G10" s="253"/>
      <c r="H10" s="263"/>
      <c r="I10" s="206"/>
    </row>
    <row r="11" ht="15.75">
      <c r="A11" s="232" t="s">
        <v>340</v>
      </c>
    </row>
    <row r="12" spans="1:9" ht="38.25">
      <c r="A12" s="247" t="s">
        <v>52</v>
      </c>
      <c r="B12" s="249" t="s">
        <v>308</v>
      </c>
      <c r="C12" s="249" t="s">
        <v>337</v>
      </c>
      <c r="D12" s="259" t="s">
        <v>338</v>
      </c>
      <c r="E12" s="249" t="s">
        <v>309</v>
      </c>
      <c r="F12" s="259" t="s">
        <v>310</v>
      </c>
      <c r="G12" s="259" t="s">
        <v>311</v>
      </c>
      <c r="H12" s="249" t="s">
        <v>312</v>
      </c>
      <c r="I12" s="249" t="s">
        <v>208</v>
      </c>
    </row>
    <row r="13" spans="1:9" ht="15.75">
      <c r="A13" s="244" t="s">
        <v>215</v>
      </c>
      <c r="B13" s="238">
        <v>6.49</v>
      </c>
      <c r="C13" s="260">
        <v>0.65</v>
      </c>
      <c r="D13" s="208">
        <f>1/((1/C13)+0.08)</f>
        <v>0.6178707224334601</v>
      </c>
      <c r="E13" s="250">
        <f>1/D13</f>
        <v>1.6184615384615384</v>
      </c>
      <c r="F13" s="206">
        <v>0</v>
      </c>
      <c r="G13" s="207">
        <f>SUM($F$13:F13)</f>
        <v>0</v>
      </c>
      <c r="H13" s="206">
        <v>0</v>
      </c>
      <c r="I13" s="206">
        <v>0</v>
      </c>
    </row>
    <row r="14" spans="1:9" ht="15.75">
      <c r="A14" s="244" t="s">
        <v>216</v>
      </c>
      <c r="B14" s="238">
        <v>6.63</v>
      </c>
      <c r="C14" s="260">
        <v>0.5</v>
      </c>
      <c r="D14" s="208">
        <f>1/((1/C14)+0.08)</f>
        <v>0.4807692307692307</v>
      </c>
      <c r="E14" s="250">
        <f>1/D14</f>
        <v>2.08</v>
      </c>
      <c r="F14" s="251">
        <f>B14-B13</f>
        <v>0.13999999999999968</v>
      </c>
      <c r="G14" s="207">
        <f>SUM($F$13:F14)</f>
        <v>0.13999999999999968</v>
      </c>
      <c r="H14" s="208">
        <f>D13-D14</f>
        <v>0.13710149166422936</v>
      </c>
      <c r="I14" s="207">
        <f>F14/H14</f>
        <v>1.0211413333333306</v>
      </c>
    </row>
    <row r="15" spans="1:9" ht="15.75">
      <c r="A15" s="206" t="s">
        <v>179</v>
      </c>
      <c r="B15" s="238">
        <v>8.66</v>
      </c>
      <c r="C15" s="260">
        <v>0.35</v>
      </c>
      <c r="D15" s="208">
        <f>1/((1/C15)+0.08)</f>
        <v>0.3404669260700389</v>
      </c>
      <c r="E15" s="250">
        <f>1/D15</f>
        <v>2.937142857142857</v>
      </c>
      <c r="F15" s="251">
        <f>B15-B14</f>
        <v>2.0300000000000002</v>
      </c>
      <c r="G15" s="207">
        <f>SUM($F$13:F15)</f>
        <v>2.17</v>
      </c>
      <c r="H15" s="208">
        <f>D14-D15</f>
        <v>0.1403023046991918</v>
      </c>
      <c r="I15" s="207">
        <f>F15/H15</f>
        <v>14.468757333333341</v>
      </c>
    </row>
    <row r="16" spans="1:9" ht="15.75">
      <c r="A16" s="244" t="s">
        <v>339</v>
      </c>
      <c r="B16" s="238">
        <v>11</v>
      </c>
      <c r="C16" s="260">
        <v>0.3</v>
      </c>
      <c r="D16" s="208">
        <f>1/((1/C16)+0.08)</f>
        <v>0.29296875</v>
      </c>
      <c r="E16" s="250">
        <f>1/D16</f>
        <v>3.4133333333333336</v>
      </c>
      <c r="F16" s="251">
        <f>B16-B15</f>
        <v>2.34</v>
      </c>
      <c r="G16" s="207">
        <f>SUM($F$13:F16)</f>
        <v>4.51</v>
      </c>
      <c r="H16" s="208">
        <f>D15-D16</f>
        <v>0.04749817607003892</v>
      </c>
      <c r="I16" s="207">
        <f>F16/H16</f>
        <v>49.26504959999998</v>
      </c>
    </row>
    <row r="17" spans="1:9" ht="15.75">
      <c r="A17" s="206" t="s">
        <v>187</v>
      </c>
      <c r="B17" s="207">
        <v>13.5</v>
      </c>
      <c r="C17" s="262">
        <v>0.25</v>
      </c>
      <c r="D17" s="208">
        <f>1/((1/C17)+0.08)</f>
        <v>0.24509803921568626</v>
      </c>
      <c r="E17" s="250">
        <f>1/D17</f>
        <v>4.08</v>
      </c>
      <c r="F17" s="251">
        <f>B17-B16</f>
        <v>2.5</v>
      </c>
      <c r="G17" s="207">
        <f>SUM($F$13:F17)</f>
        <v>7.01</v>
      </c>
      <c r="H17" s="208">
        <f>D16-D17</f>
        <v>0.047870710784313736</v>
      </c>
      <c r="I17" s="207">
        <f>F17/H17</f>
        <v>52.22399999999999</v>
      </c>
    </row>
    <row r="18" spans="1:9" ht="15.75">
      <c r="A18" s="248"/>
      <c r="B18" s="207"/>
      <c r="C18" s="207"/>
      <c r="D18" s="208"/>
      <c r="E18" s="252" t="s">
        <v>314</v>
      </c>
      <c r="F18" s="253"/>
      <c r="G18" s="253">
        <f>SUM($F$13:F17)</f>
        <v>7.01</v>
      </c>
      <c r="H18" s="263">
        <f>SUM(H12:H17)</f>
        <v>0.3727726832177738</v>
      </c>
      <c r="I18" s="206"/>
    </row>
  </sheetData>
  <printOptions gridLines="1"/>
  <pageMargins left="0.75" right="0.75" top="1" bottom="1" header="0.5" footer="0.5"/>
  <pageSetup orientation="landscape"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18"/>
  <dimension ref="A1:H5"/>
  <sheetViews>
    <sheetView workbookViewId="0" topLeftCell="A1">
      <selection activeCell="A6" sqref="A6"/>
    </sheetView>
  </sheetViews>
  <sheetFormatPr defaultColWidth="9.140625" defaultRowHeight="12.75"/>
  <cols>
    <col min="1" max="1" width="14.57421875" style="205" customWidth="1"/>
    <col min="2" max="4" width="11.421875" style="205" customWidth="1"/>
    <col min="5" max="7" width="12.57421875" style="205" customWidth="1"/>
    <col min="8" max="16384" width="11.421875" style="205" customWidth="1"/>
  </cols>
  <sheetData>
    <row r="1" spans="1:8" ht="15.75">
      <c r="A1" s="264" t="s">
        <v>341</v>
      </c>
      <c r="B1" s="247"/>
      <c r="C1" s="206"/>
      <c r="D1" s="206"/>
      <c r="E1" s="206"/>
      <c r="F1" s="206"/>
      <c r="G1" s="206"/>
      <c r="H1" s="206"/>
    </row>
    <row r="2" spans="1:8" ht="25.5">
      <c r="A2" s="247" t="s">
        <v>52</v>
      </c>
      <c r="B2" s="259" t="s">
        <v>342</v>
      </c>
      <c r="C2" s="249" t="s">
        <v>343</v>
      </c>
      <c r="D2" s="249" t="s">
        <v>309</v>
      </c>
      <c r="E2" s="259" t="s">
        <v>344</v>
      </c>
      <c r="F2" s="259" t="s">
        <v>345</v>
      </c>
      <c r="G2" s="249" t="s">
        <v>312</v>
      </c>
      <c r="H2" s="249" t="s">
        <v>208</v>
      </c>
    </row>
    <row r="3" spans="1:8" ht="15.75">
      <c r="A3" s="237" t="s">
        <v>221</v>
      </c>
      <c r="B3" s="238">
        <v>17.68</v>
      </c>
      <c r="C3" s="208">
        <v>0.54</v>
      </c>
      <c r="D3" s="250">
        <f>1/C3</f>
        <v>1.8518518518518516</v>
      </c>
      <c r="E3" s="206">
        <v>0</v>
      </c>
      <c r="F3" s="207">
        <f>SUM($E$3:E3)</f>
        <v>0</v>
      </c>
      <c r="G3" s="206">
        <v>0</v>
      </c>
      <c r="H3" s="206">
        <v>0</v>
      </c>
    </row>
    <row r="4" spans="1:8" ht="15.75">
      <c r="A4" s="255" t="s">
        <v>195</v>
      </c>
      <c r="B4" s="238">
        <v>19.36</v>
      </c>
      <c r="C4" s="208">
        <v>0.48</v>
      </c>
      <c r="D4" s="250">
        <f>1/C4</f>
        <v>2.0833333333333335</v>
      </c>
      <c r="E4" s="251">
        <f>B4-B3</f>
        <v>1.6799999999999997</v>
      </c>
      <c r="F4" s="207">
        <f>SUM($E$3:E4)</f>
        <v>1.6799999999999997</v>
      </c>
      <c r="G4" s="208">
        <f>C3-C4</f>
        <v>0.06000000000000005</v>
      </c>
      <c r="H4" s="207">
        <f>E4/G4</f>
        <v>27.99999999999997</v>
      </c>
    </row>
    <row r="5" spans="1:8" ht="15.75">
      <c r="A5" s="255" t="s">
        <v>403</v>
      </c>
      <c r="B5" s="238">
        <v>22.73</v>
      </c>
      <c r="C5" s="208">
        <v>0.36</v>
      </c>
      <c r="D5" s="250">
        <f>1/C5</f>
        <v>2.7777777777777777</v>
      </c>
      <c r="E5" s="251">
        <f>B5-B4</f>
        <v>3.370000000000001</v>
      </c>
      <c r="F5" s="207">
        <f>SUM($E$3:E5)</f>
        <v>5.050000000000001</v>
      </c>
      <c r="G5" s="208">
        <f>C4-C5</f>
        <v>0.12</v>
      </c>
      <c r="H5" s="207">
        <f>E5/G5</f>
        <v>28.083333333333343</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9"/>
  <dimension ref="A1:H32"/>
  <sheetViews>
    <sheetView workbookViewId="0" topLeftCell="A2">
      <selection activeCell="D16" sqref="D16"/>
    </sheetView>
  </sheetViews>
  <sheetFormatPr defaultColWidth="9.140625" defaultRowHeight="12.75"/>
  <cols>
    <col min="1" max="1" width="13.421875" style="0" customWidth="1"/>
    <col min="2" max="2" width="31.7109375" style="0" customWidth="1"/>
    <col min="3" max="3" width="19.57421875" style="0" customWidth="1"/>
    <col min="4" max="4" width="9.00390625" style="0" customWidth="1"/>
    <col min="5" max="5" width="11.140625" style="0" customWidth="1"/>
    <col min="6" max="6" width="9.7109375" style="0" customWidth="1"/>
    <col min="9" max="9" width="10.28125" style="0" customWidth="1"/>
  </cols>
  <sheetData>
    <row r="1" spans="1:6" ht="13.5" thickBot="1">
      <c r="A1" s="160" t="s">
        <v>265</v>
      </c>
      <c r="B1" s="161"/>
      <c r="C1" s="161"/>
      <c r="D1" s="161"/>
      <c r="E1" s="161"/>
      <c r="F1" s="161"/>
    </row>
    <row r="2" spans="1:6" ht="13.5" thickBot="1">
      <c r="A2" s="160"/>
      <c r="B2" s="161"/>
      <c r="C2" s="563" t="s">
        <v>266</v>
      </c>
      <c r="D2" s="564"/>
      <c r="E2" s="564"/>
      <c r="F2" s="565"/>
    </row>
    <row r="3" spans="1:6" ht="13.5" thickBot="1">
      <c r="A3" s="162" t="s">
        <v>267</v>
      </c>
      <c r="B3" s="163" t="s">
        <v>268</v>
      </c>
      <c r="C3" s="164" t="s">
        <v>269</v>
      </c>
      <c r="D3" s="165" t="s">
        <v>258</v>
      </c>
      <c r="E3" s="166" t="s">
        <v>270</v>
      </c>
      <c r="F3" s="167" t="s">
        <v>271</v>
      </c>
    </row>
    <row r="4" spans="1:6" ht="12.75">
      <c r="A4" s="168">
        <v>1</v>
      </c>
      <c r="B4" s="169" t="s">
        <v>272</v>
      </c>
      <c r="C4" s="170">
        <v>55</v>
      </c>
      <c r="D4" s="170">
        <v>847</v>
      </c>
      <c r="E4" s="170">
        <v>121</v>
      </c>
      <c r="F4" s="171">
        <f>SUM(C4:E4)</f>
        <v>1023</v>
      </c>
    </row>
    <row r="5" spans="1:6" ht="12.75">
      <c r="A5" s="172"/>
      <c r="B5" s="173" t="s">
        <v>273</v>
      </c>
      <c r="C5" s="174">
        <v>0.053763440860215055</v>
      </c>
      <c r="D5" s="174">
        <v>0.8279569892473119</v>
      </c>
      <c r="E5" s="174">
        <v>0.11827956989247312</v>
      </c>
      <c r="F5" s="175">
        <f>F4/$F4</f>
        <v>1</v>
      </c>
    </row>
    <row r="6" spans="1:6" ht="12.75">
      <c r="A6" s="172"/>
      <c r="B6" s="176" t="s">
        <v>274</v>
      </c>
      <c r="C6" s="177">
        <v>2300.8727272727274</v>
      </c>
      <c r="D6" s="177">
        <v>1789.0377804014167</v>
      </c>
      <c r="E6" s="177">
        <v>2502.96694214876</v>
      </c>
      <c r="F6" s="178">
        <f aca="true" t="shared" si="0" ref="F6:F12">SUMPRODUCT($C$5:$E$5,C6:E6)</f>
        <v>1900.9990224828935</v>
      </c>
    </row>
    <row r="7" spans="1:8" ht="12.75">
      <c r="A7" s="172"/>
      <c r="B7" s="179" t="s">
        <v>275</v>
      </c>
      <c r="C7" s="180">
        <v>487.5092592592594</v>
      </c>
      <c r="D7" s="180">
        <v>378.27465667915084</v>
      </c>
      <c r="E7" s="180">
        <v>578.164347826087</v>
      </c>
      <c r="F7" s="181">
        <f t="shared" si="0"/>
        <v>407.7903514696545</v>
      </c>
      <c r="H7" t="s">
        <v>276</v>
      </c>
    </row>
    <row r="8" spans="1:8" ht="12.75">
      <c r="A8" s="172"/>
      <c r="B8" s="182" t="s">
        <v>277</v>
      </c>
      <c r="C8" s="183">
        <f>C7/C6</f>
        <v>0.2118801502928475</v>
      </c>
      <c r="D8" s="183">
        <f>D7/D6</f>
        <v>0.21144028417011695</v>
      </c>
      <c r="E8" s="183">
        <f>E7/E6</f>
        <v>0.23099160364049454</v>
      </c>
      <c r="F8" s="183">
        <f t="shared" si="0"/>
        <v>0.2137764545441794</v>
      </c>
      <c r="G8" s="184">
        <f>$C12/D12</f>
        <v>1.2972889173326125</v>
      </c>
      <c r="H8" s="184">
        <f>$E8/D8</f>
        <v>1.0924673344396725</v>
      </c>
    </row>
    <row r="9" spans="1:6" ht="12.75">
      <c r="A9" s="172"/>
      <c r="B9" s="185" t="s">
        <v>278</v>
      </c>
      <c r="C9" s="186">
        <v>21294.327272727274</v>
      </c>
      <c r="D9" s="186">
        <v>17192.365997638724</v>
      </c>
      <c r="E9" s="186">
        <v>25746.95867768595</v>
      </c>
      <c r="F9" s="181">
        <f t="shared" si="0"/>
        <v>18424.735092864124</v>
      </c>
    </row>
    <row r="10" spans="1:6" ht="12.75">
      <c r="A10" s="172"/>
      <c r="B10" s="185" t="s">
        <v>279</v>
      </c>
      <c r="C10" s="187">
        <v>9.696250453286076</v>
      </c>
      <c r="D10" s="187">
        <v>11.444715893634338</v>
      </c>
      <c r="E10" s="187">
        <v>10.850822203198554</v>
      </c>
      <c r="F10" s="188">
        <f t="shared" si="0"/>
        <v>11.280466885069448</v>
      </c>
    </row>
    <row r="11" spans="1:6" ht="12.75">
      <c r="A11" s="172"/>
      <c r="B11" s="189" t="s">
        <v>280</v>
      </c>
      <c r="C11" s="180">
        <v>9106.472727272727</v>
      </c>
      <c r="D11" s="180">
        <v>4822.177095631641</v>
      </c>
      <c r="E11" s="180">
        <v>8431.00826446281</v>
      </c>
      <c r="F11" s="181">
        <f t="shared" si="0"/>
        <v>5479.366568914957</v>
      </c>
    </row>
    <row r="12" spans="1:6" ht="13.5" thickBot="1">
      <c r="A12" s="190"/>
      <c r="B12" s="191" t="s">
        <v>281</v>
      </c>
      <c r="C12" s="192">
        <v>4.076595627989342</v>
      </c>
      <c r="D12" s="192">
        <v>3.142396095059017</v>
      </c>
      <c r="E12" s="192">
        <v>3.6476438731592835</v>
      </c>
      <c r="F12" s="193">
        <f t="shared" si="0"/>
        <v>3.2523823662821845</v>
      </c>
    </row>
    <row r="13" spans="1:6" ht="12.75">
      <c r="A13" s="168">
        <v>2</v>
      </c>
      <c r="B13" s="169" t="s">
        <v>272</v>
      </c>
      <c r="C13" s="170">
        <v>27</v>
      </c>
      <c r="D13" s="170">
        <v>51</v>
      </c>
      <c r="E13" s="170">
        <v>77</v>
      </c>
      <c r="F13" s="171">
        <f>SUM(C13:E13)</f>
        <v>155</v>
      </c>
    </row>
    <row r="14" spans="1:6" ht="12.75">
      <c r="A14" s="172"/>
      <c r="B14" s="173" t="s">
        <v>273</v>
      </c>
      <c r="C14" s="174">
        <v>0.17419354838709677</v>
      </c>
      <c r="D14" s="174">
        <v>0.32903225806451614</v>
      </c>
      <c r="E14" s="174">
        <v>0.4967741935483871</v>
      </c>
      <c r="F14" s="175">
        <f>F13/$F13</f>
        <v>1</v>
      </c>
    </row>
    <row r="15" spans="1:6" ht="12.75">
      <c r="A15" s="172"/>
      <c r="B15" s="176" t="s">
        <v>274</v>
      </c>
      <c r="C15" s="177">
        <v>2720.4444444444443</v>
      </c>
      <c r="D15" s="177">
        <v>2260.1176470588234</v>
      </c>
      <c r="E15" s="177">
        <v>1749.1168831168832</v>
      </c>
      <c r="F15" s="178">
        <f aca="true" t="shared" si="1" ref="F15:F21">SUMPRODUCT($C$14:$E$14,C15:E15)</f>
        <v>2086.451612903226</v>
      </c>
    </row>
    <row r="16" spans="1:6" ht="12.75">
      <c r="A16" s="172"/>
      <c r="B16" s="179" t="s">
        <v>275</v>
      </c>
      <c r="C16" s="180">
        <v>475.2481481481481</v>
      </c>
      <c r="D16" s="180">
        <v>373.2058823529411</v>
      </c>
      <c r="E16" s="180">
        <v>370.65454545454526</v>
      </c>
      <c r="F16" s="181">
        <f t="shared" si="1"/>
        <v>389.7135483870967</v>
      </c>
    </row>
    <row r="17" spans="1:6" ht="12.75">
      <c r="A17" s="172"/>
      <c r="B17" s="182" t="s">
        <v>277</v>
      </c>
      <c r="C17" s="183">
        <f>C16/C15</f>
        <v>0.17469503893699287</v>
      </c>
      <c r="D17" s="183">
        <f>D16/D15</f>
        <v>0.16512675029930765</v>
      </c>
      <c r="E17" s="183">
        <f>E16/E15</f>
        <v>0.21190953505293939</v>
      </c>
      <c r="F17" s="183">
        <f t="shared" si="1"/>
        <v>0.19003396461703115</v>
      </c>
    </row>
    <row r="18" spans="1:6" ht="12.75">
      <c r="A18" s="172"/>
      <c r="B18" s="185" t="s">
        <v>278</v>
      </c>
      <c r="C18" s="186">
        <v>25383.444444444445</v>
      </c>
      <c r="D18" s="186">
        <v>19986.882352941175</v>
      </c>
      <c r="E18" s="186">
        <v>16754.805194805194</v>
      </c>
      <c r="F18" s="181">
        <f t="shared" si="1"/>
        <v>19321.316129032257</v>
      </c>
    </row>
    <row r="19" spans="1:6" ht="12.75">
      <c r="A19" s="172"/>
      <c r="B19" s="185" t="s">
        <v>279</v>
      </c>
      <c r="C19" s="187">
        <v>9.481131027507924</v>
      </c>
      <c r="D19" s="187">
        <v>9.551503102720883</v>
      </c>
      <c r="E19" s="187">
        <v>9.456920061919053</v>
      </c>
      <c r="F19" s="188">
        <f t="shared" si="1"/>
        <v>9.49225832741449</v>
      </c>
    </row>
    <row r="20" spans="1:6" ht="12.75">
      <c r="A20" s="172"/>
      <c r="B20" s="189" t="s">
        <v>280</v>
      </c>
      <c r="C20" s="180">
        <v>11194.25925925926</v>
      </c>
      <c r="D20" s="180">
        <v>4899</v>
      </c>
      <c r="E20" s="180">
        <v>5860.519480519481</v>
      </c>
      <c r="F20" s="181">
        <f t="shared" si="1"/>
        <v>6473.2516129032265</v>
      </c>
    </row>
    <row r="21" spans="1:6" ht="13.5" thickBot="1">
      <c r="A21" s="190"/>
      <c r="B21" s="191" t="s">
        <v>281</v>
      </c>
      <c r="C21" s="192">
        <v>4.1601419644717605</v>
      </c>
      <c r="D21" s="192">
        <v>2.5389163327466275</v>
      </c>
      <c r="E21" s="192">
        <v>3.3864001332662896</v>
      </c>
      <c r="F21" s="193">
        <f t="shared" si="1"/>
        <v>3.2423314598214183</v>
      </c>
    </row>
    <row r="22" spans="1:6" ht="12.75">
      <c r="A22" s="194">
        <v>3</v>
      </c>
      <c r="B22" s="169" t="s">
        <v>272</v>
      </c>
      <c r="C22" s="170">
        <v>6</v>
      </c>
      <c r="D22" s="170">
        <v>24</v>
      </c>
      <c r="E22" s="170">
        <v>2</v>
      </c>
      <c r="F22" s="171">
        <f>SUM(C22:E22)</f>
        <v>32</v>
      </c>
    </row>
    <row r="23" spans="1:6" ht="12.75">
      <c r="A23" s="195"/>
      <c r="B23" s="173" t="s">
        <v>273</v>
      </c>
      <c r="C23" s="174">
        <v>0.1875</v>
      </c>
      <c r="D23" s="174">
        <v>0.75</v>
      </c>
      <c r="E23" s="174">
        <v>0.0625</v>
      </c>
      <c r="F23" s="175">
        <f>F22/$F22</f>
        <v>1</v>
      </c>
    </row>
    <row r="24" spans="1:6" ht="12.75">
      <c r="A24" s="195"/>
      <c r="B24" s="176" t="s">
        <v>274</v>
      </c>
      <c r="C24" s="177">
        <v>3032.6666666666665</v>
      </c>
      <c r="D24" s="177">
        <v>2615.375</v>
      </c>
      <c r="E24" s="177">
        <v>2520</v>
      </c>
      <c r="F24" s="178">
        <f>SUMPRODUCT($C$23:$E$23,C24:E24)</f>
        <v>2687.65625</v>
      </c>
    </row>
    <row r="25" spans="1:6" ht="12.75">
      <c r="A25" s="195"/>
      <c r="B25" s="179" t="s">
        <v>275</v>
      </c>
      <c r="C25" s="180">
        <v>525.46</v>
      </c>
      <c r="D25" s="180">
        <v>334.0608695652175</v>
      </c>
      <c r="E25" s="180">
        <v>385</v>
      </c>
      <c r="F25" s="181">
        <f aca="true" t="shared" si="2" ref="F25:F30">SUMPRODUCT($C$5:$E$5,C25:E25)</f>
        <v>350.3762038335672</v>
      </c>
    </row>
    <row r="26" spans="1:6" ht="12.75">
      <c r="A26" s="172"/>
      <c r="B26" s="182" t="s">
        <v>277</v>
      </c>
      <c r="C26" s="183">
        <f>C25/C24</f>
        <v>0.1732666520114311</v>
      </c>
      <c r="D26" s="183">
        <f>D25/D24</f>
        <v>0.127729625604442</v>
      </c>
      <c r="E26" s="183">
        <f>E25/E24</f>
        <v>0.1527777777777778</v>
      </c>
      <c r="F26" s="196">
        <f t="shared" si="2"/>
        <v>0.1331405374962876</v>
      </c>
    </row>
    <row r="27" spans="1:6" ht="12.75">
      <c r="A27" s="195"/>
      <c r="B27" s="185" t="s">
        <v>278</v>
      </c>
      <c r="C27" s="186">
        <v>29690.5</v>
      </c>
      <c r="D27" s="186">
        <v>22820.708333333332</v>
      </c>
      <c r="E27" s="186">
        <v>25315</v>
      </c>
      <c r="F27" s="181">
        <f t="shared" si="2"/>
        <v>23485.075716845877</v>
      </c>
    </row>
    <row r="28" spans="1:6" ht="12.75">
      <c r="A28" s="195"/>
      <c r="B28" s="185" t="s">
        <v>279</v>
      </c>
      <c r="C28" s="187">
        <v>10.27512441583259</v>
      </c>
      <c r="D28" s="187">
        <v>8.922050320366166</v>
      </c>
      <c r="E28" s="187">
        <v>10.045634920634921</v>
      </c>
      <c r="F28" s="188">
        <f t="shared" si="2"/>
        <v>9.12769334273486</v>
      </c>
    </row>
    <row r="29" spans="1:6" ht="12.75">
      <c r="A29" s="195"/>
      <c r="B29" s="189" t="s">
        <v>280</v>
      </c>
      <c r="C29" s="180">
        <v>8653.666666666666</v>
      </c>
      <c r="D29" s="180">
        <v>8429.333333333334</v>
      </c>
      <c r="E29" s="180">
        <v>9238.5</v>
      </c>
      <c r="F29" s="181">
        <f t="shared" si="2"/>
        <v>8537.102150537636</v>
      </c>
    </row>
    <row r="30" spans="1:6" ht="13.5" thickBot="1">
      <c r="A30" s="197"/>
      <c r="B30" s="198" t="s">
        <v>281</v>
      </c>
      <c r="C30" s="199">
        <v>3.158624219511004</v>
      </c>
      <c r="D30" s="199">
        <v>3.260496322407938</v>
      </c>
      <c r="E30" s="199">
        <v>3.6660714285714286</v>
      </c>
      <c r="F30" s="200">
        <f t="shared" si="2"/>
        <v>3.3029905767446452</v>
      </c>
    </row>
    <row r="31" spans="1:6" ht="12.75">
      <c r="A31" s="161"/>
      <c r="B31" s="161"/>
      <c r="C31" s="161"/>
      <c r="D31" s="161"/>
      <c r="E31" s="161"/>
      <c r="F31" s="161"/>
    </row>
    <row r="32" spans="1:6" ht="12.75">
      <c r="A32" s="201" t="s">
        <v>282</v>
      </c>
      <c r="B32" s="161"/>
      <c r="C32" s="161"/>
      <c r="D32" s="161"/>
      <c r="E32" s="161"/>
      <c r="F32" s="161"/>
    </row>
  </sheetData>
  <mergeCells count="1">
    <mergeCell ref="C2:F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0"/>
  <dimension ref="A3:D9"/>
  <sheetViews>
    <sheetView workbookViewId="0" topLeftCell="B3">
      <selection activeCell="D9" sqref="D9"/>
    </sheetView>
  </sheetViews>
  <sheetFormatPr defaultColWidth="9.140625" defaultRowHeight="12.75"/>
  <cols>
    <col min="1" max="1" width="79.140625" style="0" customWidth="1"/>
    <col min="2" max="2" width="64.28125" style="0" customWidth="1"/>
    <col min="3" max="3" width="37.421875" style="0" customWidth="1"/>
    <col min="4" max="4" width="38.57421875" style="0" customWidth="1"/>
  </cols>
  <sheetData>
    <row r="2" ht="13.5" thickBot="1"/>
    <row r="3" spans="1:4" ht="24.75" customHeight="1" thickBot="1">
      <c r="A3" s="77" t="s">
        <v>115</v>
      </c>
      <c r="B3" s="78" t="s">
        <v>116</v>
      </c>
      <c r="C3" s="78" t="s">
        <v>117</v>
      </c>
      <c r="D3" s="78" t="s">
        <v>118</v>
      </c>
    </row>
    <row r="4" spans="1:4" ht="12.75">
      <c r="A4" s="88" t="s">
        <v>177</v>
      </c>
      <c r="B4" s="89" t="s">
        <v>288</v>
      </c>
      <c r="C4" s="89" t="s">
        <v>159</v>
      </c>
      <c r="D4" s="89" t="s">
        <v>160</v>
      </c>
    </row>
    <row r="5" spans="1:4" ht="12.75">
      <c r="A5" s="88" t="s">
        <v>175</v>
      </c>
      <c r="B5" s="89" t="s">
        <v>158</v>
      </c>
      <c r="C5" s="89" t="s">
        <v>159</v>
      </c>
      <c r="D5" s="89" t="s">
        <v>165</v>
      </c>
    </row>
    <row r="6" spans="1:4" ht="12.75">
      <c r="A6" s="88" t="s">
        <v>172</v>
      </c>
      <c r="B6" s="89" t="s">
        <v>158</v>
      </c>
      <c r="C6" s="89" t="s">
        <v>159</v>
      </c>
      <c r="D6" s="89" t="s">
        <v>166</v>
      </c>
    </row>
    <row r="7" spans="1:4" ht="12.75">
      <c r="A7" s="88" t="s">
        <v>435</v>
      </c>
      <c r="B7" s="89" t="s">
        <v>158</v>
      </c>
      <c r="C7" s="89" t="s">
        <v>159</v>
      </c>
      <c r="D7" s="89" t="s">
        <v>437</v>
      </c>
    </row>
    <row r="8" spans="1:4" ht="12.75">
      <c r="A8" s="88"/>
      <c r="B8" s="89"/>
      <c r="C8" s="89"/>
      <c r="D8" s="89"/>
    </row>
    <row r="9" spans="1:4" ht="12.75">
      <c r="A9" s="88"/>
      <c r="B9" s="89"/>
      <c r="C9" s="89"/>
      <c r="D9" s="8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70</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155</v>
      </c>
      <c r="E8" s="31" t="b">
        <v>0</v>
      </c>
      <c r="F8" s="16"/>
      <c r="G8" s="5"/>
      <c r="H8" s="5"/>
      <c r="I8"/>
      <c r="J8"/>
      <c r="K8"/>
    </row>
    <row r="9" spans="1:11" ht="15" customHeight="1">
      <c r="A9" s="17" t="s">
        <v>24</v>
      </c>
      <c r="B9" s="21">
        <v>1</v>
      </c>
      <c r="C9" s="4"/>
      <c r="D9" s="82" t="s">
        <v>287</v>
      </c>
      <c r="E9" s="31" t="b">
        <v>1</v>
      </c>
      <c r="F9"/>
      <c r="G9" s="5"/>
      <c r="H9" s="5"/>
      <c r="I9"/>
      <c r="J9"/>
      <c r="K9"/>
    </row>
    <row r="10" spans="1:10" ht="15" customHeight="1">
      <c r="A10" s="17" t="s">
        <v>25</v>
      </c>
      <c r="B10" s="21">
        <v>0</v>
      </c>
      <c r="C10" s="4"/>
      <c r="D10" s="30" t="s">
        <v>283</v>
      </c>
      <c r="E10" s="32" t="b">
        <v>1</v>
      </c>
      <c r="F10" s="8"/>
      <c r="G10" s="9"/>
      <c r="H10" s="5"/>
      <c r="I10"/>
      <c r="J10"/>
    </row>
    <row r="11" spans="1:11" s="10" customFormat="1" ht="15" customHeight="1">
      <c r="A11" s="81" t="s">
        <v>26</v>
      </c>
      <c r="B11" s="21">
        <v>0</v>
      </c>
      <c r="C11" s="4"/>
      <c r="D11" s="30" t="s">
        <v>284</v>
      </c>
      <c r="E11" s="32" t="b">
        <v>1</v>
      </c>
      <c r="F11" s="5"/>
      <c r="G11" s="5"/>
      <c r="H11" s="5"/>
      <c r="I11"/>
      <c r="J11"/>
      <c r="K11" s="3"/>
    </row>
    <row r="12" spans="1:10" ht="15" customHeight="1">
      <c r="A12" s="17" t="s">
        <v>27</v>
      </c>
      <c r="B12" s="18">
        <v>70</v>
      </c>
      <c r="C12" s="4"/>
      <c r="D12" s="30" t="s">
        <v>285</v>
      </c>
      <c r="E12" s="32" t="b">
        <v>1</v>
      </c>
      <c r="F12" s="4"/>
      <c r="G12" s="5"/>
      <c r="H12" s="5"/>
      <c r="I12"/>
      <c r="J12" s="11"/>
    </row>
    <row r="13" spans="1:9" ht="15" customHeight="1">
      <c r="A13" s="34" t="s">
        <v>29</v>
      </c>
      <c r="B13" s="20">
        <v>0.025</v>
      </c>
      <c r="C13" s="4"/>
      <c r="D13" s="17" t="s">
        <v>286</v>
      </c>
      <c r="E13" s="33" t="b">
        <v>0</v>
      </c>
      <c r="F13" s="4"/>
      <c r="G13" s="5"/>
      <c r="H13" s="5"/>
      <c r="I13"/>
    </row>
    <row r="14" spans="1:9" ht="15" customHeight="1">
      <c r="A14" s="34" t="s">
        <v>28</v>
      </c>
      <c r="B14" s="22">
        <v>3</v>
      </c>
      <c r="C14" s="4"/>
      <c r="D14" s="17" t="s">
        <v>421</v>
      </c>
      <c r="E14" s="33" t="b">
        <v>0</v>
      </c>
      <c r="F14" s="5"/>
      <c r="G14" s="5"/>
      <c r="H14" s="5"/>
      <c r="I14"/>
    </row>
    <row r="15" spans="1:9" ht="14.25">
      <c r="A15" s="34" t="s">
        <v>30</v>
      </c>
      <c r="B15" s="20">
        <v>0.05</v>
      </c>
      <c r="C15" s="4"/>
      <c r="D15" s="17" t="s">
        <v>378</v>
      </c>
      <c r="E15" s="33" t="b">
        <v>0</v>
      </c>
      <c r="F15" s="5"/>
      <c r="G15" s="13"/>
      <c r="H15" s="5"/>
      <c r="I15"/>
    </row>
    <row r="16" spans="1:9" ht="14.25">
      <c r="A16" s="34" t="s">
        <v>31</v>
      </c>
      <c r="B16" s="22">
        <v>20</v>
      </c>
      <c r="C16" s="4"/>
      <c r="D16" s="17" t="s">
        <v>379</v>
      </c>
      <c r="E16" s="33" t="b">
        <v>0</v>
      </c>
      <c r="F16" s="4"/>
      <c r="G16" s="5"/>
      <c r="H16" s="5"/>
      <c r="I16" s="5"/>
    </row>
    <row r="17" spans="1:9" ht="14.25">
      <c r="A17" s="17" t="s">
        <v>14</v>
      </c>
      <c r="B17" s="23">
        <v>0</v>
      </c>
      <c r="C17" s="4"/>
      <c r="D17" s="17" t="s">
        <v>380</v>
      </c>
      <c r="E17" s="33" t="b">
        <v>0</v>
      </c>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526" t="s">
        <v>409</v>
      </c>
      <c r="C21" s="527"/>
      <c r="D21" s="528"/>
      <c r="E21" s="12"/>
      <c r="F21" s="5"/>
      <c r="G21" s="5"/>
      <c r="H21" s="14"/>
      <c r="I21" s="5"/>
    </row>
    <row r="22" spans="1:9" ht="14.25">
      <c r="A22" s="34" t="s">
        <v>0</v>
      </c>
      <c r="B22" s="7" t="s">
        <v>413</v>
      </c>
      <c r="C22" s="4"/>
      <c r="D22" s="4"/>
      <c r="E22" s="4"/>
      <c r="F22" s="5"/>
      <c r="G22" s="5"/>
      <c r="H22" s="5"/>
      <c r="I22" s="5"/>
    </row>
    <row r="23" spans="1:9" ht="14.25">
      <c r="A23" s="17" t="s">
        <v>19</v>
      </c>
      <c r="B23" s="7" t="s">
        <v>156</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O514"/>
  <sheetViews>
    <sheetView workbookViewId="0" topLeftCell="A1">
      <selection activeCell="K41" sqref="K41"/>
    </sheetView>
  </sheetViews>
  <sheetFormatPr defaultColWidth="9.140625" defaultRowHeight="12.75"/>
  <cols>
    <col min="1" max="1" width="70.421875" style="37" customWidth="1"/>
    <col min="2" max="2" width="54.8515625" style="37" customWidth="1"/>
    <col min="3" max="3" width="8.8515625" style="37" customWidth="1"/>
    <col min="4" max="4" width="8.57421875" style="37" customWidth="1"/>
    <col min="5" max="5" width="8.421875" style="37" customWidth="1"/>
    <col min="6" max="6" width="9.00390625" style="37" customWidth="1"/>
    <col min="7" max="7" width="12.7109375" style="37" customWidth="1"/>
    <col min="8" max="8" width="8.421875" style="37" customWidth="1"/>
    <col min="9" max="13" width="8.421875" style="38" customWidth="1"/>
    <col min="14" max="15" width="8.421875" style="39" customWidth="1"/>
    <col min="16" max="16" width="9.140625" style="39" customWidth="1"/>
    <col min="17" max="17" width="8.421875" style="39" customWidth="1"/>
    <col min="18" max="18" width="10.57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t="s">
        <v>168</v>
      </c>
    </row>
    <row r="4" spans="1:23" ht="12.75">
      <c r="A4" s="40" t="s">
        <v>32</v>
      </c>
      <c r="B4" s="41"/>
      <c r="C4" s="42"/>
      <c r="D4" s="42"/>
      <c r="E4" s="42"/>
      <c r="F4" s="42"/>
      <c r="G4" s="42"/>
      <c r="H4" s="43"/>
      <c r="I4" s="44" t="s">
        <v>33</v>
      </c>
      <c r="J4" s="45"/>
      <c r="K4" s="45"/>
      <c r="L4" s="45"/>
      <c r="M4" s="45"/>
      <c r="N4" s="45"/>
      <c r="O4"/>
      <c r="P4"/>
      <c r="Q4"/>
      <c r="R4"/>
      <c r="S4"/>
      <c r="T4"/>
      <c r="U4"/>
      <c r="V4"/>
      <c r="W4"/>
    </row>
    <row r="5" spans="1:25" s="99" customFormat="1" ht="26.25" customHeight="1">
      <c r="A5" s="46" t="s">
        <v>34</v>
      </c>
      <c r="B5" s="46" t="s">
        <v>35</v>
      </c>
      <c r="C5" s="46" t="s">
        <v>169</v>
      </c>
      <c r="D5" s="46" t="s">
        <v>170</v>
      </c>
      <c r="E5" s="46" t="s">
        <v>36</v>
      </c>
      <c r="F5" s="46" t="s">
        <v>37</v>
      </c>
      <c r="G5" s="47" t="s">
        <v>38</v>
      </c>
      <c r="H5" s="47" t="s">
        <v>171</v>
      </c>
      <c r="I5" s="47" t="s">
        <v>39</v>
      </c>
      <c r="J5" s="47" t="s">
        <v>40</v>
      </c>
      <c r="K5" s="47" t="s">
        <v>41</v>
      </c>
      <c r="L5" s="47" t="s">
        <v>42</v>
      </c>
      <c r="M5" s="47" t="s">
        <v>43</v>
      </c>
      <c r="N5" s="47" t="s">
        <v>44</v>
      </c>
      <c r="O5"/>
      <c r="P5"/>
      <c r="Q5"/>
      <c r="R5"/>
      <c r="S5"/>
      <c r="T5"/>
      <c r="U5"/>
      <c r="V5"/>
      <c r="W5"/>
      <c r="X5"/>
      <c r="Y5"/>
    </row>
    <row r="6" spans="1:23" ht="12.75">
      <c r="A6" s="100" t="s">
        <v>172</v>
      </c>
      <c r="B6" s="100" t="s">
        <v>173</v>
      </c>
      <c r="C6" s="101">
        <f>'Cost-Effectiveness'!F52</f>
        <v>1142.0667475859427</v>
      </c>
      <c r="D6" s="102">
        <v>70</v>
      </c>
      <c r="E6" s="103">
        <f>'Cost-Effectiveness'!H52</f>
        <v>371.9833869418616</v>
      </c>
      <c r="F6" s="102">
        <v>0</v>
      </c>
      <c r="G6" s="100" t="s">
        <v>174</v>
      </c>
      <c r="H6"/>
      <c r="I6"/>
      <c r="J6"/>
      <c r="K6"/>
      <c r="L6"/>
      <c r="M6"/>
      <c r="N6"/>
      <c r="O6"/>
      <c r="P6"/>
      <c r="Q6"/>
      <c r="R6"/>
      <c r="S6"/>
      <c r="T6"/>
      <c r="U6"/>
      <c r="V6"/>
      <c r="W6"/>
    </row>
    <row r="7" spans="1:23" ht="12.75">
      <c r="A7" s="100" t="s">
        <v>175</v>
      </c>
      <c r="B7" s="100" t="s">
        <v>176</v>
      </c>
      <c r="C7" s="101">
        <f>'Cost-Effectiveness'!F53</f>
        <v>1652.8032509134791</v>
      </c>
      <c r="D7" s="102">
        <v>70</v>
      </c>
      <c r="E7" s="103">
        <f>'Cost-Effectiveness'!H53</f>
        <v>487.6664154490651</v>
      </c>
      <c r="F7" s="102">
        <v>0</v>
      </c>
      <c r="G7" s="100" t="s">
        <v>174</v>
      </c>
      <c r="H7"/>
      <c r="I7"/>
      <c r="J7"/>
      <c r="K7"/>
      <c r="L7"/>
      <c r="M7"/>
      <c r="N7"/>
      <c r="O7"/>
      <c r="P7"/>
      <c r="Q7"/>
      <c r="R7"/>
      <c r="S7"/>
      <c r="T7"/>
      <c r="U7"/>
      <c r="V7"/>
      <c r="W7"/>
    </row>
    <row r="8" spans="1:7" ht="12.75" customHeight="1">
      <c r="A8" s="100" t="s">
        <v>177</v>
      </c>
      <c r="B8" s="100" t="s">
        <v>178</v>
      </c>
      <c r="C8" s="101">
        <f>'Cost-Effectiveness'!F54</f>
        <v>1969.0686556615983</v>
      </c>
      <c r="D8" s="102">
        <v>70</v>
      </c>
      <c r="E8" s="103">
        <f>'Cost-Effectiveness'!H54</f>
        <v>487.6664154490651</v>
      </c>
      <c r="F8" s="102">
        <v>0</v>
      </c>
      <c r="G8" s="100" t="s">
        <v>174</v>
      </c>
    </row>
    <row r="9" spans="1:41" ht="12.75" customHeight="1">
      <c r="A9" s="100" t="s">
        <v>435</v>
      </c>
      <c r="B9" s="100" t="s">
        <v>408</v>
      </c>
      <c r="C9" s="101">
        <f>'Cost-Effectiveness'!F55</f>
        <v>1969.0686556615983</v>
      </c>
      <c r="D9" s="102">
        <v>70</v>
      </c>
      <c r="E9" s="103">
        <f>'Cost-Effectiveness'!H55</f>
        <v>487.6664154490651</v>
      </c>
      <c r="F9" s="102">
        <v>0</v>
      </c>
      <c r="G9" s="100" t="s">
        <v>174</v>
      </c>
      <c r="H9"/>
      <c r="I9"/>
      <c r="J9"/>
      <c r="K9"/>
      <c r="L9"/>
      <c r="M9"/>
      <c r="N9"/>
      <c r="O9"/>
      <c r="P9"/>
      <c r="Q9"/>
      <c r="R9"/>
      <c r="S9"/>
      <c r="T9"/>
      <c r="U9"/>
      <c r="V9"/>
      <c r="W9"/>
      <c r="Z9"/>
      <c r="AA9"/>
      <c r="AB9"/>
      <c r="AC9"/>
      <c r="AD9"/>
      <c r="AE9"/>
      <c r="AF9"/>
      <c r="AG9"/>
      <c r="AH9"/>
      <c r="AI9"/>
      <c r="AJ9"/>
      <c r="AK9"/>
      <c r="AL9"/>
      <c r="AM9"/>
      <c r="AN9"/>
      <c r="AO9"/>
    </row>
    <row r="10" spans="1:41" ht="12.75" customHeight="1">
      <c r="A10"/>
      <c r="B10"/>
      <c r="C10"/>
      <c r="D10"/>
      <c r="E10"/>
      <c r="F10"/>
      <c r="G10"/>
      <c r="H10"/>
      <c r="I10"/>
      <c r="J10"/>
      <c r="K10"/>
      <c r="L10"/>
      <c r="M10"/>
      <c r="N10"/>
      <c r="O10"/>
      <c r="P10"/>
      <c r="Q10"/>
      <c r="R10"/>
      <c r="S10"/>
      <c r="T10"/>
      <c r="U10"/>
      <c r="V10"/>
      <c r="W10"/>
      <c r="Z10"/>
      <c r="AA10"/>
      <c r="AB10"/>
      <c r="AC10"/>
      <c r="AD10"/>
      <c r="AE10"/>
      <c r="AF10"/>
      <c r="AG10"/>
      <c r="AH10"/>
      <c r="AI10"/>
      <c r="AJ10"/>
      <c r="AK10"/>
      <c r="AL10"/>
      <c r="AM10"/>
      <c r="AN10"/>
      <c r="AO10"/>
    </row>
    <row r="11" spans="1:41" ht="12.75" customHeight="1" thickBot="1">
      <c r="A11"/>
      <c r="B11"/>
      <c r="C11"/>
      <c r="D11"/>
      <c r="E11"/>
      <c r="F11"/>
      <c r="G11"/>
      <c r="H11"/>
      <c r="I11"/>
      <c r="J11"/>
      <c r="K11"/>
      <c r="L11"/>
      <c r="M11"/>
      <c r="N11"/>
      <c r="O11"/>
      <c r="P11"/>
      <c r="Q11"/>
      <c r="R11"/>
      <c r="S11"/>
      <c r="T11"/>
      <c r="U11"/>
      <c r="V11"/>
      <c r="W11"/>
      <c r="Z11"/>
      <c r="AA11"/>
      <c r="AB11"/>
      <c r="AC11"/>
      <c r="AD11"/>
      <c r="AE11"/>
      <c r="AF11"/>
      <c r="AG11"/>
      <c r="AH11"/>
      <c r="AI11"/>
      <c r="AJ11"/>
      <c r="AK11"/>
      <c r="AL11"/>
      <c r="AM11"/>
      <c r="AN11"/>
      <c r="AO11"/>
    </row>
    <row r="12" spans="1:41" ht="12.75" customHeight="1" thickBot="1">
      <c r="A12" s="80" t="s">
        <v>436</v>
      </c>
      <c r="B12" s="50"/>
      <c r="C12" s="50"/>
      <c r="D12" s="51"/>
      <c r="E12"/>
      <c r="F12"/>
      <c r="G12"/>
      <c r="H12"/>
      <c r="I12"/>
      <c r="J12"/>
      <c r="K12"/>
      <c r="L12"/>
      <c r="M12"/>
      <c r="N12"/>
      <c r="O12"/>
      <c r="P12"/>
      <c r="Q12"/>
      <c r="R12"/>
      <c r="S12"/>
      <c r="T12"/>
      <c r="U12"/>
      <c r="V12"/>
      <c r="W12"/>
      <c r="Z12"/>
      <c r="AA12"/>
      <c r="AB12"/>
      <c r="AC12"/>
      <c r="AD12"/>
      <c r="AE12"/>
      <c r="AF12"/>
      <c r="AG12"/>
      <c r="AH12"/>
      <c r="AI12"/>
      <c r="AJ12"/>
      <c r="AK12"/>
      <c r="AL12"/>
      <c r="AM12"/>
      <c r="AN12"/>
      <c r="AO12"/>
    </row>
    <row r="13" spans="1:41" ht="12.75" customHeight="1" thickBot="1">
      <c r="A13" s="52" t="s">
        <v>129</v>
      </c>
      <c r="B13" s="53"/>
      <c r="C13" s="54" t="s">
        <v>78</v>
      </c>
      <c r="D13" s="56"/>
      <c r="E13" s="56"/>
      <c r="F13" s="56"/>
      <c r="G13" s="56"/>
      <c r="H13" s="56"/>
      <c r="I13" s="56"/>
      <c r="J13" s="55"/>
      <c r="K13" s="54" t="s">
        <v>45</v>
      </c>
      <c r="L13" s="56"/>
      <c r="M13" s="55"/>
      <c r="N13" s="54" t="s">
        <v>46</v>
      </c>
      <c r="O13" s="56"/>
      <c r="P13" s="56"/>
      <c r="Q13" s="55"/>
      <c r="R13" s="54" t="s">
        <v>47</v>
      </c>
      <c r="S13" s="55"/>
      <c r="T13" s="54" t="s">
        <v>48</v>
      </c>
      <c r="U13" s="56"/>
      <c r="V13" s="56"/>
      <c r="W13" s="56"/>
      <c r="X13" s="55"/>
      <c r="Y13" s="54" t="s">
        <v>49</v>
      </c>
      <c r="Z13" s="56"/>
      <c r="AA13" s="56"/>
      <c r="AB13" s="56"/>
      <c r="AC13" s="55"/>
      <c r="AD13" s="54" t="s">
        <v>79</v>
      </c>
      <c r="AE13" s="56"/>
      <c r="AF13" s="56"/>
      <c r="AG13" s="56"/>
      <c r="AH13" s="56"/>
      <c r="AI13" s="55"/>
      <c r="AJ13" s="54" t="s">
        <v>80</v>
      </c>
      <c r="AK13" s="56"/>
      <c r="AL13" s="56"/>
      <c r="AM13" s="56"/>
      <c r="AN13" s="56"/>
      <c r="AO13" s="55"/>
    </row>
    <row r="14" spans="1:41" ht="51">
      <c r="A14" s="57" t="s">
        <v>51</v>
      </c>
      <c r="B14" s="58" t="s">
        <v>52</v>
      </c>
      <c r="C14" s="59" t="s">
        <v>81</v>
      </c>
      <c r="D14" s="59" t="s">
        <v>82</v>
      </c>
      <c r="E14" s="59" t="s">
        <v>83</v>
      </c>
      <c r="F14" s="59" t="s">
        <v>84</v>
      </c>
      <c r="G14" s="59" t="s">
        <v>148</v>
      </c>
      <c r="H14" s="59" t="s">
        <v>86</v>
      </c>
      <c r="I14" s="59" t="s">
        <v>87</v>
      </c>
      <c r="J14" s="59" t="s">
        <v>88</v>
      </c>
      <c r="K14" s="59" t="s">
        <v>89</v>
      </c>
      <c r="L14" s="59" t="s">
        <v>90</v>
      </c>
      <c r="M14" s="59" t="s">
        <v>91</v>
      </c>
      <c r="N14" s="59" t="s">
        <v>20</v>
      </c>
      <c r="O14" s="59" t="s">
        <v>21</v>
      </c>
      <c r="P14" s="59" t="s">
        <v>22</v>
      </c>
      <c r="Q14" s="59" t="s">
        <v>4</v>
      </c>
      <c r="R14" s="59" t="s">
        <v>53</v>
      </c>
      <c r="S14" s="59" t="s">
        <v>4</v>
      </c>
      <c r="T14" s="59" t="s">
        <v>20</v>
      </c>
      <c r="U14" s="59" t="s">
        <v>21</v>
      </c>
      <c r="V14" s="59" t="s">
        <v>22</v>
      </c>
      <c r="W14" s="59" t="s">
        <v>4</v>
      </c>
      <c r="X14" s="59" t="s">
        <v>57</v>
      </c>
      <c r="Y14" s="59" t="s">
        <v>20</v>
      </c>
      <c r="Z14" s="59" t="s">
        <v>21</v>
      </c>
      <c r="AA14" s="59" t="s">
        <v>22</v>
      </c>
      <c r="AB14" s="59" t="s">
        <v>4</v>
      </c>
      <c r="AC14" s="59" t="s">
        <v>57</v>
      </c>
      <c r="AD14" s="59" t="s">
        <v>92</v>
      </c>
      <c r="AE14" s="59" t="s">
        <v>93</v>
      </c>
      <c r="AF14" s="59" t="s">
        <v>56</v>
      </c>
      <c r="AG14" s="59" t="s">
        <v>94</v>
      </c>
      <c r="AH14" s="59" t="s">
        <v>95</v>
      </c>
      <c r="AI14" s="59" t="s">
        <v>96</v>
      </c>
      <c r="AJ14" s="59" t="s">
        <v>97</v>
      </c>
      <c r="AK14" s="59" t="s">
        <v>54</v>
      </c>
      <c r="AL14" s="59" t="s">
        <v>55</v>
      </c>
      <c r="AM14" s="59" t="s">
        <v>98</v>
      </c>
      <c r="AN14" s="59" t="s">
        <v>99</v>
      </c>
      <c r="AO14" s="59" t="s">
        <v>100</v>
      </c>
    </row>
    <row r="15" spans="1:41" ht="12.75" customHeight="1">
      <c r="A15" t="s">
        <v>172</v>
      </c>
      <c r="B15" t="s">
        <v>173</v>
      </c>
      <c r="C15" s="49">
        <v>70</v>
      </c>
      <c r="D15" s="49">
        <v>1142.0667475859427</v>
      </c>
      <c r="E15" s="49">
        <v>371.98</v>
      </c>
      <c r="F15" s="49">
        <v>0</v>
      </c>
      <c r="G15" s="49">
        <v>0</v>
      </c>
      <c r="H15" s="49" t="s">
        <v>174</v>
      </c>
      <c r="I15" s="49">
        <v>0.178</v>
      </c>
      <c r="J15" s="49">
        <v>0.3659999966621399</v>
      </c>
      <c r="K15" s="49">
        <v>1229.1493370893709</v>
      </c>
      <c r="L15" s="60">
        <v>0.2885105005335676</v>
      </c>
      <c r="M15" s="49">
        <v>0.7882800632916288</v>
      </c>
      <c r="N15" s="49"/>
      <c r="O15" s="49"/>
      <c r="P15" s="49">
        <v>371.98347937448915</v>
      </c>
      <c r="Q15" s="49">
        <v>0</v>
      </c>
      <c r="R15" s="49">
        <v>0</v>
      </c>
      <c r="S15" s="49">
        <v>0</v>
      </c>
      <c r="T15" s="49">
        <v>0</v>
      </c>
      <c r="U15" s="49">
        <v>0</v>
      </c>
      <c r="V15" s="49">
        <v>371.98347937448915</v>
      </c>
      <c r="W15" s="49">
        <v>0</v>
      </c>
      <c r="X15" s="49">
        <v>371.98347937448915</v>
      </c>
      <c r="Y15" s="49">
        <v>0</v>
      </c>
      <c r="Z15" s="49">
        <v>0</v>
      </c>
      <c r="AA15" s="49">
        <v>14.955965042114258</v>
      </c>
      <c r="AB15" s="49">
        <v>0</v>
      </c>
      <c r="AC15" s="49">
        <v>14.955964814808583</v>
      </c>
      <c r="AD15" s="49">
        <v>547.4251704454643</v>
      </c>
      <c r="AE15" s="49">
        <v>17.51408472940285</v>
      </c>
      <c r="AF15" s="49">
        <v>86.86966705322266</v>
      </c>
      <c r="AG15" s="49">
        <v>651.0147272268234</v>
      </c>
      <c r="AH15" s="49">
        <v>371.98347937448915</v>
      </c>
      <c r="AI15" s="48">
        <v>1.750117312525655</v>
      </c>
      <c r="AJ15" s="49">
        <v>319.0178527832031</v>
      </c>
      <c r="AK15" s="49">
        <v>0</v>
      </c>
      <c r="AL15" s="49">
        <v>0</v>
      </c>
      <c r="AM15" s="49">
        <v>970.0325927734375</v>
      </c>
      <c r="AN15" s="49">
        <v>371.98347937448915</v>
      </c>
      <c r="AO15" s="48">
        <v>2.6077303886413574</v>
      </c>
    </row>
    <row r="16" spans="1:41" ht="12.75" customHeight="1">
      <c r="A16" t="s">
        <v>175</v>
      </c>
      <c r="B16" t="s">
        <v>176</v>
      </c>
      <c r="C16" s="49">
        <v>70</v>
      </c>
      <c r="D16" s="49">
        <v>1652.8032509134791</v>
      </c>
      <c r="E16" s="49">
        <v>487.67</v>
      </c>
      <c r="F16" s="49">
        <v>0</v>
      </c>
      <c r="G16" s="49">
        <v>0</v>
      </c>
      <c r="H16" s="49" t="s">
        <v>174</v>
      </c>
      <c r="I16" s="49">
        <v>0.178</v>
      </c>
      <c r="J16" s="49">
        <v>0.3659999966621399</v>
      </c>
      <c r="K16" s="49">
        <v>1778.8294987956317</v>
      </c>
      <c r="L16" s="60">
        <v>0.4175334709748841</v>
      </c>
      <c r="M16" s="49">
        <v>1.1408018436686367</v>
      </c>
      <c r="N16" s="49"/>
      <c r="O16" s="49"/>
      <c r="P16" s="49">
        <v>487.6665040591364</v>
      </c>
      <c r="Q16" s="49">
        <v>0</v>
      </c>
      <c r="R16" s="49">
        <v>0</v>
      </c>
      <c r="S16" s="49">
        <v>0</v>
      </c>
      <c r="T16" s="49">
        <v>0</v>
      </c>
      <c r="U16" s="49">
        <v>0</v>
      </c>
      <c r="V16" s="49">
        <v>487.6665040591364</v>
      </c>
      <c r="W16" s="49">
        <v>0</v>
      </c>
      <c r="X16" s="49">
        <v>487.6665040591364</v>
      </c>
      <c r="Y16" s="49">
        <v>0</v>
      </c>
      <c r="Z16" s="49">
        <v>0</v>
      </c>
      <c r="AA16" s="49">
        <v>13.5482759475708</v>
      </c>
      <c r="AB16" s="49">
        <v>0</v>
      </c>
      <c r="AC16" s="49">
        <v>13.548276066213106</v>
      </c>
      <c r="AD16" s="49">
        <v>792.2357456397638</v>
      </c>
      <c r="AE16" s="49">
        <v>25.346448654353097</v>
      </c>
      <c r="AF16" s="49">
        <v>125.71812438964844</v>
      </c>
      <c r="AG16" s="49">
        <v>942.1509567198284</v>
      </c>
      <c r="AH16" s="49">
        <v>487.6665040591364</v>
      </c>
      <c r="AI16" s="48">
        <v>1.9319574932412815</v>
      </c>
      <c r="AJ16" s="49">
        <v>461.6839294433594</v>
      </c>
      <c r="AK16" s="49">
        <v>0</v>
      </c>
      <c r="AL16" s="49">
        <v>0</v>
      </c>
      <c r="AM16" s="49">
        <v>1403.8348388671875</v>
      </c>
      <c r="AN16" s="49">
        <v>487.6665040591364</v>
      </c>
      <c r="AO16" s="48">
        <v>2.8786780834198</v>
      </c>
    </row>
    <row r="17" spans="1:41" ht="12.75" customHeight="1">
      <c r="A17" t="s">
        <v>177</v>
      </c>
      <c r="B17" t="s">
        <v>178</v>
      </c>
      <c r="C17" s="49">
        <v>70</v>
      </c>
      <c r="D17" s="49">
        <v>1969.0686556615983</v>
      </c>
      <c r="E17" s="49">
        <v>487.67</v>
      </c>
      <c r="F17" s="49">
        <v>0</v>
      </c>
      <c r="G17" s="49">
        <v>0</v>
      </c>
      <c r="H17" s="49" t="s">
        <v>174</v>
      </c>
      <c r="I17" s="49">
        <v>0.178</v>
      </c>
      <c r="J17" s="49">
        <v>0.3659999966621399</v>
      </c>
      <c r="K17" s="49">
        <v>2119.2101406557954</v>
      </c>
      <c r="L17" s="60">
        <v>0.49742888025652493</v>
      </c>
      <c r="M17" s="49">
        <v>1.3590953136420627</v>
      </c>
      <c r="N17" s="49"/>
      <c r="O17" s="49"/>
      <c r="P17" s="49">
        <v>487.6665040591364</v>
      </c>
      <c r="Q17" s="49">
        <v>0</v>
      </c>
      <c r="R17" s="49">
        <v>0</v>
      </c>
      <c r="S17" s="49">
        <v>0</v>
      </c>
      <c r="T17" s="49">
        <v>0</v>
      </c>
      <c r="U17" s="49">
        <v>0</v>
      </c>
      <c r="V17" s="49">
        <v>487.6665040591364</v>
      </c>
      <c r="W17" s="49">
        <v>0</v>
      </c>
      <c r="X17" s="49">
        <v>487.6665040591364</v>
      </c>
      <c r="Y17" s="49">
        <v>0</v>
      </c>
      <c r="Z17" s="49">
        <v>0</v>
      </c>
      <c r="AA17" s="49">
        <v>11.372196197509766</v>
      </c>
      <c r="AB17" s="49">
        <v>0</v>
      </c>
      <c r="AC17" s="49">
        <v>11.372196018724635</v>
      </c>
      <c r="AD17" s="49">
        <v>943.8307758481159</v>
      </c>
      <c r="AE17" s="49">
        <v>30.19651464869692</v>
      </c>
      <c r="AF17" s="49">
        <v>149.7744140625</v>
      </c>
      <c r="AG17" s="49">
        <v>1122.4324111386065</v>
      </c>
      <c r="AH17" s="49">
        <v>487.6665040591364</v>
      </c>
      <c r="AI17" s="48">
        <v>2.301639341221795</v>
      </c>
      <c r="AJ17" s="49">
        <v>550.0277099609375</v>
      </c>
      <c r="AK17" s="49">
        <v>0</v>
      </c>
      <c r="AL17" s="49">
        <v>0</v>
      </c>
      <c r="AM17" s="49">
        <v>1672.4600830078125</v>
      </c>
      <c r="AN17" s="49">
        <v>487.6665040591364</v>
      </c>
      <c r="AO17" s="48">
        <v>3.429516077041626</v>
      </c>
    </row>
    <row r="18" spans="1:41" ht="12.75" customHeight="1">
      <c r="A18" t="s">
        <v>435</v>
      </c>
      <c r="B18" t="s">
        <v>408</v>
      </c>
      <c r="C18" s="49">
        <v>70</v>
      </c>
      <c r="D18" s="49">
        <v>1969.0686556615983</v>
      </c>
      <c r="E18" s="49">
        <v>487.67</v>
      </c>
      <c r="F18" s="49">
        <v>0</v>
      </c>
      <c r="G18" s="49">
        <v>0</v>
      </c>
      <c r="H18" s="49" t="s">
        <v>174</v>
      </c>
      <c r="I18" s="49">
        <v>0.178</v>
      </c>
      <c r="J18" s="49">
        <v>0.3659999966621399</v>
      </c>
      <c r="K18" s="49">
        <v>2119.2101406557954</v>
      </c>
      <c r="L18" s="60">
        <v>0.49742888025652493</v>
      </c>
      <c r="M18" s="49">
        <v>1.3590953136420627</v>
      </c>
      <c r="N18" s="49"/>
      <c r="O18" s="49"/>
      <c r="P18" s="49">
        <v>487.6665040591364</v>
      </c>
      <c r="Q18" s="49">
        <v>0</v>
      </c>
      <c r="R18" s="49">
        <v>0</v>
      </c>
      <c r="S18" s="49">
        <v>0</v>
      </c>
      <c r="T18" s="49">
        <v>0</v>
      </c>
      <c r="U18" s="49">
        <v>0</v>
      </c>
      <c r="V18" s="49">
        <v>487.6665040591364</v>
      </c>
      <c r="W18" s="49">
        <v>0</v>
      </c>
      <c r="X18" s="49">
        <v>487.6665040591364</v>
      </c>
      <c r="Y18" s="49">
        <v>0</v>
      </c>
      <c r="Z18" s="49">
        <v>0</v>
      </c>
      <c r="AA18" s="49">
        <v>11.372196197509766</v>
      </c>
      <c r="AB18" s="49">
        <v>0</v>
      </c>
      <c r="AC18" s="49">
        <v>11.372196018724635</v>
      </c>
      <c r="AD18" s="49">
        <v>943.8307758481159</v>
      </c>
      <c r="AE18" s="49">
        <v>30.19651464869692</v>
      </c>
      <c r="AF18" s="49">
        <v>149.7744140625</v>
      </c>
      <c r="AG18" s="49">
        <v>1122.4324111386065</v>
      </c>
      <c r="AH18" s="49">
        <v>487.6665040591364</v>
      </c>
      <c r="AI18" s="48">
        <v>2.301639341221795</v>
      </c>
      <c r="AJ18" s="49">
        <v>550.0277099609375</v>
      </c>
      <c r="AK18" s="49">
        <v>0</v>
      </c>
      <c r="AL18" s="49">
        <v>0</v>
      </c>
      <c r="AM18" s="49">
        <v>1672.4600830078125</v>
      </c>
      <c r="AN18" s="49">
        <v>487.6665040591364</v>
      </c>
      <c r="AO18" s="48">
        <v>3.429516077041626</v>
      </c>
    </row>
    <row r="19" spans="1:41" ht="12.75" customHeight="1">
      <c r="A19"/>
      <c r="B19"/>
      <c r="C19" s="49"/>
      <c r="D19" s="49"/>
      <c r="E19" s="49"/>
      <c r="F19" s="49"/>
      <c r="G19" s="49"/>
      <c r="H19" s="49"/>
      <c r="I19" s="49"/>
      <c r="J19" s="49"/>
      <c r="K19" s="49"/>
      <c r="L19" s="6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61"/>
    </row>
    <row r="20" spans="1:41" ht="12.75" customHeight="1" thickBot="1">
      <c r="A20"/>
      <c r="B20"/>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1" ht="12.75" customHeight="1" thickBot="1">
      <c r="A21" s="62" t="s">
        <v>130</v>
      </c>
      <c r="B21" s="71"/>
      <c r="C21" s="72" t="s">
        <v>101</v>
      </c>
      <c r="D21" s="63"/>
      <c r="E21" s="63"/>
      <c r="F21" s="63"/>
      <c r="G21" s="63"/>
      <c r="H21" s="63"/>
      <c r="I21" s="63"/>
      <c r="J21" s="64"/>
      <c r="K21" s="72" t="s">
        <v>45</v>
      </c>
      <c r="L21" s="63"/>
      <c r="M21" s="64"/>
      <c r="N21" s="72" t="s">
        <v>102</v>
      </c>
      <c r="O21" s="63"/>
      <c r="P21" s="63"/>
      <c r="Q21" s="63"/>
      <c r="R21" s="73" t="s">
        <v>103</v>
      </c>
      <c r="S21" s="72" t="s">
        <v>79</v>
      </c>
      <c r="T21" s="63"/>
      <c r="U21" s="63"/>
      <c r="V21" s="63"/>
      <c r="W21" s="63"/>
      <c r="X21" s="64"/>
      <c r="Y21" s="72" t="s">
        <v>80</v>
      </c>
      <c r="Z21" s="63"/>
      <c r="AA21" s="63"/>
      <c r="AB21" s="63"/>
      <c r="AC21" s="63"/>
      <c r="AD21" s="64"/>
      <c r="AE21" s="49"/>
      <c r="AF21" s="49"/>
      <c r="AG21" s="49"/>
      <c r="AH21" s="49"/>
      <c r="AI21" s="49"/>
      <c r="AJ21" s="49"/>
      <c r="AK21" s="49"/>
      <c r="AL21" s="49"/>
      <c r="AM21" s="49"/>
      <c r="AN21" s="49"/>
      <c r="AO21" s="49"/>
    </row>
    <row r="22" spans="1:41" ht="51">
      <c r="A22" s="57"/>
      <c r="B22" s="58" t="s">
        <v>51</v>
      </c>
      <c r="C22" s="59" t="s">
        <v>104</v>
      </c>
      <c r="D22" s="59" t="s">
        <v>82</v>
      </c>
      <c r="E22" s="59" t="s">
        <v>83</v>
      </c>
      <c r="F22" s="59" t="s">
        <v>84</v>
      </c>
      <c r="G22" s="59" t="s">
        <v>85</v>
      </c>
      <c r="H22" s="59" t="s">
        <v>86</v>
      </c>
      <c r="I22" s="59" t="s">
        <v>105</v>
      </c>
      <c r="J22" s="59" t="s">
        <v>106</v>
      </c>
      <c r="K22" s="59" t="s">
        <v>89</v>
      </c>
      <c r="L22" s="59" t="s">
        <v>90</v>
      </c>
      <c r="M22" s="59" t="s">
        <v>91</v>
      </c>
      <c r="N22" s="59" t="s">
        <v>46</v>
      </c>
      <c r="O22" s="59" t="s">
        <v>107</v>
      </c>
      <c r="P22" s="59" t="s">
        <v>108</v>
      </c>
      <c r="Q22" s="59" t="s">
        <v>109</v>
      </c>
      <c r="R22" s="59" t="s">
        <v>110</v>
      </c>
      <c r="S22" s="59" t="s">
        <v>92</v>
      </c>
      <c r="T22" s="59" t="s">
        <v>93</v>
      </c>
      <c r="U22" s="59" t="s">
        <v>56</v>
      </c>
      <c r="V22" s="59" t="s">
        <v>94</v>
      </c>
      <c r="W22" s="59" t="s">
        <v>95</v>
      </c>
      <c r="X22" s="59" t="s">
        <v>96</v>
      </c>
      <c r="Y22" s="59" t="s">
        <v>97</v>
      </c>
      <c r="Z22" s="59" t="s">
        <v>54</v>
      </c>
      <c r="AA22" s="59" t="s">
        <v>55</v>
      </c>
      <c r="AB22" s="59" t="s">
        <v>98</v>
      </c>
      <c r="AC22" s="59" t="s">
        <v>99</v>
      </c>
      <c r="AD22" s="59" t="s">
        <v>100</v>
      </c>
      <c r="AE22" s="49"/>
      <c r="AF22" s="49"/>
      <c r="AG22" s="49"/>
      <c r="AH22" s="49"/>
      <c r="AI22" s="49"/>
      <c r="AJ22" s="49"/>
      <c r="AK22" s="49"/>
      <c r="AL22" s="49"/>
      <c r="AM22" s="49"/>
      <c r="AN22" s="49"/>
      <c r="AO22" s="49"/>
    </row>
    <row r="23" spans="1:41" ht="12.75" customHeight="1">
      <c r="A23"/>
      <c r="B23" t="s">
        <v>177</v>
      </c>
      <c r="C23" s="49">
        <v>70</v>
      </c>
      <c r="D23" s="49">
        <v>1969.0686556615983</v>
      </c>
      <c r="E23" s="49">
        <v>487.67</v>
      </c>
      <c r="F23" s="49">
        <v>0</v>
      </c>
      <c r="G23" s="49">
        <v>0</v>
      </c>
      <c r="H23" s="49"/>
      <c r="I23" s="49">
        <v>0.178</v>
      </c>
      <c r="J23" s="49">
        <v>0.3659999966621399</v>
      </c>
      <c r="K23" s="49">
        <v>2119.2101406557954</v>
      </c>
      <c r="L23" s="49">
        <v>0.49742888025652493</v>
      </c>
      <c r="M23" s="49">
        <v>1.3590953350067139</v>
      </c>
      <c r="N23" s="49">
        <v>487.6665040591364</v>
      </c>
      <c r="O23" s="49">
        <v>0</v>
      </c>
      <c r="P23" s="49">
        <v>0</v>
      </c>
      <c r="Q23" s="49">
        <v>487.66650390625</v>
      </c>
      <c r="R23" s="49">
        <v>11.37219592406713</v>
      </c>
      <c r="S23" s="49">
        <v>943.8307758481159</v>
      </c>
      <c r="T23" s="49">
        <v>30.196514129638672</v>
      </c>
      <c r="U23" s="49">
        <v>149.7744140625</v>
      </c>
      <c r="V23" s="49">
        <v>1122.4324111386065</v>
      </c>
      <c r="W23" s="49">
        <v>487.6665040591364</v>
      </c>
      <c r="X23" s="48">
        <v>2.301639341221795</v>
      </c>
      <c r="Y23" s="60">
        <v>550.0277099609375</v>
      </c>
      <c r="Z23" s="60">
        <v>0</v>
      </c>
      <c r="AA23" s="60">
        <v>0</v>
      </c>
      <c r="AB23" s="60">
        <v>1672.4600830078125</v>
      </c>
      <c r="AC23" s="60">
        <v>487.66650390625</v>
      </c>
      <c r="AD23" s="48">
        <v>3.429516077041626</v>
      </c>
      <c r="AE23" s="60"/>
      <c r="AF23" s="60"/>
      <c r="AG23" s="60"/>
      <c r="AH23" s="60"/>
      <c r="AI23" s="60"/>
      <c r="AJ23" s="60"/>
      <c r="AK23" s="60"/>
      <c r="AL23" s="49"/>
      <c r="AM23" s="49"/>
      <c r="AN23" s="49"/>
      <c r="AO23" s="49"/>
    </row>
    <row r="24" spans="1:41" ht="12.75" customHeight="1">
      <c r="A24"/>
      <c r="B24" t="s">
        <v>435</v>
      </c>
      <c r="C24" s="49">
        <v>70</v>
      </c>
      <c r="D24" s="49">
        <v>1969.0686556615983</v>
      </c>
      <c r="E24" s="49">
        <v>487.67</v>
      </c>
      <c r="F24" s="49">
        <v>0</v>
      </c>
      <c r="G24" s="49">
        <v>0</v>
      </c>
      <c r="H24" s="49"/>
      <c r="I24" s="49">
        <v>0.178</v>
      </c>
      <c r="J24" s="49">
        <v>0.3659999966621399</v>
      </c>
      <c r="K24" s="49">
        <v>2119.2101406557954</v>
      </c>
      <c r="L24" s="49">
        <v>0.49742888025652493</v>
      </c>
      <c r="M24" s="49">
        <v>1.3590953350067139</v>
      </c>
      <c r="N24" s="49">
        <v>487.6665040591364</v>
      </c>
      <c r="O24" s="49">
        <v>0</v>
      </c>
      <c r="P24" s="49">
        <v>0</v>
      </c>
      <c r="Q24" s="49">
        <v>487.66650390625</v>
      </c>
      <c r="R24" s="49">
        <v>11.37219592406713</v>
      </c>
      <c r="S24" s="49">
        <v>943.8307758481159</v>
      </c>
      <c r="T24" s="49">
        <v>30.196514129638672</v>
      </c>
      <c r="U24" s="49">
        <v>149.7744140625</v>
      </c>
      <c r="V24" s="49">
        <v>1122.4324111386065</v>
      </c>
      <c r="W24" s="49">
        <v>487.6665040591364</v>
      </c>
      <c r="X24" s="48">
        <v>2.301639341221795</v>
      </c>
      <c r="Y24" s="60">
        <v>550.0277099609375</v>
      </c>
      <c r="Z24" s="60">
        <v>0</v>
      </c>
      <c r="AA24" s="60">
        <v>0</v>
      </c>
      <c r="AB24" s="60">
        <v>1672.4600830078125</v>
      </c>
      <c r="AC24" s="60">
        <v>487.66650390625</v>
      </c>
      <c r="AD24" s="48">
        <v>3.429516077041626</v>
      </c>
      <c r="AE24" s="60"/>
      <c r="AF24" s="60"/>
      <c r="AG24" s="60"/>
      <c r="AH24" s="60"/>
      <c r="AI24" s="60"/>
      <c r="AJ24" s="60"/>
      <c r="AK24" s="60"/>
      <c r="AL24" s="49"/>
      <c r="AM24" s="49"/>
      <c r="AN24" s="49"/>
      <c r="AO24" s="49"/>
    </row>
    <row r="25" spans="1:41" ht="12.75" customHeight="1">
      <c r="A25"/>
      <c r="B25" t="s">
        <v>175</v>
      </c>
      <c r="C25" s="49">
        <v>70</v>
      </c>
      <c r="D25" s="49">
        <v>1652.8032509134791</v>
      </c>
      <c r="E25" s="49">
        <v>487.67</v>
      </c>
      <c r="F25" s="49">
        <v>0</v>
      </c>
      <c r="G25" s="49">
        <v>0</v>
      </c>
      <c r="H25" s="49"/>
      <c r="I25" s="49">
        <v>0.17799999999999996</v>
      </c>
      <c r="J25" s="49">
        <v>0.3659999966621399</v>
      </c>
      <c r="K25" s="49">
        <v>1778.8294987956317</v>
      </c>
      <c r="L25" s="49">
        <v>0.4175334709748841</v>
      </c>
      <c r="M25" s="49">
        <v>1.1408017873764038</v>
      </c>
      <c r="N25" s="49">
        <v>487.6665040591364</v>
      </c>
      <c r="O25" s="49">
        <v>0</v>
      </c>
      <c r="P25" s="49">
        <v>0</v>
      </c>
      <c r="Q25" s="49">
        <v>487.66650390625</v>
      </c>
      <c r="R25" s="49">
        <v>13.548275953442802</v>
      </c>
      <c r="S25" s="49">
        <v>792.2357456397638</v>
      </c>
      <c r="T25" s="49">
        <v>25.34644889831543</v>
      </c>
      <c r="U25" s="49">
        <v>125.71812438964844</v>
      </c>
      <c r="V25" s="49">
        <v>942.1509567198284</v>
      </c>
      <c r="W25" s="49">
        <v>487.6665040591364</v>
      </c>
      <c r="X25" s="48">
        <v>1.9319574932412815</v>
      </c>
      <c r="Y25" s="60">
        <v>461.6839294433594</v>
      </c>
      <c r="Z25" s="60">
        <v>0</v>
      </c>
      <c r="AA25" s="60">
        <v>0</v>
      </c>
      <c r="AB25" s="60">
        <v>1403.8348388671875</v>
      </c>
      <c r="AC25" s="60">
        <v>487.66650390625</v>
      </c>
      <c r="AD25" s="48">
        <v>2.8786780834198</v>
      </c>
      <c r="AE25" s="60"/>
      <c r="AF25" s="60"/>
      <c r="AG25" s="60"/>
      <c r="AH25" s="60"/>
      <c r="AI25" s="60"/>
      <c r="AJ25" s="60"/>
      <c r="AK25" s="60"/>
      <c r="AL25" s="49"/>
      <c r="AM25" s="49"/>
      <c r="AN25" s="49"/>
      <c r="AO25" s="49"/>
    </row>
    <row r="26" spans="1:41" ht="12.75" customHeight="1">
      <c r="A26"/>
      <c r="B26" t="s">
        <v>172</v>
      </c>
      <c r="C26" s="49">
        <v>70</v>
      </c>
      <c r="D26" s="49">
        <v>1142.0667475859427</v>
      </c>
      <c r="E26" s="49">
        <v>371.98</v>
      </c>
      <c r="F26" s="49">
        <v>0</v>
      </c>
      <c r="G26" s="49">
        <v>0</v>
      </c>
      <c r="H26" s="49"/>
      <c r="I26" s="49">
        <v>0.178</v>
      </c>
      <c r="J26" s="49">
        <v>0.3659999966621399</v>
      </c>
      <c r="K26" s="49">
        <v>1229.1493370893709</v>
      </c>
      <c r="L26" s="49">
        <v>0.2885105005335676</v>
      </c>
      <c r="M26" s="49">
        <v>0.7882800698280334</v>
      </c>
      <c r="N26" s="49">
        <v>371.98347937448915</v>
      </c>
      <c r="O26" s="49">
        <v>0</v>
      </c>
      <c r="P26" s="49">
        <v>0</v>
      </c>
      <c r="Q26" s="49">
        <v>371.9834899902344</v>
      </c>
      <c r="R26" s="49">
        <v>14.955965644077708</v>
      </c>
      <c r="S26" s="49">
        <v>547.4251704454643</v>
      </c>
      <c r="T26" s="49">
        <v>17.514083862304688</v>
      </c>
      <c r="U26" s="49">
        <v>86.86966705322266</v>
      </c>
      <c r="V26" s="49">
        <v>651.0147272268234</v>
      </c>
      <c r="W26" s="49">
        <v>371.98347937448915</v>
      </c>
      <c r="X26" s="48">
        <v>1.750117312525655</v>
      </c>
      <c r="Y26" s="60">
        <v>319.0178527832031</v>
      </c>
      <c r="Z26" s="60">
        <v>0</v>
      </c>
      <c r="AA26" s="60">
        <v>0</v>
      </c>
      <c r="AB26" s="60">
        <v>970.0325927734375</v>
      </c>
      <c r="AC26" s="60">
        <v>371.9834899902344</v>
      </c>
      <c r="AD26" s="48">
        <v>2.6077301502227783</v>
      </c>
      <c r="AE26" s="60"/>
      <c r="AF26" s="60"/>
      <c r="AG26" s="60"/>
      <c r="AH26" s="60"/>
      <c r="AI26" s="60"/>
      <c r="AJ26" s="60"/>
      <c r="AK26" s="60"/>
      <c r="AL26" s="49"/>
      <c r="AM26" s="49"/>
      <c r="AN26" s="49"/>
      <c r="AO26" s="49"/>
    </row>
    <row r="27" spans="1:41" ht="12.75" customHeight="1">
      <c r="A27"/>
      <c r="B27"/>
      <c r="C27" s="49"/>
      <c r="D27" s="49"/>
      <c r="E27" s="49"/>
      <c r="F27" s="49"/>
      <c r="G27" s="49"/>
      <c r="H27" s="49"/>
      <c r="I27" s="49"/>
      <c r="J27" s="49"/>
      <c r="K27" s="49"/>
      <c r="L27" s="49"/>
      <c r="M27" s="49"/>
      <c r="N27" s="49"/>
      <c r="O27" s="49"/>
      <c r="P27" s="49"/>
      <c r="Q27" s="49"/>
      <c r="R27" s="49"/>
      <c r="S27" s="49"/>
      <c r="T27" s="49"/>
      <c r="U27" s="49"/>
      <c r="V27" s="49"/>
      <c r="W27" s="49"/>
      <c r="X27" s="60"/>
      <c r="Y27" s="60"/>
      <c r="Z27" s="60"/>
      <c r="AA27" s="60"/>
      <c r="AB27" s="60"/>
      <c r="AC27" s="60"/>
      <c r="AD27" s="60"/>
      <c r="AE27" s="60"/>
      <c r="AF27" s="60"/>
      <c r="AG27" s="60"/>
      <c r="AH27" s="60"/>
      <c r="AI27" s="60"/>
      <c r="AJ27" s="60"/>
      <c r="AK27" s="60"/>
      <c r="AL27" s="49"/>
      <c r="AM27" s="49"/>
      <c r="AN27" s="49"/>
      <c r="AO27" s="49"/>
    </row>
    <row r="28" spans="1:41" ht="12.75" customHeight="1" thickBot="1">
      <c r="A28"/>
      <c r="B2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12.75" customHeight="1" thickBot="1">
      <c r="A29" s="65" t="s">
        <v>62</v>
      </c>
      <c r="B29" s="66"/>
      <c r="C29" s="67"/>
      <c r="D29" s="67"/>
      <c r="E29" s="67"/>
      <c r="F29" s="67"/>
      <c r="G29" s="67"/>
      <c r="H29" s="67"/>
      <c r="I29" s="67"/>
      <c r="J29" s="67"/>
      <c r="K29" s="68"/>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25.5">
      <c r="A30" s="57"/>
      <c r="B30" s="58" t="s">
        <v>63</v>
      </c>
      <c r="C30" s="59" t="s">
        <v>59</v>
      </c>
      <c r="D30" s="59" t="s">
        <v>60</v>
      </c>
      <c r="E30" s="59" t="s">
        <v>64</v>
      </c>
      <c r="F30" s="59" t="s">
        <v>65</v>
      </c>
      <c r="G30" s="59" t="s">
        <v>66</v>
      </c>
      <c r="H30" s="59" t="s">
        <v>67</v>
      </c>
      <c r="I30" s="59" t="s">
        <v>61</v>
      </c>
      <c r="J30" s="59" t="s">
        <v>50</v>
      </c>
      <c r="K30" s="59" t="s">
        <v>58</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12.75" customHeight="1">
      <c r="A31"/>
      <c r="B31" t="s">
        <v>68</v>
      </c>
      <c r="C31" s="49">
        <v>7246.399117196594</v>
      </c>
      <c r="D31" s="49">
        <v>1834.9829915518985</v>
      </c>
      <c r="E31" s="49">
        <v>1834.98</v>
      </c>
      <c r="F31" s="49">
        <v>366.99652000000003</v>
      </c>
      <c r="G31" s="49">
        <v>2201.9795115518987</v>
      </c>
      <c r="H31" s="49">
        <v>2661.9208984375</v>
      </c>
      <c r="I31" s="49">
        <v>15.017113286621468</v>
      </c>
      <c r="J31" s="49">
        <v>3227.32246778146</v>
      </c>
      <c r="K31" s="48">
        <v>1.4656460020860622</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12.75" customHeight="1">
      <c r="A32"/>
      <c r="B32" t="s">
        <v>69</v>
      </c>
      <c r="C32" s="49">
        <v>0</v>
      </c>
      <c r="D32" s="49">
        <v>0</v>
      </c>
      <c r="E32" s="49">
        <v>0</v>
      </c>
      <c r="F32" s="49">
        <v>0</v>
      </c>
      <c r="G32" s="49">
        <v>0</v>
      </c>
      <c r="H32" s="49">
        <v>0</v>
      </c>
      <c r="I32" s="49">
        <v>0</v>
      </c>
      <c r="J32" s="49">
        <v>3227.32246778146</v>
      </c>
      <c r="K32" s="69">
        <v>0</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12.75" customHeight="1">
      <c r="A33"/>
      <c r="B33" t="s">
        <v>70</v>
      </c>
      <c r="C33" s="49">
        <v>7198.513286053096</v>
      </c>
      <c r="D33" s="49">
        <v>1826.223876953125</v>
      </c>
      <c r="E33" s="49">
        <v>1826.223487270262</v>
      </c>
      <c r="F33" s="49">
        <v>365.2446974540524</v>
      </c>
      <c r="G33" s="49">
        <v>2191.4685744071776</v>
      </c>
      <c r="H33" s="49">
        <v>2666.83740234375</v>
      </c>
      <c r="I33" s="49">
        <v>15.04485028863447</v>
      </c>
      <c r="J33" s="49">
        <v>3205.9955968434447</v>
      </c>
      <c r="K33" s="48">
        <v>1.4629439063303522</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12.75" customHeight="1">
      <c r="A34"/>
      <c r="B34" t="s">
        <v>71</v>
      </c>
      <c r="C34" s="49">
        <v>0</v>
      </c>
      <c r="D34" s="49">
        <v>0</v>
      </c>
      <c r="E34" s="49">
        <v>0</v>
      </c>
      <c r="F34" s="49">
        <v>0</v>
      </c>
      <c r="G34" s="49">
        <v>0</v>
      </c>
      <c r="H34" s="49">
        <v>0</v>
      </c>
      <c r="I34" s="49">
        <v>0</v>
      </c>
      <c r="J34" s="49">
        <v>0</v>
      </c>
      <c r="K34" s="69">
        <v>0</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c r="A35"/>
      <c r="B35" t="s">
        <v>72</v>
      </c>
      <c r="C35" s="49">
        <v>7246.399117196594</v>
      </c>
      <c r="D35" s="49">
        <v>1834.9829915518985</v>
      </c>
      <c r="E35" s="49">
        <v>1834.98</v>
      </c>
      <c r="F35" s="49">
        <v>366.99652000000003</v>
      </c>
      <c r="G35" s="49">
        <v>2201.9795115518987</v>
      </c>
      <c r="H35" s="49">
        <v>2661.9208984375</v>
      </c>
      <c r="I35" s="49">
        <v>15.017113286621468</v>
      </c>
      <c r="J35" s="49">
        <v>3227.32246778146</v>
      </c>
      <c r="K35" s="104">
        <v>1.4656460020860622</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12.75" customHeight="1">
      <c r="A36"/>
      <c r="B36" t="s">
        <v>73</v>
      </c>
      <c r="C36" s="49">
        <v>0</v>
      </c>
      <c r="D36" s="49">
        <v>0</v>
      </c>
      <c r="E36" s="49">
        <v>0</v>
      </c>
      <c r="F36" s="49">
        <v>0</v>
      </c>
      <c r="G36" s="49">
        <v>0</v>
      </c>
      <c r="H36" s="49">
        <v>0</v>
      </c>
      <c r="I36" s="49">
        <v>0</v>
      </c>
      <c r="J36" s="49">
        <v>0</v>
      </c>
      <c r="K36" s="70">
        <v>0</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c r="A37"/>
      <c r="B37" t="s">
        <v>74</v>
      </c>
      <c r="C37" s="49">
        <v>0</v>
      </c>
      <c r="D37" s="49">
        <v>0</v>
      </c>
      <c r="E37" s="49">
        <v>0</v>
      </c>
      <c r="F37" s="49">
        <v>0</v>
      </c>
      <c r="G37" s="49">
        <v>0</v>
      </c>
      <c r="H37" s="49">
        <v>0</v>
      </c>
      <c r="I37" s="49">
        <v>0</v>
      </c>
      <c r="J37" s="49">
        <v>0</v>
      </c>
      <c r="K37" s="70">
        <v>0</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c r="A38"/>
      <c r="B38" t="s">
        <v>75</v>
      </c>
      <c r="C38" s="49">
        <v>0</v>
      </c>
      <c r="D38" s="49">
        <v>0</v>
      </c>
      <c r="E38" s="49">
        <v>0</v>
      </c>
      <c r="F38" s="49">
        <v>0</v>
      </c>
      <c r="G38" s="49">
        <v>0</v>
      </c>
      <c r="H38" s="49">
        <v>0</v>
      </c>
      <c r="I38" s="49">
        <v>0</v>
      </c>
      <c r="J38" s="49">
        <v>0</v>
      </c>
      <c r="K38" s="70">
        <v>0</v>
      </c>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c r="A39"/>
      <c r="B39" t="s">
        <v>76</v>
      </c>
      <c r="C39" s="49">
        <v>0</v>
      </c>
      <c r="D39" s="49">
        <v>0</v>
      </c>
      <c r="E39" s="49">
        <v>0</v>
      </c>
      <c r="F39" s="49">
        <v>0</v>
      </c>
      <c r="G39" s="49">
        <v>0</v>
      </c>
      <c r="H39" s="49">
        <v>0</v>
      </c>
      <c r="I39" s="49">
        <v>0</v>
      </c>
      <c r="J39" s="49">
        <v>0</v>
      </c>
      <c r="K39" s="70">
        <v>0</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t="s">
        <v>77</v>
      </c>
      <c r="C40" s="49">
        <v>0</v>
      </c>
      <c r="D40" s="49">
        <v>0</v>
      </c>
      <c r="E40" s="49">
        <v>0</v>
      </c>
      <c r="F40" s="49">
        <v>0</v>
      </c>
      <c r="G40" s="49">
        <v>0</v>
      </c>
      <c r="H40" s="49">
        <v>0</v>
      </c>
      <c r="I40" s="49">
        <v>0</v>
      </c>
      <c r="J40" s="49">
        <v>0</v>
      </c>
      <c r="K40" s="70">
        <v>0</v>
      </c>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 r="C511" s="39"/>
      <c r="D511" s="39"/>
      <c r="E511" s="39"/>
      <c r="F511" s="39"/>
      <c r="G511" s="39"/>
      <c r="H511" s="39"/>
      <c r="I511" s="105"/>
      <c r="J511" s="105"/>
      <c r="K511" s="105"/>
      <c r="L511" s="105"/>
      <c r="M511" s="105"/>
      <c r="S511" s="39"/>
      <c r="T511" s="39"/>
      <c r="U511" s="39"/>
      <c r="X511" s="49"/>
      <c r="Y511" s="49"/>
      <c r="Z511" s="39"/>
      <c r="AA511" s="39"/>
      <c r="AB511" s="39"/>
      <c r="AC511" s="39"/>
      <c r="AD511" s="39"/>
      <c r="AE511" s="39"/>
      <c r="AF511" s="39"/>
      <c r="AG511" s="39"/>
      <c r="AH511" s="39"/>
      <c r="AI511" s="39"/>
      <c r="AJ511" s="39"/>
      <c r="AK511" s="39"/>
      <c r="AL511" s="39"/>
      <c r="AM511" s="39"/>
      <c r="AN511" s="39"/>
      <c r="AO511" s="39"/>
    </row>
    <row r="512" spans="3:41" ht="12.75">
      <c r="C512" s="39"/>
      <c r="D512" s="39"/>
      <c r="E512" s="39"/>
      <c r="F512" s="39"/>
      <c r="G512" s="39"/>
      <c r="H512" s="39"/>
      <c r="I512" s="105"/>
      <c r="J512" s="105"/>
      <c r="K512" s="105"/>
      <c r="L512" s="105"/>
      <c r="M512" s="105"/>
      <c r="S512" s="39"/>
      <c r="T512" s="39"/>
      <c r="U512" s="39"/>
      <c r="X512" s="49"/>
      <c r="Y512" s="49"/>
      <c r="Z512" s="39"/>
      <c r="AA512" s="39"/>
      <c r="AB512" s="39"/>
      <c r="AC512" s="39"/>
      <c r="AD512" s="39"/>
      <c r="AE512" s="39"/>
      <c r="AF512" s="39"/>
      <c r="AG512" s="39"/>
      <c r="AH512" s="39"/>
      <c r="AI512" s="39"/>
      <c r="AJ512" s="39"/>
      <c r="AK512" s="39"/>
      <c r="AL512" s="39"/>
      <c r="AM512" s="39"/>
      <c r="AN512" s="39"/>
      <c r="AO512" s="39"/>
    </row>
    <row r="513" spans="3:41" ht="12.75">
      <c r="C513" s="39"/>
      <c r="D513" s="39"/>
      <c r="E513" s="39"/>
      <c r="F513" s="39"/>
      <c r="G513" s="39"/>
      <c r="H513" s="39"/>
      <c r="I513" s="105"/>
      <c r="J513" s="105"/>
      <c r="K513" s="105"/>
      <c r="L513" s="105"/>
      <c r="M513" s="105"/>
      <c r="S513" s="39"/>
      <c r="T513" s="39"/>
      <c r="U513" s="39"/>
      <c r="X513" s="49"/>
      <c r="Y513" s="49"/>
      <c r="Z513" s="39"/>
      <c r="AA513" s="39"/>
      <c r="AB513" s="39"/>
      <c r="AC513" s="39"/>
      <c r="AD513" s="39"/>
      <c r="AE513" s="39"/>
      <c r="AF513" s="39"/>
      <c r="AG513" s="39"/>
      <c r="AH513" s="39"/>
      <c r="AI513" s="39"/>
      <c r="AJ513" s="39"/>
      <c r="AK513" s="39"/>
      <c r="AL513" s="39"/>
      <c r="AM513" s="39"/>
      <c r="AN513" s="39"/>
      <c r="AO513" s="39"/>
    </row>
    <row r="514" spans="3:41" ht="12.75">
      <c r="C514" s="39"/>
      <c r="D514" s="39"/>
      <c r="E514" s="39"/>
      <c r="F514" s="39"/>
      <c r="G514" s="39"/>
      <c r="H514" s="39"/>
      <c r="I514" s="105"/>
      <c r="J514" s="105"/>
      <c r="K514" s="105"/>
      <c r="L514" s="105"/>
      <c r="M514" s="105"/>
      <c r="S514" s="39"/>
      <c r="T514" s="39"/>
      <c r="U514" s="39"/>
      <c r="X514" s="49"/>
      <c r="Y514" s="49"/>
      <c r="Z514" s="39"/>
      <c r="AA514" s="39"/>
      <c r="AB514" s="39"/>
      <c r="AC514" s="39"/>
      <c r="AD514" s="39"/>
      <c r="AE514" s="39"/>
      <c r="AF514" s="39"/>
      <c r="AG514" s="39"/>
      <c r="AH514" s="39"/>
      <c r="AI514" s="39"/>
      <c r="AJ514" s="39"/>
      <c r="AK514" s="39"/>
      <c r="AL514" s="39"/>
      <c r="AM514" s="39"/>
      <c r="AN514" s="39"/>
      <c r="AO514"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AO524"/>
  <sheetViews>
    <sheetView workbookViewId="0" topLeftCell="A37">
      <selection activeCell="K65" sqref="K65"/>
    </sheetView>
  </sheetViews>
  <sheetFormatPr defaultColWidth="9.140625" defaultRowHeight="12.75"/>
  <cols>
    <col min="1" max="1" width="26.28125" style="37" customWidth="1"/>
    <col min="2" max="2" width="26.421875" style="37" customWidth="1"/>
    <col min="3" max="3" width="8.8515625" style="37" customWidth="1"/>
    <col min="4" max="4" width="8.57421875" style="37" customWidth="1"/>
    <col min="5" max="5" width="8.421875" style="37" customWidth="1"/>
    <col min="6" max="6" width="9.00390625" style="37" customWidth="1"/>
    <col min="7" max="7" width="10.8515625" style="37" customWidth="1"/>
    <col min="8" max="8" width="12.14062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v>1344</v>
      </c>
    </row>
    <row r="4" spans="1:23" ht="12.75">
      <c r="A4" s="40" t="s">
        <v>32</v>
      </c>
      <c r="B4" s="41"/>
      <c r="C4" s="42"/>
      <c r="D4" s="42"/>
      <c r="E4" s="42"/>
      <c r="F4" s="42"/>
      <c r="G4" s="42"/>
      <c r="H4" s="43"/>
      <c r="I4" s="44" t="s">
        <v>33</v>
      </c>
      <c r="J4" s="45"/>
      <c r="K4" s="45"/>
      <c r="L4" s="45"/>
      <c r="M4" s="45"/>
      <c r="N4" s="45"/>
      <c r="O4"/>
      <c r="P4"/>
      <c r="Q4"/>
      <c r="R4"/>
      <c r="S4"/>
      <c r="T4"/>
      <c r="U4"/>
      <c r="V4"/>
      <c r="W4"/>
    </row>
    <row r="5" spans="1:25" s="99" customFormat="1" ht="26.25" customHeight="1">
      <c r="A5" s="46" t="s">
        <v>34</v>
      </c>
      <c r="B5" s="46" t="s">
        <v>35</v>
      </c>
      <c r="C5" s="46" t="s">
        <v>169</v>
      </c>
      <c r="D5" s="46" t="s">
        <v>170</v>
      </c>
      <c r="E5" s="46" t="s">
        <v>36</v>
      </c>
      <c r="F5" s="46" t="s">
        <v>37</v>
      </c>
      <c r="G5" s="47" t="s">
        <v>38</v>
      </c>
      <c r="H5" s="47" t="s">
        <v>171</v>
      </c>
      <c r="I5" s="47" t="s">
        <v>39</v>
      </c>
      <c r="J5" s="47" t="s">
        <v>40</v>
      </c>
      <c r="K5" s="47" t="s">
        <v>41</v>
      </c>
      <c r="L5" s="47" t="s">
        <v>42</v>
      </c>
      <c r="M5" s="47" t="s">
        <v>43</v>
      </c>
      <c r="N5" s="47" t="s">
        <v>44</v>
      </c>
      <c r="O5"/>
      <c r="P5"/>
      <c r="Q5"/>
      <c r="R5"/>
      <c r="S5"/>
      <c r="T5"/>
      <c r="U5"/>
      <c r="V5"/>
      <c r="W5"/>
      <c r="X5"/>
      <c r="Y5"/>
    </row>
    <row r="6" spans="1:23" ht="12.75">
      <c r="A6" s="106" t="str">
        <f aca="true" t="shared" si="0" ref="A6:A17">B6</f>
        <v>WALL R21 ADV</v>
      </c>
      <c r="B6" s="106" t="str">
        <f>'UA Optimizer '!$Q53</f>
        <v>WALL R21 ADV</v>
      </c>
      <c r="C6" s="107">
        <f>'UA Optimizer '!$V53</f>
        <v>646.9449722969539</v>
      </c>
      <c r="D6" s="102">
        <v>70</v>
      </c>
      <c r="E6" s="103">
        <f>'UA Optimizer '!$S53</f>
        <v>134.28176152038432</v>
      </c>
      <c r="F6" s="102">
        <v>0</v>
      </c>
      <c r="G6" s="100" t="s">
        <v>174</v>
      </c>
      <c r="H6"/>
      <c r="I6"/>
      <c r="J6"/>
      <c r="K6"/>
      <c r="L6"/>
      <c r="M6"/>
      <c r="N6"/>
      <c r="O6"/>
      <c r="P6"/>
      <c r="Q6"/>
      <c r="R6"/>
      <c r="S6"/>
      <c r="T6"/>
      <c r="U6"/>
      <c r="V6"/>
      <c r="W6"/>
    </row>
    <row r="7" spans="1:23" ht="12.75">
      <c r="A7" s="106" t="str">
        <f t="shared" si="0"/>
        <v>WINDOW CL35</v>
      </c>
      <c r="B7" s="106" t="str">
        <f>'UA Optimizer '!$Q54</f>
        <v>WINDOW CL35</v>
      </c>
      <c r="C7" s="107">
        <f>'UA Optimizer '!$V54</f>
        <v>393.33214607214904</v>
      </c>
      <c r="D7" s="102">
        <v>70</v>
      </c>
      <c r="E7" s="103">
        <f>'UA Optimizer '!$S54</f>
        <v>86.39411464187174</v>
      </c>
      <c r="F7" s="102">
        <v>0</v>
      </c>
      <c r="G7" s="100" t="s">
        <v>174</v>
      </c>
      <c r="H7"/>
      <c r="I7"/>
      <c r="J7"/>
      <c r="K7"/>
      <c r="L7"/>
      <c r="M7"/>
      <c r="N7"/>
      <c r="O7"/>
      <c r="P7"/>
      <c r="Q7"/>
      <c r="R7"/>
      <c r="S7"/>
      <c r="T7"/>
      <c r="U7"/>
      <c r="V7"/>
      <c r="W7"/>
    </row>
    <row r="8" spans="1:7" ht="12.75" customHeight="1">
      <c r="A8" s="106" t="str">
        <f t="shared" si="0"/>
        <v>FLOOR R38 STD w/12"Truss</v>
      </c>
      <c r="B8" s="106" t="str">
        <f>'UA Optimizer '!$Q55</f>
        <v>FLOOR R38 STD w/12"Truss</v>
      </c>
      <c r="C8" s="107">
        <f>'UA Optimizer '!$V55</f>
        <v>444.0301728161603</v>
      </c>
      <c r="D8" s="102">
        <v>70</v>
      </c>
      <c r="E8" s="103">
        <f>'UA Optimizer '!$S55</f>
        <v>395.842125268213</v>
      </c>
      <c r="F8" s="102">
        <v>0</v>
      </c>
      <c r="G8" s="100" t="s">
        <v>174</v>
      </c>
    </row>
    <row r="9" spans="1:23" ht="12.75">
      <c r="A9" s="106" t="str">
        <f t="shared" si="0"/>
        <v>ATTIC R49 ADVrh</v>
      </c>
      <c r="B9" s="106" t="str">
        <f>'UA Optimizer '!$Q56</f>
        <v>ATTIC R49 ADVrh</v>
      </c>
      <c r="C9" s="107">
        <f>'UA Optimizer '!$V56</f>
        <v>492.2134740799647</v>
      </c>
      <c r="D9" s="102">
        <v>70</v>
      </c>
      <c r="E9" s="103">
        <f>'UA Optimizer '!$S56</f>
        <v>492.1846531112702</v>
      </c>
      <c r="F9" s="102">
        <v>0</v>
      </c>
      <c r="G9" s="100" t="s">
        <v>174</v>
      </c>
      <c r="H9"/>
      <c r="I9"/>
      <c r="J9"/>
      <c r="K9"/>
      <c r="L9"/>
      <c r="M9"/>
      <c r="N9"/>
      <c r="O9"/>
      <c r="P9"/>
      <c r="Q9"/>
      <c r="R9"/>
      <c r="S9"/>
      <c r="T9"/>
      <c r="U9"/>
      <c r="V9"/>
      <c r="W9"/>
    </row>
    <row r="10" spans="1:23" ht="12.75">
      <c r="A10" s="106" t="str">
        <f t="shared" si="0"/>
        <v>WINDOW CL30</v>
      </c>
      <c r="B10" s="106" t="str">
        <f>'UA Optimizer '!$Q57</f>
        <v>WINDOW CL30</v>
      </c>
      <c r="C10" s="107">
        <f>'UA Optimizer '!$V57</f>
        <v>385.49943147221256</v>
      </c>
      <c r="D10" s="102">
        <v>70</v>
      </c>
      <c r="E10" s="103">
        <f>'UA Optimizer '!$S57</f>
        <v>449.2493961377337</v>
      </c>
      <c r="F10" s="102">
        <v>0</v>
      </c>
      <c r="G10" s="100" t="s">
        <v>174</v>
      </c>
      <c r="H10"/>
      <c r="I10"/>
      <c r="J10"/>
      <c r="K10"/>
      <c r="L10"/>
      <c r="M10"/>
      <c r="N10"/>
      <c r="O10"/>
      <c r="P10"/>
      <c r="Q10"/>
      <c r="R10"/>
      <c r="S10"/>
      <c r="T10"/>
      <c r="U10"/>
      <c r="V10"/>
      <c r="W10"/>
    </row>
    <row r="11" spans="1:7" ht="12.75" customHeight="1">
      <c r="A11" s="106" t="str">
        <f t="shared" si="0"/>
        <v>WINDOW CL25</v>
      </c>
      <c r="B11" s="106" t="str">
        <f>'UA Optimizer '!$Q58</f>
        <v>WINDOW CL25</v>
      </c>
      <c r="C11" s="107">
        <f>'UA Optimizer '!$V58</f>
        <v>384.82163048433813</v>
      </c>
      <c r="D11" s="102">
        <v>70</v>
      </c>
      <c r="E11" s="103">
        <f>'UA Optimizer '!$S58</f>
        <v>479.96730356595486</v>
      </c>
      <c r="F11" s="102">
        <v>0</v>
      </c>
      <c r="G11" s="100" t="s">
        <v>174</v>
      </c>
    </row>
    <row r="12" spans="1:7" ht="12.75" customHeight="1">
      <c r="A12" s="106" t="str">
        <f t="shared" si="0"/>
        <v>VAULT R38 HD</v>
      </c>
      <c r="B12" s="106" t="str">
        <f>'UA Optimizer '!$Q59</f>
        <v>VAULT R38 HD</v>
      </c>
      <c r="C12" s="107">
        <f>'UA Optimizer '!$V59</f>
        <v>129.14907705828955</v>
      </c>
      <c r="D12" s="102">
        <v>70</v>
      </c>
      <c r="E12" s="103">
        <f>'UA Optimizer '!$S59</f>
        <v>181.13311535710622</v>
      </c>
      <c r="F12" s="102">
        <v>0</v>
      </c>
      <c r="G12" s="100" t="s">
        <v>174</v>
      </c>
    </row>
    <row r="13" spans="1:26" ht="12.75" customHeight="1">
      <c r="A13" s="106" t="str">
        <f t="shared" si="0"/>
        <v>WALL R21 STD+R5</v>
      </c>
      <c r="B13" s="106" t="str">
        <f>'UA Optimizer '!$Q60</f>
        <v>WALL R21 STD+R5</v>
      </c>
      <c r="C13" s="107">
        <f>'UA Optimizer '!$V60</f>
        <v>443.49497678431</v>
      </c>
      <c r="D13" s="102">
        <v>70</v>
      </c>
      <c r="E13" s="103">
        <f>'UA Optimizer '!$S60</f>
        <v>765.4060406661896</v>
      </c>
      <c r="F13" s="102">
        <v>0</v>
      </c>
      <c r="G13" s="100" t="s">
        <v>174</v>
      </c>
      <c r="H13" s="49"/>
      <c r="I13" s="49"/>
      <c r="J13" s="49"/>
      <c r="K13" s="49"/>
      <c r="L13" s="49"/>
      <c r="M13" s="49"/>
      <c r="N13" s="49"/>
      <c r="O13" s="49"/>
      <c r="P13" s="49"/>
      <c r="Q13" s="49"/>
      <c r="R13" s="49"/>
      <c r="S13" s="49"/>
      <c r="T13" s="49"/>
      <c r="U13" s="49"/>
      <c r="V13" s="49"/>
      <c r="W13" s="49"/>
      <c r="X13" s="49"/>
      <c r="Y13" s="49"/>
      <c r="Z13" s="49"/>
    </row>
    <row r="14" spans="1:26" ht="12.75" customHeight="1">
      <c r="A14" s="106" t="str">
        <f t="shared" si="0"/>
        <v>WALL 8" SSPANEL</v>
      </c>
      <c r="B14" s="106" t="str">
        <f>'UA Optimizer '!$Q61</f>
        <v>WALL 8" SSPANEL</v>
      </c>
      <c r="C14" s="107">
        <f>'UA Optimizer '!$V61</f>
        <v>492.45355796463446</v>
      </c>
      <c r="D14" s="102">
        <v>70</v>
      </c>
      <c r="E14" s="103">
        <f>'UA Optimizer '!$S61</f>
        <v>1047.3977398589964</v>
      </c>
      <c r="F14" s="102">
        <v>0</v>
      </c>
      <c r="G14" s="100" t="s">
        <v>174</v>
      </c>
      <c r="H14" s="49"/>
      <c r="I14" s="49"/>
      <c r="J14" s="49"/>
      <c r="K14" s="49"/>
      <c r="L14" s="49"/>
      <c r="M14" s="49"/>
      <c r="N14" s="49"/>
      <c r="O14" s="49"/>
      <c r="P14" s="49"/>
      <c r="Q14" s="49"/>
      <c r="R14" s="49"/>
      <c r="S14" s="49"/>
      <c r="T14" s="49"/>
      <c r="U14" s="49"/>
      <c r="V14" s="49"/>
      <c r="W14" s="49"/>
      <c r="X14" s="49"/>
      <c r="Y14" s="49"/>
      <c r="Z14" s="49"/>
    </row>
    <row r="15" spans="1:26" ht="12.75" customHeight="1">
      <c r="A15" s="106" t="str">
        <f t="shared" si="0"/>
        <v>ATTIC R60 ADVrh</v>
      </c>
      <c r="B15" s="106" t="str">
        <f>'UA Optimizer '!$Q62</f>
        <v>ATTIC R60 ADVrh</v>
      </c>
      <c r="C15" s="107">
        <f>'UA Optimizer '!$V62</f>
        <v>126.01793143861505</v>
      </c>
      <c r="D15" s="102">
        <v>70</v>
      </c>
      <c r="E15" s="103">
        <f>'UA Optimizer '!$S62</f>
        <v>282.74437519158073</v>
      </c>
      <c r="F15" s="102">
        <v>0</v>
      </c>
      <c r="G15" s="100" t="s">
        <v>174</v>
      </c>
      <c r="H15" s="49"/>
      <c r="I15" s="49"/>
      <c r="J15" s="49"/>
      <c r="K15" s="49"/>
      <c r="L15" s="49"/>
      <c r="M15" s="49"/>
      <c r="N15" s="49"/>
      <c r="O15" s="49"/>
      <c r="P15" s="49"/>
      <c r="Q15" s="49"/>
      <c r="R15" s="49"/>
      <c r="S15" s="49"/>
      <c r="T15" s="49"/>
      <c r="U15" s="49"/>
      <c r="V15" s="49"/>
      <c r="W15" s="49"/>
      <c r="X15" s="49"/>
      <c r="Y15" s="49"/>
      <c r="Z15" s="49"/>
    </row>
    <row r="16" spans="1:26" ht="12.75" customHeight="1">
      <c r="A16" s="106" t="str">
        <f t="shared" si="0"/>
        <v>WALL R33 DBL</v>
      </c>
      <c r="B16" s="106" t="str">
        <f>'UA Optimizer '!$Q63</f>
        <v>WALL R33 DBL</v>
      </c>
      <c r="C16" s="107">
        <f>'UA Optimizer '!$V63</f>
        <v>53.86391444476794</v>
      </c>
      <c r="D16" s="102">
        <v>70</v>
      </c>
      <c r="E16" s="103">
        <f>'UA Optimizer '!$S63</f>
        <v>537.1270460815373</v>
      </c>
      <c r="F16" s="102">
        <v>0</v>
      </c>
      <c r="G16" s="100" t="s">
        <v>174</v>
      </c>
      <c r="H16" s="49"/>
      <c r="I16" s="49"/>
      <c r="J16" s="49"/>
      <c r="K16" s="49"/>
      <c r="L16" s="49"/>
      <c r="M16" s="49"/>
      <c r="N16" s="49"/>
      <c r="O16" s="49"/>
      <c r="P16" s="49"/>
      <c r="Q16" s="49"/>
      <c r="R16" s="49"/>
      <c r="S16" s="49"/>
      <c r="T16" s="49"/>
      <c r="U16" s="49"/>
      <c r="V16" s="49"/>
      <c r="W16" s="49"/>
      <c r="X16" s="49"/>
      <c r="Y16" s="49"/>
      <c r="Z16" s="49"/>
    </row>
    <row r="17" spans="1:26" ht="12.75" customHeight="1">
      <c r="A17" s="106" t="str">
        <f t="shared" si="0"/>
        <v>VAULT 10" SS Panel</v>
      </c>
      <c r="B17" s="106" t="str">
        <f>'UA Optimizer '!$Q64</f>
        <v>VAULT 10" SS Panel</v>
      </c>
      <c r="C17" s="107">
        <f>'UA Optimizer '!$V64</f>
        <v>17.72127160855598</v>
      </c>
      <c r="D17" s="102">
        <v>70</v>
      </c>
      <c r="E17" s="103">
        <f>'UA Optimizer '!$S64</f>
        <v>631.7569633186881</v>
      </c>
      <c r="F17" s="102">
        <v>0</v>
      </c>
      <c r="G17" s="100" t="s">
        <v>174</v>
      </c>
      <c r="H17" s="49"/>
      <c r="I17" s="49"/>
      <c r="J17" s="49"/>
      <c r="K17" s="49"/>
      <c r="L17" s="49"/>
      <c r="M17" s="49"/>
      <c r="N17" s="49"/>
      <c r="O17" s="49"/>
      <c r="P17" s="49"/>
      <c r="Q17" s="49"/>
      <c r="R17" s="49"/>
      <c r="S17" s="49"/>
      <c r="T17" s="49"/>
      <c r="U17" s="49"/>
      <c r="V17" s="49"/>
      <c r="W17" s="49"/>
      <c r="X17" s="49"/>
      <c r="Y17" s="49"/>
      <c r="Z17" s="49"/>
    </row>
    <row r="18" spans="1:41" ht="12.75" customHeight="1">
      <c r="A18"/>
      <c r="B18"/>
      <c r="C18"/>
      <c r="D18"/>
      <c r="E18"/>
      <c r="F18"/>
      <c r="G18"/>
      <c r="H18"/>
      <c r="I18"/>
      <c r="J18"/>
      <c r="K18"/>
      <c r="L18"/>
      <c r="M18"/>
      <c r="N18"/>
      <c r="O18"/>
      <c r="P18"/>
      <c r="Q18"/>
      <c r="R18"/>
      <c r="S18"/>
      <c r="T18"/>
      <c r="U18"/>
      <c r="V18"/>
      <c r="W18"/>
      <c r="Z18"/>
      <c r="AA18"/>
      <c r="AB18"/>
      <c r="AC18"/>
      <c r="AD18"/>
      <c r="AE18"/>
      <c r="AF18"/>
      <c r="AG18"/>
      <c r="AH18"/>
      <c r="AI18"/>
      <c r="AJ18"/>
      <c r="AK18"/>
      <c r="AL18"/>
      <c r="AM18"/>
      <c r="AN18"/>
      <c r="AO18"/>
    </row>
    <row r="19" spans="1:41" ht="12.75" customHeight="1" thickBot="1">
      <c r="A19"/>
      <c r="B19"/>
      <c r="C19"/>
      <c r="D19"/>
      <c r="E19"/>
      <c r="F19"/>
      <c r="G19"/>
      <c r="H19"/>
      <c r="I19"/>
      <c r="J19"/>
      <c r="K19"/>
      <c r="L19"/>
      <c r="M19"/>
      <c r="N19"/>
      <c r="O19"/>
      <c r="P19"/>
      <c r="Q19"/>
      <c r="R19"/>
      <c r="S19"/>
      <c r="T19"/>
      <c r="U19"/>
      <c r="V19"/>
      <c r="W19"/>
      <c r="Z19"/>
      <c r="AA19"/>
      <c r="AB19"/>
      <c r="AC19"/>
      <c r="AD19"/>
      <c r="AE19"/>
      <c r="AF19"/>
      <c r="AG19"/>
      <c r="AH19"/>
      <c r="AI19"/>
      <c r="AJ19"/>
      <c r="AK19"/>
      <c r="AL19"/>
      <c r="AM19"/>
      <c r="AN19"/>
      <c r="AO19"/>
    </row>
    <row r="20" spans="1:41" ht="12.75" customHeight="1" thickBot="1">
      <c r="A20" s="80" t="s">
        <v>436</v>
      </c>
      <c r="B20" s="50"/>
      <c r="C20" s="50"/>
      <c r="D20" s="51"/>
      <c r="E20"/>
      <c r="F20"/>
      <c r="G20"/>
      <c r="H20"/>
      <c r="I20"/>
      <c r="J20"/>
      <c r="K20"/>
      <c r="L20"/>
      <c r="M20"/>
      <c r="N20"/>
      <c r="O20"/>
      <c r="P20"/>
      <c r="Q20"/>
      <c r="R20"/>
      <c r="S20"/>
      <c r="T20"/>
      <c r="U20"/>
      <c r="V20"/>
      <c r="W20"/>
      <c r="Z20"/>
      <c r="AA20"/>
      <c r="AB20"/>
      <c r="AC20"/>
      <c r="AD20"/>
      <c r="AE20"/>
      <c r="AF20"/>
      <c r="AG20"/>
      <c r="AH20"/>
      <c r="AI20"/>
      <c r="AJ20"/>
      <c r="AK20"/>
      <c r="AL20"/>
      <c r="AM20"/>
      <c r="AN20"/>
      <c r="AO20"/>
    </row>
    <row r="21" spans="1:41" ht="12.75" customHeight="1" thickBot="1">
      <c r="A21" s="52" t="s">
        <v>129</v>
      </c>
      <c r="B21" s="53"/>
      <c r="C21" s="54" t="s">
        <v>78</v>
      </c>
      <c r="D21" s="56"/>
      <c r="E21" s="56"/>
      <c r="F21" s="56"/>
      <c r="G21" s="56"/>
      <c r="H21" s="56"/>
      <c r="I21" s="56"/>
      <c r="J21" s="55"/>
      <c r="K21" s="54" t="s">
        <v>45</v>
      </c>
      <c r="L21" s="56"/>
      <c r="M21" s="55"/>
      <c r="N21" s="54" t="s">
        <v>46</v>
      </c>
      <c r="O21" s="56"/>
      <c r="P21" s="56"/>
      <c r="Q21" s="55"/>
      <c r="R21" s="54" t="s">
        <v>47</v>
      </c>
      <c r="S21" s="55"/>
      <c r="T21" s="54" t="s">
        <v>48</v>
      </c>
      <c r="U21" s="56"/>
      <c r="V21" s="56"/>
      <c r="W21" s="56"/>
      <c r="X21" s="55"/>
      <c r="Y21" s="54" t="s">
        <v>49</v>
      </c>
      <c r="Z21" s="56"/>
      <c r="AA21" s="56"/>
      <c r="AB21" s="56"/>
      <c r="AC21" s="55"/>
      <c r="AD21" s="54" t="s">
        <v>79</v>
      </c>
      <c r="AE21" s="56"/>
      <c r="AF21" s="56"/>
      <c r="AG21" s="56"/>
      <c r="AH21" s="56"/>
      <c r="AI21" s="55"/>
      <c r="AJ21" s="54" t="s">
        <v>80</v>
      </c>
      <c r="AK21" s="56"/>
      <c r="AL21" s="56"/>
      <c r="AM21" s="56"/>
      <c r="AN21" s="56"/>
      <c r="AO21" s="55"/>
    </row>
    <row r="22" spans="1:41" ht="51">
      <c r="A22" s="57" t="s">
        <v>51</v>
      </c>
      <c r="B22" s="58" t="s">
        <v>52</v>
      </c>
      <c r="C22" s="59" t="s">
        <v>81</v>
      </c>
      <c r="D22" s="59" t="s">
        <v>82</v>
      </c>
      <c r="E22" s="59" t="s">
        <v>83</v>
      </c>
      <c r="F22" s="59" t="s">
        <v>84</v>
      </c>
      <c r="G22" s="59" t="s">
        <v>148</v>
      </c>
      <c r="H22" s="59" t="s">
        <v>86</v>
      </c>
      <c r="I22" s="59" t="s">
        <v>87</v>
      </c>
      <c r="J22" s="59" t="s">
        <v>88</v>
      </c>
      <c r="K22" s="59" t="s">
        <v>89</v>
      </c>
      <c r="L22" s="59" t="s">
        <v>90</v>
      </c>
      <c r="M22" s="59" t="s">
        <v>91</v>
      </c>
      <c r="N22" s="59" t="s">
        <v>20</v>
      </c>
      <c r="O22" s="59" t="s">
        <v>21</v>
      </c>
      <c r="P22" s="59" t="s">
        <v>22</v>
      </c>
      <c r="Q22" s="59" t="s">
        <v>4</v>
      </c>
      <c r="R22" s="59" t="s">
        <v>53</v>
      </c>
      <c r="S22" s="59" t="s">
        <v>4</v>
      </c>
      <c r="T22" s="59" t="s">
        <v>20</v>
      </c>
      <c r="U22" s="59" t="s">
        <v>21</v>
      </c>
      <c r="V22" s="59" t="s">
        <v>22</v>
      </c>
      <c r="W22" s="59" t="s">
        <v>4</v>
      </c>
      <c r="X22" s="59" t="s">
        <v>57</v>
      </c>
      <c r="Y22" s="59" t="s">
        <v>20</v>
      </c>
      <c r="Z22" s="59" t="s">
        <v>21</v>
      </c>
      <c r="AA22" s="59" t="s">
        <v>22</v>
      </c>
      <c r="AB22" s="59" t="s">
        <v>4</v>
      </c>
      <c r="AC22" s="59" t="s">
        <v>57</v>
      </c>
      <c r="AD22" s="59" t="s">
        <v>92</v>
      </c>
      <c r="AE22" s="59" t="s">
        <v>93</v>
      </c>
      <c r="AF22" s="59" t="s">
        <v>56</v>
      </c>
      <c r="AG22" s="59" t="s">
        <v>94</v>
      </c>
      <c r="AH22" s="59" t="s">
        <v>95</v>
      </c>
      <c r="AI22" s="59" t="s">
        <v>96</v>
      </c>
      <c r="AJ22" s="59" t="s">
        <v>97</v>
      </c>
      <c r="AK22" s="59" t="s">
        <v>54</v>
      </c>
      <c r="AL22" s="59" t="s">
        <v>55</v>
      </c>
      <c r="AM22" s="59" t="s">
        <v>98</v>
      </c>
      <c r="AN22" s="59" t="s">
        <v>99</v>
      </c>
      <c r="AO22" s="59" t="s">
        <v>100</v>
      </c>
    </row>
    <row r="23" spans="1:41" ht="12.75" customHeight="1">
      <c r="A23" t="s">
        <v>353</v>
      </c>
      <c r="B23" t="s">
        <v>353</v>
      </c>
      <c r="C23" s="49">
        <v>70</v>
      </c>
      <c r="D23" s="49">
        <v>646.9449722969539</v>
      </c>
      <c r="E23" s="49">
        <v>134.28</v>
      </c>
      <c r="F23" s="49">
        <v>0</v>
      </c>
      <c r="G23" s="49">
        <v>0</v>
      </c>
      <c r="H23" s="49" t="s">
        <v>174</v>
      </c>
      <c r="I23" s="49">
        <v>0.178</v>
      </c>
      <c r="J23" s="49">
        <v>0.3659999966621399</v>
      </c>
      <c r="K23" s="49">
        <v>696.2745264345965</v>
      </c>
      <c r="L23" s="60">
        <v>0.16343214454812183</v>
      </c>
      <c r="M23" s="49">
        <v>0.4465359181382411</v>
      </c>
      <c r="N23" s="49"/>
      <c r="O23" s="49"/>
      <c r="P23" s="49">
        <v>134.2818286532928</v>
      </c>
      <c r="Q23" s="49">
        <v>0</v>
      </c>
      <c r="R23" s="49">
        <v>0</v>
      </c>
      <c r="S23" s="49">
        <v>0</v>
      </c>
      <c r="T23" s="49">
        <v>0</v>
      </c>
      <c r="U23" s="49">
        <v>0</v>
      </c>
      <c r="V23" s="49">
        <v>134.2818286532928</v>
      </c>
      <c r="W23" s="49">
        <v>0</v>
      </c>
      <c r="X23" s="49">
        <v>134.2818286532928</v>
      </c>
      <c r="Y23" s="49">
        <v>0</v>
      </c>
      <c r="Z23" s="49">
        <v>0</v>
      </c>
      <c r="AA23" s="49">
        <v>9.530861854553223</v>
      </c>
      <c r="AB23" s="49">
        <v>0</v>
      </c>
      <c r="AC23" s="49">
        <v>9.530861839109091</v>
      </c>
      <c r="AD23" s="49">
        <v>310.09917982210175</v>
      </c>
      <c r="AE23" s="49">
        <v>9.921179374165572</v>
      </c>
      <c r="AF23" s="49">
        <v>49.20895004272461</v>
      </c>
      <c r="AG23" s="49">
        <v>368.7794226941129</v>
      </c>
      <c r="AH23" s="49">
        <v>134.2818286532928</v>
      </c>
      <c r="AI23" s="48">
        <v>2.7463092094633152</v>
      </c>
      <c r="AJ23" s="49">
        <v>180.7136688232422</v>
      </c>
      <c r="AK23" s="49">
        <v>0</v>
      </c>
      <c r="AL23" s="49">
        <v>0</v>
      </c>
      <c r="AM23" s="49">
        <v>549.4931030273438</v>
      </c>
      <c r="AN23" s="49">
        <v>134.2818286532928</v>
      </c>
      <c r="AO23" s="48">
        <v>4.092088222503662</v>
      </c>
    </row>
    <row r="24" spans="1:41" ht="12.75" customHeight="1">
      <c r="A24" t="s">
        <v>179</v>
      </c>
      <c r="B24" t="s">
        <v>179</v>
      </c>
      <c r="C24" s="49">
        <v>70</v>
      </c>
      <c r="D24" s="49">
        <v>393.33214607214904</v>
      </c>
      <c r="E24" s="49">
        <v>86.39</v>
      </c>
      <c r="F24" s="49">
        <v>0</v>
      </c>
      <c r="G24" s="49">
        <v>0</v>
      </c>
      <c r="H24" s="49" t="s">
        <v>174</v>
      </c>
      <c r="I24" s="49">
        <v>0.178</v>
      </c>
      <c r="J24" s="49">
        <v>0.3659999966621399</v>
      </c>
      <c r="K24" s="49">
        <v>423.3237222101504</v>
      </c>
      <c r="L24" s="60">
        <v>0.09936411735924253</v>
      </c>
      <c r="M24" s="49">
        <v>0.27148666192739623</v>
      </c>
      <c r="N24" s="49"/>
      <c r="O24" s="49"/>
      <c r="P24" s="49">
        <v>86.39411843492894</v>
      </c>
      <c r="Q24" s="49">
        <v>0</v>
      </c>
      <c r="R24" s="49">
        <v>0</v>
      </c>
      <c r="S24" s="49">
        <v>0</v>
      </c>
      <c r="T24" s="49">
        <v>0</v>
      </c>
      <c r="U24" s="49">
        <v>0</v>
      </c>
      <c r="V24" s="49">
        <v>86.39411843492894</v>
      </c>
      <c r="W24" s="49">
        <v>0</v>
      </c>
      <c r="X24" s="49">
        <v>86.39411843492894</v>
      </c>
      <c r="Y24" s="49">
        <v>0</v>
      </c>
      <c r="Z24" s="49">
        <v>0</v>
      </c>
      <c r="AA24" s="49">
        <v>10.085721969604492</v>
      </c>
      <c r="AB24" s="49">
        <v>0</v>
      </c>
      <c r="AC24" s="49">
        <v>10.085722274236932</v>
      </c>
      <c r="AD24" s="49">
        <v>188.53531771270104</v>
      </c>
      <c r="AE24" s="49">
        <v>6.03191761573206</v>
      </c>
      <c r="AF24" s="49">
        <v>29.918251037597656</v>
      </c>
      <c r="AG24" s="49">
        <v>224.21196257689306</v>
      </c>
      <c r="AH24" s="49">
        <v>86.39411843492894</v>
      </c>
      <c r="AI24" s="48">
        <v>2.595222529480024</v>
      </c>
      <c r="AJ24" s="49">
        <v>109.87100982666016</v>
      </c>
      <c r="AK24" s="49">
        <v>0</v>
      </c>
      <c r="AL24" s="49">
        <v>0</v>
      </c>
      <c r="AM24" s="49">
        <v>334.0829772949219</v>
      </c>
      <c r="AN24" s="49">
        <v>86.39411843492894</v>
      </c>
      <c r="AO24" s="48">
        <v>3.866964340209961</v>
      </c>
    </row>
    <row r="25" spans="1:41" ht="12.75" customHeight="1">
      <c r="A25" t="s">
        <v>357</v>
      </c>
      <c r="B25" t="s">
        <v>357</v>
      </c>
      <c r="C25" s="49">
        <v>70</v>
      </c>
      <c r="D25" s="49">
        <v>444.0301728161603</v>
      </c>
      <c r="E25" s="49">
        <v>395.84</v>
      </c>
      <c r="F25" s="49">
        <v>0</v>
      </c>
      <c r="G25" s="49">
        <v>0</v>
      </c>
      <c r="H25" s="49" t="s">
        <v>174</v>
      </c>
      <c r="I25" s="49">
        <v>0.178</v>
      </c>
      <c r="J25" s="49">
        <v>0.3659999966621399</v>
      </c>
      <c r="K25" s="49">
        <v>477.88747349339246</v>
      </c>
      <c r="L25" s="60">
        <v>0.11217152384655747</v>
      </c>
      <c r="M25" s="49">
        <v>0.3064795761462935</v>
      </c>
      <c r="N25" s="49"/>
      <c r="O25" s="49"/>
      <c r="P25" s="49">
        <v>395.8421844655016</v>
      </c>
      <c r="Q25" s="49">
        <v>0</v>
      </c>
      <c r="R25" s="49">
        <v>0</v>
      </c>
      <c r="S25" s="49">
        <v>0</v>
      </c>
      <c r="T25" s="49">
        <v>0</v>
      </c>
      <c r="U25" s="49">
        <v>0</v>
      </c>
      <c r="V25" s="49">
        <v>395.8421844655016</v>
      </c>
      <c r="W25" s="49">
        <v>0</v>
      </c>
      <c r="X25" s="49">
        <v>395.8421844655016</v>
      </c>
      <c r="Y25" s="49">
        <v>0</v>
      </c>
      <c r="Z25" s="49">
        <v>0</v>
      </c>
      <c r="AA25" s="49">
        <v>40.934722900390625</v>
      </c>
      <c r="AB25" s="49">
        <v>0</v>
      </c>
      <c r="AC25" s="49">
        <v>40.934723526387714</v>
      </c>
      <c r="AD25" s="49">
        <v>212.83632813109654</v>
      </c>
      <c r="AE25" s="49">
        <v>6.809393658953718</v>
      </c>
      <c r="AF25" s="49">
        <v>33.7745246887207</v>
      </c>
      <c r="AG25" s="49">
        <v>253.11146720259688</v>
      </c>
      <c r="AH25" s="49">
        <v>395.8421844655016</v>
      </c>
      <c r="AI25" s="69">
        <v>0.6394251980606075</v>
      </c>
      <c r="AJ25" s="49">
        <v>124.03268432617188</v>
      </c>
      <c r="AK25" s="49">
        <v>0</v>
      </c>
      <c r="AL25" s="49">
        <v>0</v>
      </c>
      <c r="AM25" s="49">
        <v>377.1441650390625</v>
      </c>
      <c r="AN25" s="49">
        <v>395.8421844655016</v>
      </c>
      <c r="AO25" s="69">
        <v>0.9527639746665955</v>
      </c>
    </row>
    <row r="26" spans="1:41" ht="12.75" customHeight="1">
      <c r="A26" t="s">
        <v>184</v>
      </c>
      <c r="B26" t="s">
        <v>184</v>
      </c>
      <c r="C26" s="49">
        <v>70</v>
      </c>
      <c r="D26" s="49">
        <v>492.2134740799647</v>
      </c>
      <c r="E26" s="49">
        <v>492.18</v>
      </c>
      <c r="F26" s="49">
        <v>0</v>
      </c>
      <c r="G26" s="49">
        <v>0</v>
      </c>
      <c r="H26" s="49" t="s">
        <v>174</v>
      </c>
      <c r="I26" s="49">
        <v>0.178</v>
      </c>
      <c r="J26" s="49">
        <v>0.3659999966621399</v>
      </c>
      <c r="K26" s="49">
        <v>529.744751478562</v>
      </c>
      <c r="L26" s="60">
        <v>0.12434365686274422</v>
      </c>
      <c r="M26" s="49">
        <v>0.3397367704828908</v>
      </c>
      <c r="N26" s="49"/>
      <c r="O26" s="49"/>
      <c r="P26" s="49">
        <v>492.1848050232594</v>
      </c>
      <c r="Q26" s="49">
        <v>0</v>
      </c>
      <c r="R26" s="49">
        <v>0</v>
      </c>
      <c r="S26" s="49">
        <v>0</v>
      </c>
      <c r="T26" s="49">
        <v>0</v>
      </c>
      <c r="U26" s="49">
        <v>0</v>
      </c>
      <c r="V26" s="49">
        <v>492.1848050232594</v>
      </c>
      <c r="W26" s="49">
        <v>0</v>
      </c>
      <c r="X26" s="49">
        <v>492.1848050232594</v>
      </c>
      <c r="Y26" s="49">
        <v>0</v>
      </c>
      <c r="Z26" s="49">
        <v>0</v>
      </c>
      <c r="AA26" s="49">
        <v>45.915252685546875</v>
      </c>
      <c r="AB26" s="49">
        <v>0</v>
      </c>
      <c r="AC26" s="49">
        <v>45.91525207770601</v>
      </c>
      <c r="AD26" s="49">
        <v>235.93195889236216</v>
      </c>
      <c r="AE26" s="49">
        <v>7.548305305458078</v>
      </c>
      <c r="AF26" s="49">
        <v>37.439517974853516</v>
      </c>
      <c r="AG26" s="49">
        <v>280.5774961534927</v>
      </c>
      <c r="AH26" s="49">
        <v>492.1848050232594</v>
      </c>
      <c r="AI26" s="69">
        <v>0.5700653358045731</v>
      </c>
      <c r="AJ26" s="49">
        <v>137.4918975830078</v>
      </c>
      <c r="AK26" s="49">
        <v>0</v>
      </c>
      <c r="AL26" s="49">
        <v>0</v>
      </c>
      <c r="AM26" s="49">
        <v>418.06939697265625</v>
      </c>
      <c r="AN26" s="49">
        <v>492.1848050232594</v>
      </c>
      <c r="AO26" s="69">
        <v>0.8494154810905457</v>
      </c>
    </row>
    <row r="27" spans="1:41" ht="12.75" customHeight="1">
      <c r="A27" t="s">
        <v>339</v>
      </c>
      <c r="B27" t="s">
        <v>339</v>
      </c>
      <c r="C27" s="49">
        <v>70</v>
      </c>
      <c r="D27" s="49">
        <v>385.49943147221256</v>
      </c>
      <c r="E27" s="49">
        <v>449.25</v>
      </c>
      <c r="F27" s="49">
        <v>0</v>
      </c>
      <c r="G27" s="49">
        <v>0</v>
      </c>
      <c r="H27" s="49" t="s">
        <v>174</v>
      </c>
      <c r="I27" s="49">
        <v>0.178</v>
      </c>
      <c r="J27" s="49">
        <v>0.3659999966621399</v>
      </c>
      <c r="K27" s="49">
        <v>414.89376312196873</v>
      </c>
      <c r="L27" s="60">
        <v>0.09738540603213228</v>
      </c>
      <c r="M27" s="49">
        <v>0.2660803467766974</v>
      </c>
      <c r="N27" s="49"/>
      <c r="O27" s="49"/>
      <c r="P27" s="49">
        <v>449.24949586164763</v>
      </c>
      <c r="Q27" s="49">
        <v>0</v>
      </c>
      <c r="R27" s="49">
        <v>0</v>
      </c>
      <c r="S27" s="49">
        <v>0</v>
      </c>
      <c r="T27" s="49">
        <v>0</v>
      </c>
      <c r="U27" s="49">
        <v>0</v>
      </c>
      <c r="V27" s="49">
        <v>449.24949586164763</v>
      </c>
      <c r="W27" s="49">
        <v>0</v>
      </c>
      <c r="X27" s="49">
        <v>449.24949586164763</v>
      </c>
      <c r="Y27" s="49">
        <v>0</v>
      </c>
      <c r="Z27" s="49">
        <v>0</v>
      </c>
      <c r="AA27" s="49">
        <v>53.511375427246094</v>
      </c>
      <c r="AB27" s="49">
        <v>0</v>
      </c>
      <c r="AC27" s="49">
        <v>53.511376880852694</v>
      </c>
      <c r="AD27" s="49">
        <v>184.7808741707763</v>
      </c>
      <c r="AE27" s="49">
        <v>5.911799568818879</v>
      </c>
      <c r="AF27" s="49">
        <v>29.32246208190918</v>
      </c>
      <c r="AG27" s="49">
        <v>219.74705891434158</v>
      </c>
      <c r="AH27" s="49">
        <v>449.24949586164763</v>
      </c>
      <c r="AI27" s="69">
        <v>0.48914258321619936</v>
      </c>
      <c r="AJ27" s="49">
        <v>107.68302917480469</v>
      </c>
      <c r="AK27" s="49">
        <v>0</v>
      </c>
      <c r="AL27" s="49">
        <v>0</v>
      </c>
      <c r="AM27" s="49">
        <v>327.4300842285156</v>
      </c>
      <c r="AN27" s="49">
        <v>449.24949586164763</v>
      </c>
      <c r="AO27" s="69">
        <v>0.7288379669189453</v>
      </c>
    </row>
    <row r="28" spans="1:41" ht="12.75" customHeight="1">
      <c r="A28" t="s">
        <v>182</v>
      </c>
      <c r="B28" t="s">
        <v>182</v>
      </c>
      <c r="C28" s="49">
        <v>70</v>
      </c>
      <c r="D28" s="49">
        <v>384.82163048433813</v>
      </c>
      <c r="E28" s="49">
        <v>479.97</v>
      </c>
      <c r="F28" s="49">
        <v>0</v>
      </c>
      <c r="G28" s="49">
        <v>0</v>
      </c>
      <c r="H28" s="49" t="s">
        <v>174</v>
      </c>
      <c r="I28" s="49">
        <v>0.178</v>
      </c>
      <c r="J28" s="49">
        <v>0.3659999966621399</v>
      </c>
      <c r="K28" s="49">
        <v>414.1642798087689</v>
      </c>
      <c r="L28" s="60">
        <v>0.09721417899773423</v>
      </c>
      <c r="M28" s="49">
        <v>0.26561251334511377</v>
      </c>
      <c r="N28" s="49"/>
      <c r="O28" s="49"/>
      <c r="P28" s="49">
        <v>479.96740241628856</v>
      </c>
      <c r="Q28" s="49">
        <v>0</v>
      </c>
      <c r="R28" s="49">
        <v>0</v>
      </c>
      <c r="S28" s="49">
        <v>0</v>
      </c>
      <c r="T28" s="49">
        <v>0</v>
      </c>
      <c r="U28" s="49">
        <v>0</v>
      </c>
      <c r="V28" s="49">
        <v>479.96740241628856</v>
      </c>
      <c r="W28" s="49">
        <v>0</v>
      </c>
      <c r="X28" s="49">
        <v>479.96740241628856</v>
      </c>
      <c r="Y28" s="49">
        <v>0</v>
      </c>
      <c r="Z28" s="49">
        <v>0</v>
      </c>
      <c r="AA28" s="49">
        <v>57.27096939086914</v>
      </c>
      <c r="AB28" s="49">
        <v>0</v>
      </c>
      <c r="AC28" s="49">
        <v>57.27096970833337</v>
      </c>
      <c r="AD28" s="49">
        <v>184.4559848224964</v>
      </c>
      <c r="AE28" s="49">
        <v>5.901405199175947</v>
      </c>
      <c r="AF28" s="49">
        <v>29.270912170410156</v>
      </c>
      <c r="AG28" s="49">
        <v>219.36069662878606</v>
      </c>
      <c r="AH28" s="49">
        <v>479.96740241628856</v>
      </c>
      <c r="AI28" s="69">
        <v>0.4570324891325196</v>
      </c>
      <c r="AJ28" s="49">
        <v>107.4937515258789</v>
      </c>
      <c r="AK28" s="49">
        <v>0</v>
      </c>
      <c r="AL28" s="49">
        <v>0</v>
      </c>
      <c r="AM28" s="49">
        <v>326.8544616699219</v>
      </c>
      <c r="AN28" s="49">
        <v>479.96740241628856</v>
      </c>
      <c r="AO28" s="69">
        <v>0.6809930205345154</v>
      </c>
    </row>
    <row r="29" spans="1:41" ht="12.75" customHeight="1">
      <c r="A29" t="s">
        <v>332</v>
      </c>
      <c r="B29" t="s">
        <v>332</v>
      </c>
      <c r="C29" s="49">
        <v>70</v>
      </c>
      <c r="D29" s="49">
        <v>129.14907705828955</v>
      </c>
      <c r="E29" s="49">
        <v>181.13</v>
      </c>
      <c r="F29" s="49">
        <v>0</v>
      </c>
      <c r="G29" s="49">
        <v>0</v>
      </c>
      <c r="H29" s="49" t="s">
        <v>174</v>
      </c>
      <c r="I29" s="49">
        <v>0.178</v>
      </c>
      <c r="J29" s="49">
        <v>0.3659999966621399</v>
      </c>
      <c r="K29" s="49">
        <v>138.99669418398412</v>
      </c>
      <c r="L29" s="60">
        <v>0.03262582063990218</v>
      </c>
      <c r="M29" s="49">
        <v>0.08914158726077685</v>
      </c>
      <c r="N29" s="49"/>
      <c r="O29" s="49"/>
      <c r="P29" s="49">
        <v>181.13313865050773</v>
      </c>
      <c r="Q29" s="49">
        <v>0</v>
      </c>
      <c r="R29" s="49">
        <v>0</v>
      </c>
      <c r="S29" s="49">
        <v>0</v>
      </c>
      <c r="T29" s="49">
        <v>0</v>
      </c>
      <c r="U29" s="49">
        <v>0</v>
      </c>
      <c r="V29" s="49">
        <v>181.13313865050773</v>
      </c>
      <c r="W29" s="49">
        <v>0</v>
      </c>
      <c r="X29" s="49">
        <v>181.13313865050773</v>
      </c>
      <c r="Y29" s="49">
        <v>0</v>
      </c>
      <c r="Z29" s="49">
        <v>0</v>
      </c>
      <c r="AA29" s="49">
        <v>64.40044403076172</v>
      </c>
      <c r="AB29" s="49">
        <v>0</v>
      </c>
      <c r="AC29" s="49">
        <v>64.40044598315468</v>
      </c>
      <c r="AD29" s="49">
        <v>61.90483671024545</v>
      </c>
      <c r="AE29" s="49">
        <v>1.980556638308782</v>
      </c>
      <c r="AF29" s="49">
        <v>9.823541641235352</v>
      </c>
      <c r="AG29" s="49">
        <v>73.61912451974948</v>
      </c>
      <c r="AH29" s="49">
        <v>181.13313865050773</v>
      </c>
      <c r="AI29" s="69">
        <v>0.4064365309861709</v>
      </c>
      <c r="AJ29" s="49">
        <v>36.07572555541992</v>
      </c>
      <c r="AK29" s="49">
        <v>0</v>
      </c>
      <c r="AL29" s="49">
        <v>0</v>
      </c>
      <c r="AM29" s="49">
        <v>109.6948471069336</v>
      </c>
      <c r="AN29" s="49">
        <v>181.13313865050773</v>
      </c>
      <c r="AO29" s="69">
        <v>0.6056033968925476</v>
      </c>
    </row>
    <row r="30" spans="1:41" ht="12.75" customHeight="1">
      <c r="A30" t="s">
        <v>349</v>
      </c>
      <c r="B30" t="s">
        <v>349</v>
      </c>
      <c r="C30" s="49">
        <v>70</v>
      </c>
      <c r="D30" s="49">
        <v>443.49497678431</v>
      </c>
      <c r="E30" s="49">
        <v>765.41</v>
      </c>
      <c r="F30" s="49">
        <v>0</v>
      </c>
      <c r="G30" s="49">
        <v>0</v>
      </c>
      <c r="H30" s="49" t="s">
        <v>174</v>
      </c>
      <c r="I30" s="49">
        <v>0.178</v>
      </c>
      <c r="J30" s="49">
        <v>0.3659999966621399</v>
      </c>
      <c r="K30" s="49">
        <v>477.3114687641136</v>
      </c>
      <c r="L30" s="60">
        <v>0.11203632187578029</v>
      </c>
      <c r="M30" s="49">
        <v>0.30611017185118367</v>
      </c>
      <c r="N30" s="49"/>
      <c r="O30" s="49"/>
      <c r="P30" s="49">
        <v>765.4061633237134</v>
      </c>
      <c r="Q30" s="49">
        <v>0</v>
      </c>
      <c r="R30" s="49">
        <v>0</v>
      </c>
      <c r="S30" s="49">
        <v>0</v>
      </c>
      <c r="T30" s="49">
        <v>0</v>
      </c>
      <c r="U30" s="49">
        <v>0</v>
      </c>
      <c r="V30" s="49">
        <v>765.4061633237134</v>
      </c>
      <c r="W30" s="49">
        <v>0</v>
      </c>
      <c r="X30" s="49">
        <v>765.4061633237134</v>
      </c>
      <c r="Y30" s="49">
        <v>0</v>
      </c>
      <c r="Z30" s="49">
        <v>0</v>
      </c>
      <c r="AA30" s="49">
        <v>79.24748992919922</v>
      </c>
      <c r="AB30" s="49">
        <v>0</v>
      </c>
      <c r="AC30" s="49">
        <v>79.24749060844499</v>
      </c>
      <c r="AD30" s="49">
        <v>212.5797934061544</v>
      </c>
      <c r="AE30" s="49">
        <v>6.80118619763985</v>
      </c>
      <c r="AF30" s="49">
        <v>33.73381042480469</v>
      </c>
      <c r="AG30" s="49">
        <v>252.8063829285819</v>
      </c>
      <c r="AH30" s="49">
        <v>765.4061633237134</v>
      </c>
      <c r="AI30" s="69">
        <v>0.3302904980942288</v>
      </c>
      <c r="AJ30" s="49">
        <v>123.88314819335938</v>
      </c>
      <c r="AK30" s="49">
        <v>0</v>
      </c>
      <c r="AL30" s="49">
        <v>0</v>
      </c>
      <c r="AM30" s="49">
        <v>376.6895446777344</v>
      </c>
      <c r="AN30" s="49">
        <v>765.4061633237134</v>
      </c>
      <c r="AO30" s="69">
        <v>0.49214333295822144</v>
      </c>
    </row>
    <row r="31" spans="1:41" ht="12.75" customHeight="1">
      <c r="A31" t="s">
        <v>188</v>
      </c>
      <c r="B31" t="s">
        <v>188</v>
      </c>
      <c r="C31" s="49">
        <v>70</v>
      </c>
      <c r="D31" s="49">
        <v>492.45355796463446</v>
      </c>
      <c r="E31" s="49">
        <v>1047.4</v>
      </c>
      <c r="F31" s="49">
        <v>0</v>
      </c>
      <c r="G31" s="49">
        <v>0</v>
      </c>
      <c r="H31" s="49" t="s">
        <v>174</v>
      </c>
      <c r="I31" s="49">
        <v>0.178</v>
      </c>
      <c r="J31" s="49">
        <v>0.3659999966621399</v>
      </c>
      <c r="K31" s="49">
        <v>530.0031417594378</v>
      </c>
      <c r="L31" s="60">
        <v>0.12440430718977855</v>
      </c>
      <c r="M31" s="49">
        <v>0.3399024817604521</v>
      </c>
      <c r="N31" s="49"/>
      <c r="O31" s="49"/>
      <c r="P31" s="49">
        <v>1047.3979234956112</v>
      </c>
      <c r="Q31" s="49">
        <v>0</v>
      </c>
      <c r="R31" s="49">
        <v>0</v>
      </c>
      <c r="S31" s="49">
        <v>0</v>
      </c>
      <c r="T31" s="49">
        <v>0</v>
      </c>
      <c r="U31" s="49">
        <v>0</v>
      </c>
      <c r="V31" s="49">
        <v>1047.3979234956112</v>
      </c>
      <c r="W31" s="49">
        <v>0</v>
      </c>
      <c r="X31" s="49">
        <v>1047.3979234956112</v>
      </c>
      <c r="Y31" s="49">
        <v>0</v>
      </c>
      <c r="Z31" s="49">
        <v>0</v>
      </c>
      <c r="AA31" s="49">
        <v>97.6626968383789</v>
      </c>
      <c r="AB31" s="49">
        <v>0</v>
      </c>
      <c r="AC31" s="49">
        <v>97.66269360452063</v>
      </c>
      <c r="AD31" s="49">
        <v>236.04703794685958</v>
      </c>
      <c r="AE31" s="49">
        <v>7.551987095079533</v>
      </c>
      <c r="AF31" s="49">
        <v>37.4577751159668</v>
      </c>
      <c r="AG31" s="49">
        <v>280.71434718401616</v>
      </c>
      <c r="AH31" s="49">
        <v>1047.3979234956112</v>
      </c>
      <c r="AI31" s="69">
        <v>0.26801117405995356</v>
      </c>
      <c r="AJ31" s="49">
        <v>137.55892944335938</v>
      </c>
      <c r="AK31" s="49">
        <v>0</v>
      </c>
      <c r="AL31" s="49">
        <v>0</v>
      </c>
      <c r="AM31" s="49">
        <v>418.2732849121094</v>
      </c>
      <c r="AN31" s="49">
        <v>1047.3979234956112</v>
      </c>
      <c r="AO31" s="69">
        <v>0.39934515953063965</v>
      </c>
    </row>
    <row r="32" spans="1:41" ht="12.75" customHeight="1">
      <c r="A32" t="s">
        <v>186</v>
      </c>
      <c r="B32" t="s">
        <v>186</v>
      </c>
      <c r="C32" s="49">
        <v>70</v>
      </c>
      <c r="D32" s="49">
        <v>126.01793143861505</v>
      </c>
      <c r="E32" s="49">
        <v>282.74</v>
      </c>
      <c r="F32" s="49">
        <v>0</v>
      </c>
      <c r="G32" s="49">
        <v>0</v>
      </c>
      <c r="H32" s="49" t="s">
        <v>174</v>
      </c>
      <c r="I32" s="49">
        <v>0.178</v>
      </c>
      <c r="J32" s="49">
        <v>0.3659999966621399</v>
      </c>
      <c r="K32" s="49">
        <v>135.62679871080945</v>
      </c>
      <c r="L32" s="60">
        <v>0.03183482625022637</v>
      </c>
      <c r="M32" s="49">
        <v>0.08698040038402946</v>
      </c>
      <c r="N32" s="49"/>
      <c r="O32" s="49"/>
      <c r="P32" s="49">
        <v>282.74446033251024</v>
      </c>
      <c r="Q32" s="49">
        <v>0</v>
      </c>
      <c r="R32" s="49">
        <v>0</v>
      </c>
      <c r="S32" s="49">
        <v>0</v>
      </c>
      <c r="T32" s="49">
        <v>0</v>
      </c>
      <c r="U32" s="49">
        <v>0</v>
      </c>
      <c r="V32" s="49">
        <v>282.74446033251024</v>
      </c>
      <c r="W32" s="49">
        <v>0</v>
      </c>
      <c r="X32" s="49">
        <v>282.74446033251024</v>
      </c>
      <c r="Y32" s="49">
        <v>0</v>
      </c>
      <c r="Z32" s="49">
        <v>0</v>
      </c>
      <c r="AA32" s="49">
        <v>103.02532958984375</v>
      </c>
      <c r="AB32" s="49">
        <v>0</v>
      </c>
      <c r="AC32" s="49">
        <v>103.02533314777705</v>
      </c>
      <c r="AD32" s="49">
        <v>60.4039892964117</v>
      </c>
      <c r="AE32" s="49">
        <v>1.9325391736562167</v>
      </c>
      <c r="AF32" s="49">
        <v>9.58537483215332</v>
      </c>
      <c r="AG32" s="49">
        <v>71.83427023573888</v>
      </c>
      <c r="AH32" s="49">
        <v>282.74446033251024</v>
      </c>
      <c r="AI32" s="69">
        <v>0.25406075207012396</v>
      </c>
      <c r="AJ32" s="49">
        <v>35.20108413696289</v>
      </c>
      <c r="AK32" s="49">
        <v>0</v>
      </c>
      <c r="AL32" s="49">
        <v>0</v>
      </c>
      <c r="AM32" s="49">
        <v>107.03535461425781</v>
      </c>
      <c r="AN32" s="49">
        <v>282.74446033251024</v>
      </c>
      <c r="AO32" s="69">
        <v>0.3785586357116699</v>
      </c>
    </row>
    <row r="33" spans="1:41" ht="12.75" customHeight="1">
      <c r="A33" t="s">
        <v>350</v>
      </c>
      <c r="B33" t="s">
        <v>350</v>
      </c>
      <c r="C33" s="49">
        <v>70</v>
      </c>
      <c r="D33" s="49">
        <v>53.86391444476794</v>
      </c>
      <c r="E33" s="49">
        <v>537.13</v>
      </c>
      <c r="F33" s="49">
        <v>0</v>
      </c>
      <c r="G33" s="49">
        <v>0</v>
      </c>
      <c r="H33" s="49" t="s">
        <v>174</v>
      </c>
      <c r="I33" s="49">
        <v>0.178</v>
      </c>
      <c r="J33" s="49">
        <v>0.3659999966621399</v>
      </c>
      <c r="K33" s="49">
        <v>57.9710379211815</v>
      </c>
      <c r="L33" s="60">
        <v>0.01360717747014854</v>
      </c>
      <c r="M33" s="49">
        <v>0.03717808085858954</v>
      </c>
      <c r="N33" s="49"/>
      <c r="O33" s="49"/>
      <c r="P33" s="49">
        <v>537.1271146131285</v>
      </c>
      <c r="Q33" s="49">
        <v>0</v>
      </c>
      <c r="R33" s="49">
        <v>0</v>
      </c>
      <c r="S33" s="49">
        <v>0</v>
      </c>
      <c r="T33" s="49">
        <v>0</v>
      </c>
      <c r="U33" s="49">
        <v>0</v>
      </c>
      <c r="V33" s="49">
        <v>537.1271146131285</v>
      </c>
      <c r="W33" s="49">
        <v>0</v>
      </c>
      <c r="X33" s="49">
        <v>537.1271146131285</v>
      </c>
      <c r="Y33" s="49">
        <v>0</v>
      </c>
      <c r="Z33" s="49">
        <v>0</v>
      </c>
      <c r="AA33" s="49">
        <v>457.8902893066406</v>
      </c>
      <c r="AB33" s="49">
        <v>0</v>
      </c>
      <c r="AC33" s="49">
        <v>457.8902900860844</v>
      </c>
      <c r="AD33" s="49">
        <v>25.818510702736454</v>
      </c>
      <c r="AE33" s="49">
        <v>0.8260262926287324</v>
      </c>
      <c r="AF33" s="49">
        <v>4.097081661224365</v>
      </c>
      <c r="AG33" s="49">
        <v>30.704161606297962</v>
      </c>
      <c r="AH33" s="49">
        <v>537.1271146131285</v>
      </c>
      <c r="AI33" s="69">
        <v>0.05716367833787903</v>
      </c>
      <c r="AJ33" s="49">
        <v>15.046014785766602</v>
      </c>
      <c r="AK33" s="49">
        <v>0</v>
      </c>
      <c r="AL33" s="49">
        <v>0</v>
      </c>
      <c r="AM33" s="49">
        <v>45.75017547607422</v>
      </c>
      <c r="AN33" s="49">
        <v>537.1271146131285</v>
      </c>
      <c r="AO33" s="69">
        <v>0.08517569303512573</v>
      </c>
    </row>
    <row r="34" spans="1:41" ht="12.75" customHeight="1">
      <c r="A34" t="s">
        <v>185</v>
      </c>
      <c r="B34" t="s">
        <v>185</v>
      </c>
      <c r="C34" s="49">
        <v>70</v>
      </c>
      <c r="D34" s="49">
        <v>17.72127160855598</v>
      </c>
      <c r="E34" s="49">
        <v>631.76</v>
      </c>
      <c r="F34" s="49">
        <v>0</v>
      </c>
      <c r="G34" s="49">
        <v>0</v>
      </c>
      <c r="H34" s="49" t="s">
        <v>174</v>
      </c>
      <c r="I34" s="49">
        <v>0.178</v>
      </c>
      <c r="J34" s="49">
        <v>0.3659999966621399</v>
      </c>
      <c r="K34" s="49">
        <v>19.07251856870837</v>
      </c>
      <c r="L34" s="60">
        <v>0.00447677244143827</v>
      </c>
      <c r="M34" s="49">
        <v>0.01223161880400465</v>
      </c>
      <c r="N34" s="49"/>
      <c r="O34" s="49"/>
      <c r="P34" s="49">
        <v>631.7571348054486</v>
      </c>
      <c r="Q34" s="49">
        <v>0</v>
      </c>
      <c r="R34" s="49">
        <v>0</v>
      </c>
      <c r="S34" s="49">
        <v>0</v>
      </c>
      <c r="T34" s="49">
        <v>0</v>
      </c>
      <c r="U34" s="49">
        <v>0</v>
      </c>
      <c r="V34" s="49">
        <v>631.7571348054486</v>
      </c>
      <c r="W34" s="49">
        <v>0</v>
      </c>
      <c r="X34" s="49">
        <v>631.7571348054486</v>
      </c>
      <c r="Y34" s="49">
        <v>0</v>
      </c>
      <c r="Z34" s="49">
        <v>0</v>
      </c>
      <c r="AA34" s="49">
        <v>1636.9580078125</v>
      </c>
      <c r="AB34" s="49">
        <v>0</v>
      </c>
      <c r="AC34" s="49">
        <v>1636.958022542228</v>
      </c>
      <c r="AD34" s="49">
        <v>8.494310994808217</v>
      </c>
      <c r="AE34" s="49">
        <v>0.27176332129541675</v>
      </c>
      <c r="AF34" s="49">
        <v>1.3479430675506592</v>
      </c>
      <c r="AG34" s="49">
        <v>10.101693983680212</v>
      </c>
      <c r="AH34" s="49">
        <v>631.7571348054486</v>
      </c>
      <c r="AI34" s="69">
        <v>0.015989837592876664</v>
      </c>
      <c r="AJ34" s="49">
        <v>4.950150012969971</v>
      </c>
      <c r="AK34" s="49">
        <v>0</v>
      </c>
      <c r="AL34" s="49">
        <v>0</v>
      </c>
      <c r="AM34" s="49">
        <v>15.051843643188477</v>
      </c>
      <c r="AN34" s="49">
        <v>631.7571348054486</v>
      </c>
      <c r="AO34" s="69">
        <v>0.02382536418735981</v>
      </c>
    </row>
    <row r="35" spans="1:41" ht="12.75" customHeight="1">
      <c r="A35"/>
      <c r="B35"/>
      <c r="C35" s="49"/>
      <c r="D35" s="49"/>
      <c r="E35" s="49"/>
      <c r="F35" s="49"/>
      <c r="G35" s="49"/>
      <c r="H35" s="49"/>
      <c r="I35" s="49"/>
      <c r="J35" s="49"/>
      <c r="K35" s="49"/>
      <c r="L35" s="60"/>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61"/>
    </row>
    <row r="36" spans="1:41" ht="12.75" customHeight="1" thickBot="1">
      <c r="A36"/>
      <c r="B3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thickBot="1">
      <c r="A37" s="62" t="s">
        <v>130</v>
      </c>
      <c r="B37" s="71"/>
      <c r="C37" s="72" t="s">
        <v>101</v>
      </c>
      <c r="D37" s="63"/>
      <c r="E37" s="63"/>
      <c r="F37" s="63"/>
      <c r="G37" s="63"/>
      <c r="H37" s="63"/>
      <c r="I37" s="63"/>
      <c r="J37" s="64"/>
      <c r="K37" s="72" t="s">
        <v>45</v>
      </c>
      <c r="L37" s="63"/>
      <c r="M37" s="64"/>
      <c r="N37" s="72" t="s">
        <v>102</v>
      </c>
      <c r="O37" s="63"/>
      <c r="P37" s="63"/>
      <c r="Q37" s="63"/>
      <c r="R37" s="73" t="s">
        <v>103</v>
      </c>
      <c r="S37" s="72" t="s">
        <v>79</v>
      </c>
      <c r="T37" s="63"/>
      <c r="U37" s="63"/>
      <c r="V37" s="63"/>
      <c r="W37" s="63"/>
      <c r="X37" s="64"/>
      <c r="Y37" s="72" t="s">
        <v>80</v>
      </c>
      <c r="Z37" s="63"/>
      <c r="AA37" s="63"/>
      <c r="AB37" s="63"/>
      <c r="AC37" s="63"/>
      <c r="AD37" s="64"/>
      <c r="AE37" s="49"/>
      <c r="AF37" s="49"/>
      <c r="AG37" s="49"/>
      <c r="AH37" s="49"/>
      <c r="AI37" s="49"/>
      <c r="AJ37" s="49"/>
      <c r="AK37" s="49"/>
      <c r="AL37" s="49"/>
      <c r="AM37" s="49"/>
      <c r="AN37" s="49"/>
      <c r="AO37" s="49"/>
    </row>
    <row r="38" spans="1:41" ht="51">
      <c r="A38" s="57"/>
      <c r="B38" s="58" t="s">
        <v>51</v>
      </c>
      <c r="C38" s="59" t="s">
        <v>104</v>
      </c>
      <c r="D38" s="59" t="s">
        <v>82</v>
      </c>
      <c r="E38" s="59" t="s">
        <v>83</v>
      </c>
      <c r="F38" s="59" t="s">
        <v>84</v>
      </c>
      <c r="G38" s="59" t="s">
        <v>85</v>
      </c>
      <c r="H38" s="59" t="s">
        <v>86</v>
      </c>
      <c r="I38" s="59" t="s">
        <v>105</v>
      </c>
      <c r="J38" s="59" t="s">
        <v>106</v>
      </c>
      <c r="K38" s="59" t="s">
        <v>89</v>
      </c>
      <c r="L38" s="59" t="s">
        <v>90</v>
      </c>
      <c r="M38" s="59" t="s">
        <v>91</v>
      </c>
      <c r="N38" s="59" t="s">
        <v>46</v>
      </c>
      <c r="O38" s="59" t="s">
        <v>107</v>
      </c>
      <c r="P38" s="59" t="s">
        <v>108</v>
      </c>
      <c r="Q38" s="59" t="s">
        <v>109</v>
      </c>
      <c r="R38" s="59" t="s">
        <v>110</v>
      </c>
      <c r="S38" s="59" t="s">
        <v>92</v>
      </c>
      <c r="T38" s="59" t="s">
        <v>93</v>
      </c>
      <c r="U38" s="59" t="s">
        <v>56</v>
      </c>
      <c r="V38" s="59" t="s">
        <v>94</v>
      </c>
      <c r="W38" s="59" t="s">
        <v>95</v>
      </c>
      <c r="X38" s="59" t="s">
        <v>96</v>
      </c>
      <c r="Y38" s="59" t="s">
        <v>97</v>
      </c>
      <c r="Z38" s="59" t="s">
        <v>54</v>
      </c>
      <c r="AA38" s="59" t="s">
        <v>55</v>
      </c>
      <c r="AB38" s="59" t="s">
        <v>98</v>
      </c>
      <c r="AC38" s="59" t="s">
        <v>99</v>
      </c>
      <c r="AD38" s="59" t="s">
        <v>100</v>
      </c>
      <c r="AE38" s="49"/>
      <c r="AF38" s="49"/>
      <c r="AG38" s="49"/>
      <c r="AH38" s="49"/>
      <c r="AI38" s="49"/>
      <c r="AJ38" s="49"/>
      <c r="AK38" s="49"/>
      <c r="AL38" s="49"/>
      <c r="AM38" s="49"/>
      <c r="AN38" s="49"/>
      <c r="AO38" s="49"/>
    </row>
    <row r="39" spans="1:41" ht="12.75" customHeight="1">
      <c r="A39"/>
      <c r="B39" t="s">
        <v>353</v>
      </c>
      <c r="C39" s="49">
        <v>70</v>
      </c>
      <c r="D39" s="49">
        <v>646.9449722969539</v>
      </c>
      <c r="E39" s="49">
        <v>134.28</v>
      </c>
      <c r="F39" s="49">
        <v>0</v>
      </c>
      <c r="G39" s="49">
        <v>0</v>
      </c>
      <c r="H39" s="49"/>
      <c r="I39" s="49">
        <v>0.178</v>
      </c>
      <c r="J39" s="49">
        <v>0.3659999966621399</v>
      </c>
      <c r="K39" s="49">
        <v>696.2745264345965</v>
      </c>
      <c r="L39" s="49">
        <v>0.16343214454812183</v>
      </c>
      <c r="M39" s="49">
        <v>0.4465359151363373</v>
      </c>
      <c r="N39" s="49">
        <v>134.2818286532928</v>
      </c>
      <c r="O39" s="49">
        <v>0</v>
      </c>
      <c r="P39" s="49">
        <v>0</v>
      </c>
      <c r="Q39" s="49">
        <v>134.28182983398438</v>
      </c>
      <c r="R39" s="49">
        <v>9.530861801612689</v>
      </c>
      <c r="S39" s="49">
        <v>310.09917982210175</v>
      </c>
      <c r="T39" s="49">
        <v>9.92117977142334</v>
      </c>
      <c r="U39" s="49">
        <v>49.20895004272461</v>
      </c>
      <c r="V39" s="49">
        <v>368.7794226941129</v>
      </c>
      <c r="W39" s="49">
        <v>134.2818286532928</v>
      </c>
      <c r="X39" s="48">
        <v>2.7463092094633152</v>
      </c>
      <c r="Y39" s="60">
        <v>180.7136688232422</v>
      </c>
      <c r="Z39" s="60">
        <v>0</v>
      </c>
      <c r="AA39" s="60">
        <v>0</v>
      </c>
      <c r="AB39" s="60">
        <v>549.4931030273438</v>
      </c>
      <c r="AC39" s="60">
        <v>134.28182983398438</v>
      </c>
      <c r="AD39" s="48">
        <v>4.092088222503662</v>
      </c>
      <c r="AE39" s="60"/>
      <c r="AF39" s="60"/>
      <c r="AG39" s="60"/>
      <c r="AH39" s="60"/>
      <c r="AI39" s="60"/>
      <c r="AJ39" s="60"/>
      <c r="AK39" s="60"/>
      <c r="AL39" s="49"/>
      <c r="AM39" s="49"/>
      <c r="AN39" s="49"/>
      <c r="AO39" s="49"/>
    </row>
    <row r="40" spans="1:41" ht="12.75" customHeight="1">
      <c r="A40"/>
      <c r="B40" t="s">
        <v>179</v>
      </c>
      <c r="C40" s="49">
        <v>70</v>
      </c>
      <c r="D40" s="49">
        <v>393.33214607214904</v>
      </c>
      <c r="E40" s="49">
        <v>86.39</v>
      </c>
      <c r="F40" s="49">
        <v>0</v>
      </c>
      <c r="G40" s="49">
        <v>0</v>
      </c>
      <c r="H40" s="49"/>
      <c r="I40" s="49">
        <v>0.178</v>
      </c>
      <c r="J40" s="49">
        <v>0.3659999966621399</v>
      </c>
      <c r="K40" s="49">
        <v>423.3237222101504</v>
      </c>
      <c r="L40" s="49">
        <v>0.09936411735924253</v>
      </c>
      <c r="M40" s="49">
        <v>0.27148666977882385</v>
      </c>
      <c r="N40" s="49">
        <v>86.39411843492894</v>
      </c>
      <c r="O40" s="49">
        <v>0</v>
      </c>
      <c r="P40" s="49">
        <v>0</v>
      </c>
      <c r="Q40" s="49">
        <v>86.39411926269531</v>
      </c>
      <c r="R40" s="49">
        <v>10.085722128611026</v>
      </c>
      <c r="S40" s="49">
        <v>188.53531771270104</v>
      </c>
      <c r="T40" s="49">
        <v>6.031917572021484</v>
      </c>
      <c r="U40" s="49">
        <v>29.918251037597656</v>
      </c>
      <c r="V40" s="49">
        <v>224.21196257689306</v>
      </c>
      <c r="W40" s="49">
        <v>86.39411843492894</v>
      </c>
      <c r="X40" s="48">
        <v>2.595222529480024</v>
      </c>
      <c r="Y40" s="60">
        <v>109.87100982666016</v>
      </c>
      <c r="Z40" s="60">
        <v>0</v>
      </c>
      <c r="AA40" s="60">
        <v>0</v>
      </c>
      <c r="AB40" s="60">
        <v>334.0829772949219</v>
      </c>
      <c r="AC40" s="60">
        <v>86.39411926269531</v>
      </c>
      <c r="AD40" s="48">
        <v>3.866964340209961</v>
      </c>
      <c r="AE40" s="60"/>
      <c r="AF40" s="60"/>
      <c r="AG40" s="60"/>
      <c r="AH40" s="60"/>
      <c r="AI40" s="60"/>
      <c r="AJ40" s="60"/>
      <c r="AK40" s="60"/>
      <c r="AL40" s="49"/>
      <c r="AM40" s="49"/>
      <c r="AN40" s="49"/>
      <c r="AO40" s="49"/>
    </row>
    <row r="41" spans="1:41" ht="12.75" customHeight="1">
      <c r="A41"/>
      <c r="B41" t="s">
        <v>357</v>
      </c>
      <c r="C41" s="49">
        <v>70</v>
      </c>
      <c r="D41" s="49">
        <v>444.0301728161603</v>
      </c>
      <c r="E41" s="49">
        <v>395.84</v>
      </c>
      <c r="F41" s="49">
        <v>0</v>
      </c>
      <c r="G41" s="49">
        <v>0</v>
      </c>
      <c r="H41" s="49"/>
      <c r="I41" s="49">
        <v>0.178</v>
      </c>
      <c r="J41" s="49">
        <v>0.3659999966621399</v>
      </c>
      <c r="K41" s="49">
        <v>477.88747349339246</v>
      </c>
      <c r="L41" s="49">
        <v>0.11217152384655747</v>
      </c>
      <c r="M41" s="49">
        <v>0.3064795732498169</v>
      </c>
      <c r="N41" s="49">
        <v>395.8421844655016</v>
      </c>
      <c r="O41" s="49">
        <v>0</v>
      </c>
      <c r="P41" s="49">
        <v>0</v>
      </c>
      <c r="Q41" s="49">
        <v>395.8421936035156</v>
      </c>
      <c r="R41" s="49">
        <v>40.934723840190436</v>
      </c>
      <c r="S41" s="49">
        <v>212.83632813109654</v>
      </c>
      <c r="T41" s="49">
        <v>6.809393882751465</v>
      </c>
      <c r="U41" s="49">
        <v>33.7745246887207</v>
      </c>
      <c r="V41" s="49">
        <v>253.11146720259688</v>
      </c>
      <c r="W41" s="49">
        <v>395.8421844655016</v>
      </c>
      <c r="X41" s="69">
        <v>0.6394251980606075</v>
      </c>
      <c r="Y41" s="60">
        <v>124.03268432617188</v>
      </c>
      <c r="Z41" s="60">
        <v>0</v>
      </c>
      <c r="AA41" s="60">
        <v>0</v>
      </c>
      <c r="AB41" s="60">
        <v>377.1441650390625</v>
      </c>
      <c r="AC41" s="60">
        <v>395.8421936035156</v>
      </c>
      <c r="AD41" s="69">
        <v>0.9527639150619507</v>
      </c>
      <c r="AE41" s="60"/>
      <c r="AF41" s="60"/>
      <c r="AG41" s="60"/>
      <c r="AH41" s="60"/>
      <c r="AI41" s="60"/>
      <c r="AJ41" s="60"/>
      <c r="AK41" s="60"/>
      <c r="AL41" s="49"/>
      <c r="AM41" s="49"/>
      <c r="AN41" s="49"/>
      <c r="AO41" s="49"/>
    </row>
    <row r="42" spans="1:41" ht="12.75" customHeight="1">
      <c r="A42"/>
      <c r="B42" t="s">
        <v>184</v>
      </c>
      <c r="C42" s="49">
        <v>70</v>
      </c>
      <c r="D42" s="49">
        <v>492.2134740799647</v>
      </c>
      <c r="E42" s="49">
        <v>492.18</v>
      </c>
      <c r="F42" s="49">
        <v>0</v>
      </c>
      <c r="G42" s="49">
        <v>0</v>
      </c>
      <c r="H42" s="49"/>
      <c r="I42" s="49">
        <v>0.178</v>
      </c>
      <c r="J42" s="49">
        <v>0.3659999966621399</v>
      </c>
      <c r="K42" s="49">
        <v>529.744751478562</v>
      </c>
      <c r="L42" s="49">
        <v>0.12434365686274422</v>
      </c>
      <c r="M42" s="49">
        <v>0.3397367596626282</v>
      </c>
      <c r="N42" s="49">
        <v>492.1848050232594</v>
      </c>
      <c r="O42" s="49">
        <v>0</v>
      </c>
      <c r="P42" s="49">
        <v>0</v>
      </c>
      <c r="Q42" s="49">
        <v>492.184814453125</v>
      </c>
      <c r="R42" s="49">
        <v>45.91525277520098</v>
      </c>
      <c r="S42" s="49">
        <v>235.93195889236216</v>
      </c>
      <c r="T42" s="49">
        <v>7.548305511474609</v>
      </c>
      <c r="U42" s="49">
        <v>37.439517974853516</v>
      </c>
      <c r="V42" s="49">
        <v>280.5774961534927</v>
      </c>
      <c r="W42" s="49">
        <v>492.1848050232594</v>
      </c>
      <c r="X42" s="69">
        <v>0.5700653358045731</v>
      </c>
      <c r="Y42" s="60">
        <v>137.4918975830078</v>
      </c>
      <c r="Z42" s="60">
        <v>0</v>
      </c>
      <c r="AA42" s="60">
        <v>0</v>
      </c>
      <c r="AB42" s="60">
        <v>418.06939697265625</v>
      </c>
      <c r="AC42" s="60">
        <v>492.184814453125</v>
      </c>
      <c r="AD42" s="69">
        <v>0.8494154810905457</v>
      </c>
      <c r="AE42" s="60"/>
      <c r="AF42" s="60"/>
      <c r="AG42" s="60"/>
      <c r="AH42" s="60"/>
      <c r="AI42" s="60"/>
      <c r="AJ42" s="60"/>
      <c r="AK42" s="60"/>
      <c r="AL42" s="49"/>
      <c r="AM42" s="49"/>
      <c r="AN42" s="49"/>
      <c r="AO42" s="49"/>
    </row>
    <row r="43" spans="1:41" ht="12.75" customHeight="1">
      <c r="A43"/>
      <c r="B43" t="s">
        <v>339</v>
      </c>
      <c r="C43" s="49">
        <v>70</v>
      </c>
      <c r="D43" s="49">
        <v>385.49943147221256</v>
      </c>
      <c r="E43" s="49">
        <v>449.25</v>
      </c>
      <c r="F43" s="49">
        <v>0</v>
      </c>
      <c r="G43" s="49">
        <v>0</v>
      </c>
      <c r="H43" s="49"/>
      <c r="I43" s="49">
        <v>0.178</v>
      </c>
      <c r="J43" s="49">
        <v>0.3659999966621399</v>
      </c>
      <c r="K43" s="49">
        <v>414.89376312196873</v>
      </c>
      <c r="L43" s="49">
        <v>0.09738540603213228</v>
      </c>
      <c r="M43" s="49">
        <v>0.2660803496837616</v>
      </c>
      <c r="N43" s="49">
        <v>449.24949586164763</v>
      </c>
      <c r="O43" s="49">
        <v>0</v>
      </c>
      <c r="P43" s="49">
        <v>0</v>
      </c>
      <c r="Q43" s="49">
        <v>449.2494812011719</v>
      </c>
      <c r="R43" s="49">
        <v>53.51137365150774</v>
      </c>
      <c r="S43" s="49">
        <v>184.7808741707763</v>
      </c>
      <c r="T43" s="49">
        <v>5.911799430847168</v>
      </c>
      <c r="U43" s="49">
        <v>29.32246208190918</v>
      </c>
      <c r="V43" s="49">
        <v>219.74705891434158</v>
      </c>
      <c r="W43" s="49">
        <v>449.24949586164763</v>
      </c>
      <c r="X43" s="69">
        <v>0.48914258321619936</v>
      </c>
      <c r="Y43" s="60">
        <v>107.68302917480469</v>
      </c>
      <c r="Z43" s="60">
        <v>0</v>
      </c>
      <c r="AA43" s="60">
        <v>0</v>
      </c>
      <c r="AB43" s="60">
        <v>327.43011474609375</v>
      </c>
      <c r="AC43" s="60">
        <v>449.2494812011719</v>
      </c>
      <c r="AD43" s="69">
        <v>0.7288380265235901</v>
      </c>
      <c r="AE43" s="60"/>
      <c r="AF43" s="60"/>
      <c r="AG43" s="60"/>
      <c r="AH43" s="60"/>
      <c r="AI43" s="60"/>
      <c r="AJ43" s="60"/>
      <c r="AK43" s="60"/>
      <c r="AL43" s="49"/>
      <c r="AM43" s="49"/>
      <c r="AN43" s="49"/>
      <c r="AO43" s="49"/>
    </row>
    <row r="44" spans="1:41" ht="12.75" customHeight="1">
      <c r="A44"/>
      <c r="B44" t="s">
        <v>182</v>
      </c>
      <c r="C44" s="49">
        <v>70</v>
      </c>
      <c r="D44" s="49">
        <v>384.82163048433813</v>
      </c>
      <c r="E44" s="49">
        <v>479.97</v>
      </c>
      <c r="F44" s="49">
        <v>0</v>
      </c>
      <c r="G44" s="49">
        <v>0</v>
      </c>
      <c r="H44" s="49"/>
      <c r="I44" s="49">
        <v>0.17799999999999996</v>
      </c>
      <c r="J44" s="49">
        <v>0.3659999966621399</v>
      </c>
      <c r="K44" s="49">
        <v>414.1642798087689</v>
      </c>
      <c r="L44" s="49">
        <v>0.09721417899773423</v>
      </c>
      <c r="M44" s="49">
        <v>0.26561251282691956</v>
      </c>
      <c r="N44" s="49">
        <v>479.96740241628856</v>
      </c>
      <c r="O44" s="49">
        <v>0</v>
      </c>
      <c r="P44" s="49">
        <v>0</v>
      </c>
      <c r="Q44" s="49">
        <v>479.9674072265625</v>
      </c>
      <c r="R44" s="49">
        <v>57.270970165781875</v>
      </c>
      <c r="S44" s="49">
        <v>184.4559848224964</v>
      </c>
      <c r="T44" s="49">
        <v>5.901405334472656</v>
      </c>
      <c r="U44" s="49">
        <v>29.270912170410156</v>
      </c>
      <c r="V44" s="49">
        <v>219.36069662878606</v>
      </c>
      <c r="W44" s="49">
        <v>479.96740241628856</v>
      </c>
      <c r="X44" s="69">
        <v>0.4570324891325196</v>
      </c>
      <c r="Y44" s="60">
        <v>107.4937515258789</v>
      </c>
      <c r="Z44" s="60">
        <v>0</v>
      </c>
      <c r="AA44" s="60">
        <v>0</v>
      </c>
      <c r="AB44" s="60">
        <v>326.8544616699219</v>
      </c>
      <c r="AC44" s="60">
        <v>479.9674072265625</v>
      </c>
      <c r="AD44" s="69">
        <v>0.6809930205345154</v>
      </c>
      <c r="AE44" s="60"/>
      <c r="AF44" s="60"/>
      <c r="AG44" s="60"/>
      <c r="AH44" s="60"/>
      <c r="AI44" s="60"/>
      <c r="AJ44" s="60"/>
      <c r="AK44" s="60"/>
      <c r="AL44" s="49"/>
      <c r="AM44" s="49"/>
      <c r="AN44" s="49"/>
      <c r="AO44" s="49"/>
    </row>
    <row r="45" spans="1:41" ht="12.75" customHeight="1">
      <c r="A45"/>
      <c r="B45" t="s">
        <v>332</v>
      </c>
      <c r="C45" s="49">
        <v>70</v>
      </c>
      <c r="D45" s="49">
        <v>129.14907705828955</v>
      </c>
      <c r="E45" s="49">
        <v>181.13</v>
      </c>
      <c r="F45" s="49">
        <v>0</v>
      </c>
      <c r="G45" s="49">
        <v>0</v>
      </c>
      <c r="H45" s="49"/>
      <c r="I45" s="49">
        <v>0.178</v>
      </c>
      <c r="J45" s="49">
        <v>0.3659999966621399</v>
      </c>
      <c r="K45" s="49">
        <v>138.99669418398412</v>
      </c>
      <c r="L45" s="49">
        <v>0.03262582063990218</v>
      </c>
      <c r="M45" s="49">
        <v>0.08914158493280411</v>
      </c>
      <c r="N45" s="49">
        <v>181.13313865050773</v>
      </c>
      <c r="O45" s="49">
        <v>0</v>
      </c>
      <c r="P45" s="49">
        <v>0</v>
      </c>
      <c r="Q45" s="49">
        <v>181.1331329345703</v>
      </c>
      <c r="R45" s="49">
        <v>64.4004466851697</v>
      </c>
      <c r="S45" s="49">
        <v>61.90483671024545</v>
      </c>
      <c r="T45" s="49">
        <v>1.980556607246399</v>
      </c>
      <c r="U45" s="49">
        <v>9.823541641235352</v>
      </c>
      <c r="V45" s="49">
        <v>73.61912451974948</v>
      </c>
      <c r="W45" s="49">
        <v>181.13313865050773</v>
      </c>
      <c r="X45" s="69">
        <v>0.4064365309861709</v>
      </c>
      <c r="Y45" s="60">
        <v>36.07572555541992</v>
      </c>
      <c r="Z45" s="60">
        <v>0</v>
      </c>
      <c r="AA45" s="60">
        <v>0</v>
      </c>
      <c r="AB45" s="60">
        <v>109.69485473632812</v>
      </c>
      <c r="AC45" s="60">
        <v>181.1331329345703</v>
      </c>
      <c r="AD45" s="69">
        <v>0.6056034564971924</v>
      </c>
      <c r="AE45" s="60"/>
      <c r="AF45" s="60"/>
      <c r="AG45" s="60"/>
      <c r="AH45" s="60"/>
      <c r="AI45" s="60"/>
      <c r="AJ45" s="60"/>
      <c r="AK45" s="60"/>
      <c r="AL45" s="49"/>
      <c r="AM45" s="49"/>
      <c r="AN45" s="49"/>
      <c r="AO45" s="49"/>
    </row>
    <row r="46" spans="1:41" ht="12.75" customHeight="1">
      <c r="A46"/>
      <c r="B46" t="s">
        <v>349</v>
      </c>
      <c r="C46" s="49">
        <v>70</v>
      </c>
      <c r="D46" s="49">
        <v>443.49497678431</v>
      </c>
      <c r="E46" s="49">
        <v>765.41</v>
      </c>
      <c r="F46" s="49">
        <v>0</v>
      </c>
      <c r="G46" s="49">
        <v>0</v>
      </c>
      <c r="H46" s="49"/>
      <c r="I46" s="49">
        <v>0.178</v>
      </c>
      <c r="J46" s="49">
        <v>0.3659999668598175</v>
      </c>
      <c r="K46" s="49">
        <v>477.3114687641136</v>
      </c>
      <c r="L46" s="49">
        <v>0.11203632187578029</v>
      </c>
      <c r="M46" s="49">
        <v>0.3061101734638214</v>
      </c>
      <c r="N46" s="49">
        <v>765.4061633237134</v>
      </c>
      <c r="O46" s="49">
        <v>0</v>
      </c>
      <c r="P46" s="49">
        <v>0</v>
      </c>
      <c r="Q46" s="49">
        <v>765.4061889648438</v>
      </c>
      <c r="R46" s="49">
        <v>79.24749311157359</v>
      </c>
      <c r="S46" s="49">
        <v>212.5797934061544</v>
      </c>
      <c r="T46" s="49">
        <v>6.8011860847473145</v>
      </c>
      <c r="U46" s="49">
        <v>33.73381042480469</v>
      </c>
      <c r="V46" s="49">
        <v>252.8063829285819</v>
      </c>
      <c r="W46" s="49">
        <v>765.4061633237134</v>
      </c>
      <c r="X46" s="69">
        <v>0.3302904980942288</v>
      </c>
      <c r="Y46" s="60">
        <v>123.88314819335938</v>
      </c>
      <c r="Z46" s="60">
        <v>0</v>
      </c>
      <c r="AA46" s="60">
        <v>0</v>
      </c>
      <c r="AB46" s="60">
        <v>376.6895446777344</v>
      </c>
      <c r="AC46" s="60">
        <v>765.4061889648438</v>
      </c>
      <c r="AD46" s="69">
        <v>0.49214333295822144</v>
      </c>
      <c r="AE46" s="60"/>
      <c r="AF46" s="60"/>
      <c r="AG46" s="60"/>
      <c r="AH46" s="60"/>
      <c r="AI46" s="60"/>
      <c r="AJ46" s="60"/>
      <c r="AK46" s="60"/>
      <c r="AL46" s="49"/>
      <c r="AM46" s="49"/>
      <c r="AN46" s="49"/>
      <c r="AO46" s="49"/>
    </row>
    <row r="47" spans="1:41" ht="12.75" customHeight="1">
      <c r="A47"/>
      <c r="B47" t="s">
        <v>188</v>
      </c>
      <c r="C47" s="49">
        <v>70</v>
      </c>
      <c r="D47" s="49">
        <v>492.45355796463446</v>
      </c>
      <c r="E47" s="49">
        <v>1047.4</v>
      </c>
      <c r="F47" s="49">
        <v>0</v>
      </c>
      <c r="G47" s="49">
        <v>0</v>
      </c>
      <c r="H47" s="49"/>
      <c r="I47" s="49">
        <v>0.178</v>
      </c>
      <c r="J47" s="49">
        <v>0.3659999966621399</v>
      </c>
      <c r="K47" s="49">
        <v>530.0031417594378</v>
      </c>
      <c r="L47" s="49">
        <v>0.12440430718977855</v>
      </c>
      <c r="M47" s="49">
        <v>0.33990249037742615</v>
      </c>
      <c r="N47" s="49">
        <v>1047.3979234956112</v>
      </c>
      <c r="O47" s="49">
        <v>0</v>
      </c>
      <c r="P47" s="49">
        <v>0</v>
      </c>
      <c r="Q47" s="49">
        <v>1047.39794921875</v>
      </c>
      <c r="R47" s="49">
        <v>97.66269491033411</v>
      </c>
      <c r="S47" s="49">
        <v>236.04703794685958</v>
      </c>
      <c r="T47" s="49">
        <v>7.551987171173096</v>
      </c>
      <c r="U47" s="49">
        <v>37.4577751159668</v>
      </c>
      <c r="V47" s="49">
        <v>280.71434718401616</v>
      </c>
      <c r="W47" s="49">
        <v>1047.3979234956112</v>
      </c>
      <c r="X47" s="69">
        <v>0.26801117405995356</v>
      </c>
      <c r="Y47" s="60">
        <v>137.55892944335938</v>
      </c>
      <c r="Z47" s="60">
        <v>0</v>
      </c>
      <c r="AA47" s="60">
        <v>0</v>
      </c>
      <c r="AB47" s="60">
        <v>418.2732849121094</v>
      </c>
      <c r="AC47" s="60">
        <v>1047.39794921875</v>
      </c>
      <c r="AD47" s="69">
        <v>0.39934512972831726</v>
      </c>
      <c r="AE47" s="60"/>
      <c r="AF47" s="60"/>
      <c r="AG47" s="60"/>
      <c r="AH47" s="60"/>
      <c r="AI47" s="60"/>
      <c r="AJ47" s="60"/>
      <c r="AK47" s="60"/>
      <c r="AL47" s="49"/>
      <c r="AM47" s="49"/>
      <c r="AN47" s="49"/>
      <c r="AO47" s="49"/>
    </row>
    <row r="48" spans="1:41" ht="12.75" customHeight="1">
      <c r="A48"/>
      <c r="B48" t="s">
        <v>186</v>
      </c>
      <c r="C48" s="49">
        <v>70</v>
      </c>
      <c r="D48" s="49">
        <v>126.01793143861505</v>
      </c>
      <c r="E48" s="49">
        <v>282.74</v>
      </c>
      <c r="F48" s="49">
        <v>0</v>
      </c>
      <c r="G48" s="49">
        <v>0</v>
      </c>
      <c r="H48" s="49"/>
      <c r="I48" s="49">
        <v>0.178</v>
      </c>
      <c r="J48" s="49">
        <v>0.3659999966621399</v>
      </c>
      <c r="K48" s="49">
        <v>135.62679871080945</v>
      </c>
      <c r="L48" s="49">
        <v>0.03183482625022637</v>
      </c>
      <c r="M48" s="49">
        <v>0.08698040246963501</v>
      </c>
      <c r="N48" s="49">
        <v>282.74446033251024</v>
      </c>
      <c r="O48" s="49">
        <v>0</v>
      </c>
      <c r="P48" s="49">
        <v>0</v>
      </c>
      <c r="Q48" s="49">
        <v>282.74444580078125</v>
      </c>
      <c r="R48" s="49">
        <v>103.02532482815525</v>
      </c>
      <c r="S48" s="49">
        <v>60.4039892964117</v>
      </c>
      <c r="T48" s="49">
        <v>1.9325392246246338</v>
      </c>
      <c r="U48" s="49">
        <v>9.58537483215332</v>
      </c>
      <c r="V48" s="49">
        <v>71.83427023573888</v>
      </c>
      <c r="W48" s="49">
        <v>282.74446033251024</v>
      </c>
      <c r="X48" s="69">
        <v>0.25406075207012396</v>
      </c>
      <c r="Y48" s="60">
        <v>35.20108413696289</v>
      </c>
      <c r="Z48" s="60">
        <v>0</v>
      </c>
      <c r="AA48" s="60">
        <v>0</v>
      </c>
      <c r="AB48" s="60">
        <v>107.03536987304688</v>
      </c>
      <c r="AC48" s="60">
        <v>282.74444580078125</v>
      </c>
      <c r="AD48" s="69">
        <v>0.3785586953163147</v>
      </c>
      <c r="AE48" s="60"/>
      <c r="AF48" s="60"/>
      <c r="AG48" s="60"/>
      <c r="AH48" s="60"/>
      <c r="AI48" s="60"/>
      <c r="AJ48" s="60"/>
      <c r="AK48" s="60"/>
      <c r="AL48" s="49"/>
      <c r="AM48" s="49"/>
      <c r="AN48" s="49"/>
      <c r="AO48" s="49"/>
    </row>
    <row r="49" spans="1:41" ht="12.75" customHeight="1">
      <c r="A49"/>
      <c r="B49" t="s">
        <v>350</v>
      </c>
      <c r="C49" s="49">
        <v>70</v>
      </c>
      <c r="D49" s="49">
        <v>53.86391444476794</v>
      </c>
      <c r="E49" s="49">
        <v>537.13</v>
      </c>
      <c r="F49" s="49">
        <v>0</v>
      </c>
      <c r="G49" s="49">
        <v>0</v>
      </c>
      <c r="H49" s="49"/>
      <c r="I49" s="49">
        <v>0.178</v>
      </c>
      <c r="J49" s="49">
        <v>0.3660000264644623</v>
      </c>
      <c r="K49" s="49">
        <v>57.9710379211815</v>
      </c>
      <c r="L49" s="49">
        <v>0.01360717747014854</v>
      </c>
      <c r="M49" s="49">
        <v>0.03717808052897453</v>
      </c>
      <c r="N49" s="49">
        <v>537.1271146131285</v>
      </c>
      <c r="O49" s="49">
        <v>0</v>
      </c>
      <c r="P49" s="49">
        <v>0</v>
      </c>
      <c r="Q49" s="49">
        <v>537.1271362304688</v>
      </c>
      <c r="R49" s="49">
        <v>457.8902989406879</v>
      </c>
      <c r="S49" s="49">
        <v>25.818510702736454</v>
      </c>
      <c r="T49" s="49">
        <v>0.8260263204574585</v>
      </c>
      <c r="U49" s="49">
        <v>4.097081661224365</v>
      </c>
      <c r="V49" s="49">
        <v>30.704161606297962</v>
      </c>
      <c r="W49" s="49">
        <v>537.1271146131285</v>
      </c>
      <c r="X49" s="69">
        <v>0.05716367833787903</v>
      </c>
      <c r="Y49" s="60">
        <v>15.046014785766602</v>
      </c>
      <c r="Z49" s="60">
        <v>0</v>
      </c>
      <c r="AA49" s="60">
        <v>0</v>
      </c>
      <c r="AB49" s="60">
        <v>45.75017547607422</v>
      </c>
      <c r="AC49" s="60">
        <v>537.1271362304688</v>
      </c>
      <c r="AD49" s="69">
        <v>0.08517569303512573</v>
      </c>
      <c r="AE49" s="60"/>
      <c r="AF49" s="60"/>
      <c r="AG49" s="60"/>
      <c r="AH49" s="60"/>
      <c r="AI49" s="60"/>
      <c r="AJ49" s="60"/>
      <c r="AK49" s="60"/>
      <c r="AL49" s="49"/>
      <c r="AM49" s="49"/>
      <c r="AN49" s="49"/>
      <c r="AO49" s="49"/>
    </row>
    <row r="50" spans="1:41" ht="12.75" customHeight="1">
      <c r="A50"/>
      <c r="B50" t="s">
        <v>185</v>
      </c>
      <c r="C50" s="49">
        <v>70</v>
      </c>
      <c r="D50" s="49">
        <v>17.72127160855598</v>
      </c>
      <c r="E50" s="49">
        <v>631.76</v>
      </c>
      <c r="F50" s="49">
        <v>0</v>
      </c>
      <c r="G50" s="49">
        <v>0</v>
      </c>
      <c r="H50" s="49"/>
      <c r="I50" s="49">
        <v>0.178</v>
      </c>
      <c r="J50" s="49">
        <v>0.3659999966621399</v>
      </c>
      <c r="K50" s="49">
        <v>19.07251856870837</v>
      </c>
      <c r="L50" s="49">
        <v>0.00447677244143827</v>
      </c>
      <c r="M50" s="49">
        <v>0.012231619097292423</v>
      </c>
      <c r="N50" s="49">
        <v>631.7571348054486</v>
      </c>
      <c r="O50" s="49">
        <v>0</v>
      </c>
      <c r="P50" s="49">
        <v>0</v>
      </c>
      <c r="Q50" s="49">
        <v>631.7571411132812</v>
      </c>
      <c r="R50" s="49">
        <v>1636.9579971351423</v>
      </c>
      <c r="S50" s="49">
        <v>8.494310994808217</v>
      </c>
      <c r="T50" s="49">
        <v>0.27176332473754883</v>
      </c>
      <c r="U50" s="49">
        <v>1.3479430675506592</v>
      </c>
      <c r="V50" s="49">
        <v>10.101693983680212</v>
      </c>
      <c r="W50" s="49">
        <v>631.7571348054486</v>
      </c>
      <c r="X50" s="69">
        <v>0.015989837592876664</v>
      </c>
      <c r="Y50" s="60">
        <v>4.950150012969971</v>
      </c>
      <c r="Z50" s="60">
        <v>0</v>
      </c>
      <c r="AA50" s="60">
        <v>0</v>
      </c>
      <c r="AB50" s="60">
        <v>15.051843643188477</v>
      </c>
      <c r="AC50" s="60">
        <v>631.7571411132812</v>
      </c>
      <c r="AD50" s="69">
        <v>0.02382536418735981</v>
      </c>
      <c r="AE50" s="60"/>
      <c r="AF50" s="60"/>
      <c r="AG50" s="60"/>
      <c r="AH50" s="60"/>
      <c r="AI50" s="60"/>
      <c r="AJ50" s="60"/>
      <c r="AK50" s="60"/>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60"/>
      <c r="Y51" s="60"/>
      <c r="Z51" s="60"/>
      <c r="AA51" s="60"/>
      <c r="AB51" s="60"/>
      <c r="AC51" s="60"/>
      <c r="AD51" s="60"/>
      <c r="AE51" s="60"/>
      <c r="AF51" s="60"/>
      <c r="AG51" s="60"/>
      <c r="AH51" s="60"/>
      <c r="AI51" s="60"/>
      <c r="AJ51" s="60"/>
      <c r="AK51" s="60"/>
      <c r="AL51" s="49"/>
      <c r="AM51" s="49"/>
      <c r="AN51" s="49"/>
      <c r="AO51" s="49"/>
    </row>
    <row r="52" spans="1:41" ht="12.75" customHeight="1" thickBo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thickBot="1">
      <c r="A53" s="65" t="s">
        <v>62</v>
      </c>
      <c r="B53" s="66"/>
      <c r="C53" s="67"/>
      <c r="D53" s="67"/>
      <c r="E53" s="67"/>
      <c r="F53" s="67"/>
      <c r="G53" s="67"/>
      <c r="H53" s="67"/>
      <c r="I53" s="67"/>
      <c r="J53" s="67"/>
      <c r="K53" s="68"/>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25.5">
      <c r="A54" s="57"/>
      <c r="B54" s="58" t="s">
        <v>63</v>
      </c>
      <c r="C54" s="59" t="s">
        <v>59</v>
      </c>
      <c r="D54" s="59" t="s">
        <v>60</v>
      </c>
      <c r="E54" s="59" t="s">
        <v>64</v>
      </c>
      <c r="F54" s="59" t="s">
        <v>65</v>
      </c>
      <c r="G54" s="59" t="s">
        <v>66</v>
      </c>
      <c r="H54" s="59" t="s">
        <v>67</v>
      </c>
      <c r="I54" s="59" t="s">
        <v>61</v>
      </c>
      <c r="J54" s="59" t="s">
        <v>50</v>
      </c>
      <c r="K54" s="59" t="s">
        <v>58</v>
      </c>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t="s">
        <v>68</v>
      </c>
      <c r="C55" s="49">
        <v>1119.598248644747</v>
      </c>
      <c r="D55" s="49">
        <v>220.67594708822173</v>
      </c>
      <c r="E55" s="49">
        <v>220.68</v>
      </c>
      <c r="F55" s="49">
        <v>44.135180000000005</v>
      </c>
      <c r="G55" s="49">
        <v>264.8111270882217</v>
      </c>
      <c r="H55" s="49">
        <v>2071.944580078125</v>
      </c>
      <c r="I55" s="49">
        <v>11.688787223314767</v>
      </c>
      <c r="J55" s="49">
        <v>498.6344975348028</v>
      </c>
      <c r="K55" s="48">
        <v>1.882981667038043</v>
      </c>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t="s">
        <v>69</v>
      </c>
      <c r="C56" s="49">
        <v>0</v>
      </c>
      <c r="D56" s="49">
        <v>0</v>
      </c>
      <c r="E56" s="49">
        <v>0</v>
      </c>
      <c r="F56" s="49">
        <v>0</v>
      </c>
      <c r="G56" s="49">
        <v>0</v>
      </c>
      <c r="H56" s="49">
        <v>0</v>
      </c>
      <c r="I56" s="49">
        <v>0</v>
      </c>
      <c r="J56" s="49">
        <v>1921.88812260875</v>
      </c>
      <c r="K56" s="69">
        <v>0</v>
      </c>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t="s">
        <v>70</v>
      </c>
      <c r="C57" s="49">
        <v>1153.7100511711965</v>
      </c>
      <c r="D57" s="49">
        <v>1299.913818359375</v>
      </c>
      <c r="E57" s="49">
        <v>1299.913399956919</v>
      </c>
      <c r="F57" s="49">
        <v>259.9826799913838</v>
      </c>
      <c r="G57" s="49">
        <v>1559.8964983507587</v>
      </c>
      <c r="H57" s="49">
        <v>11844.130859375</v>
      </c>
      <c r="I57" s="49">
        <v>66.81816439019609</v>
      </c>
      <c r="J57" s="49">
        <v>513.826841336137</v>
      </c>
      <c r="K57" s="69">
        <v>0.32939803498462483</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t="s">
        <v>71</v>
      </c>
      <c r="C58" s="49">
        <v>0</v>
      </c>
      <c r="D58" s="49">
        <v>0</v>
      </c>
      <c r="E58" s="49">
        <v>0</v>
      </c>
      <c r="F58" s="49">
        <v>0</v>
      </c>
      <c r="G58" s="49">
        <v>0</v>
      </c>
      <c r="H58" s="49">
        <v>0</v>
      </c>
      <c r="I58" s="49">
        <v>0</v>
      </c>
      <c r="J58" s="49">
        <v>0</v>
      </c>
      <c r="K58" s="69">
        <v>0</v>
      </c>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t="s">
        <v>72</v>
      </c>
      <c r="C59" s="49">
        <v>1119.598248644747</v>
      </c>
      <c r="D59" s="49">
        <v>220.67594708822173</v>
      </c>
      <c r="E59" s="49">
        <v>220.68</v>
      </c>
      <c r="F59" s="49">
        <v>44.135180000000005</v>
      </c>
      <c r="G59" s="49">
        <v>264.8111270882217</v>
      </c>
      <c r="H59" s="49">
        <v>2071.944580078125</v>
      </c>
      <c r="I59" s="49">
        <v>11.688787223314767</v>
      </c>
      <c r="J59" s="49">
        <v>498.6344975348028</v>
      </c>
      <c r="K59" s="104">
        <v>1.882981667038043</v>
      </c>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t="s">
        <v>73</v>
      </c>
      <c r="C60" s="49">
        <v>0</v>
      </c>
      <c r="D60" s="49">
        <v>0</v>
      </c>
      <c r="E60" s="49">
        <v>0</v>
      </c>
      <c r="F60" s="49">
        <v>0</v>
      </c>
      <c r="G60" s="49">
        <v>0</v>
      </c>
      <c r="H60" s="49">
        <v>0</v>
      </c>
      <c r="I60" s="49">
        <v>0</v>
      </c>
      <c r="J60" s="49">
        <v>0</v>
      </c>
      <c r="K60" s="70">
        <v>0</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74</v>
      </c>
      <c r="C61" s="49">
        <v>0</v>
      </c>
      <c r="D61" s="49">
        <v>0</v>
      </c>
      <c r="E61" s="49">
        <v>0</v>
      </c>
      <c r="F61" s="49">
        <v>0</v>
      </c>
      <c r="G61" s="49">
        <v>0</v>
      </c>
      <c r="H61" s="49">
        <v>0</v>
      </c>
      <c r="I61" s="49">
        <v>0</v>
      </c>
      <c r="J61" s="49">
        <v>0</v>
      </c>
      <c r="K61" s="70">
        <v>0</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75</v>
      </c>
      <c r="C62" s="49">
        <v>477.88747349339246</v>
      </c>
      <c r="D62" s="49">
        <v>395.8421844655016</v>
      </c>
      <c r="E62" s="49">
        <v>395.84</v>
      </c>
      <c r="F62" s="49">
        <v>79.16842</v>
      </c>
      <c r="G62" s="49">
        <v>475.0106044655016</v>
      </c>
      <c r="H62" s="49">
        <v>8707.2646484375</v>
      </c>
      <c r="I62" s="49">
        <v>49.1216664847206</v>
      </c>
      <c r="J62" s="49">
        <v>212.83632813109654</v>
      </c>
      <c r="K62" s="70">
        <v>0.4480664771065213</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76</v>
      </c>
      <c r="C63" s="49">
        <v>529.744751478562</v>
      </c>
      <c r="D63" s="49">
        <v>492.1848050232594</v>
      </c>
      <c r="E63" s="49">
        <v>492.18</v>
      </c>
      <c r="F63" s="49">
        <v>98.43694</v>
      </c>
      <c r="G63" s="49">
        <v>590.6217450232595</v>
      </c>
      <c r="H63" s="49">
        <v>9766.677734375</v>
      </c>
      <c r="I63" s="49">
        <v>55.09830053375176</v>
      </c>
      <c r="J63" s="49">
        <v>235.93195889236216</v>
      </c>
      <c r="K63" s="70">
        <v>0.39946371917456386</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77</v>
      </c>
      <c r="C64" s="49">
        <v>2188.0397028389725</v>
      </c>
      <c r="D64" s="49">
        <v>4374.782833498856</v>
      </c>
      <c r="E64" s="49">
        <v>4374.78</v>
      </c>
      <c r="F64" s="49">
        <v>874.9563800000001</v>
      </c>
      <c r="G64" s="49">
        <v>5249.739213498857</v>
      </c>
      <c r="H64" s="49">
        <v>21017.76953125</v>
      </c>
      <c r="I64" s="49">
        <v>118.57085879774726</v>
      </c>
      <c r="J64" s="49">
        <v>974.4853380504885</v>
      </c>
      <c r="K64" s="70">
        <v>0.18562547555595843</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39"/>
      <c r="AF518" s="39"/>
      <c r="AG518" s="39"/>
      <c r="AH518" s="39"/>
      <c r="AI518" s="39"/>
      <c r="AJ518" s="39"/>
      <c r="AK518" s="39"/>
      <c r="AL518" s="39"/>
      <c r="AM518" s="39"/>
      <c r="AN518" s="39"/>
      <c r="AO518" s="3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39"/>
      <c r="AF519" s="39"/>
      <c r="AG519" s="39"/>
      <c r="AH519" s="39"/>
      <c r="AI519" s="39"/>
      <c r="AJ519" s="39"/>
      <c r="AK519" s="39"/>
      <c r="AL519" s="39"/>
      <c r="AM519" s="39"/>
      <c r="AN519" s="39"/>
      <c r="AO519" s="3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39"/>
      <c r="AF520" s="39"/>
      <c r="AG520" s="39"/>
      <c r="AH520" s="39"/>
      <c r="AI520" s="39"/>
      <c r="AJ520" s="39"/>
      <c r="AK520" s="39"/>
      <c r="AL520" s="39"/>
      <c r="AM520" s="39"/>
      <c r="AN520" s="39"/>
      <c r="AO520" s="39"/>
    </row>
    <row r="521" spans="3:41" ht="12.75">
      <c r="C521" s="39"/>
      <c r="D521" s="39"/>
      <c r="E521" s="39"/>
      <c r="F521" s="39"/>
      <c r="G521" s="39"/>
      <c r="H521" s="39"/>
      <c r="I521" s="105"/>
      <c r="J521" s="105"/>
      <c r="K521" s="105"/>
      <c r="L521" s="105"/>
      <c r="M521" s="105"/>
      <c r="S521" s="39"/>
      <c r="T521" s="39"/>
      <c r="U521" s="39"/>
      <c r="X521" s="49"/>
      <c r="Y521" s="49"/>
      <c r="Z521" s="39"/>
      <c r="AA521" s="39"/>
      <c r="AB521" s="39"/>
      <c r="AC521" s="39"/>
      <c r="AD521" s="39"/>
      <c r="AE521" s="39"/>
      <c r="AF521" s="39"/>
      <c r="AG521" s="39"/>
      <c r="AH521" s="39"/>
      <c r="AI521" s="39"/>
      <c r="AJ521" s="39"/>
      <c r="AK521" s="39"/>
      <c r="AL521" s="39"/>
      <c r="AM521" s="39"/>
      <c r="AN521" s="39"/>
      <c r="AO521" s="39"/>
    </row>
    <row r="522" spans="3:30" ht="12.75">
      <c r="C522" s="39"/>
      <c r="D522" s="39"/>
      <c r="E522" s="39"/>
      <c r="F522" s="39"/>
      <c r="G522" s="39"/>
      <c r="H522" s="39"/>
      <c r="I522" s="105"/>
      <c r="J522" s="105"/>
      <c r="K522" s="105"/>
      <c r="L522" s="105"/>
      <c r="M522" s="105"/>
      <c r="S522" s="39"/>
      <c r="T522" s="39"/>
      <c r="U522" s="39"/>
      <c r="X522" s="49"/>
      <c r="Y522" s="49"/>
      <c r="Z522" s="39"/>
      <c r="AA522" s="39"/>
      <c r="AB522" s="39"/>
      <c r="AC522" s="39"/>
      <c r="AD522" s="39"/>
    </row>
    <row r="523" spans="3:30" ht="12.75">
      <c r="C523" s="39"/>
      <c r="D523" s="39"/>
      <c r="E523" s="39"/>
      <c r="F523" s="39"/>
      <c r="G523" s="39"/>
      <c r="H523" s="39"/>
      <c r="I523" s="105"/>
      <c r="J523" s="105"/>
      <c r="K523" s="105"/>
      <c r="L523" s="105"/>
      <c r="M523" s="105"/>
      <c r="S523" s="39"/>
      <c r="T523" s="39"/>
      <c r="U523" s="39"/>
      <c r="X523" s="49"/>
      <c r="Y523" s="49"/>
      <c r="Z523" s="39"/>
      <c r="AA523" s="39"/>
      <c r="AB523" s="39"/>
      <c r="AC523" s="39"/>
      <c r="AD523" s="39"/>
    </row>
    <row r="524" spans="3:30" ht="12.75">
      <c r="C524" s="39"/>
      <c r="D524" s="39"/>
      <c r="E524" s="39"/>
      <c r="F524" s="39"/>
      <c r="G524" s="39"/>
      <c r="H524" s="39"/>
      <c r="I524" s="105"/>
      <c r="J524" s="105"/>
      <c r="K524" s="105"/>
      <c r="L524" s="105"/>
      <c r="M524" s="105"/>
      <c r="S524" s="39"/>
      <c r="T524" s="39"/>
      <c r="U524" s="39"/>
      <c r="X524" s="49"/>
      <c r="Y524" s="49"/>
      <c r="Z524" s="39"/>
      <c r="AA524" s="39"/>
      <c r="AB524" s="39"/>
      <c r="AC524" s="39"/>
      <c r="AD524" s="39"/>
    </row>
  </sheetData>
  <printOptions gridLines="1" headings="1"/>
  <pageMargins left="0.25" right="0.23" top="1" bottom="1" header="0.5" footer="0.5"/>
  <pageSetup blackAndWhite="1"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1:AO524"/>
  <sheetViews>
    <sheetView workbookViewId="0" topLeftCell="A13">
      <selection activeCell="K65" sqref="K65"/>
    </sheetView>
  </sheetViews>
  <sheetFormatPr defaultColWidth="9.140625" defaultRowHeight="12.75"/>
  <cols>
    <col min="1" max="1" width="24.421875" style="0" customWidth="1"/>
    <col min="2" max="2" width="25.8515625" style="0" customWidth="1"/>
    <col min="3" max="3" width="8.57421875" style="0" customWidth="1"/>
    <col min="4" max="4" width="9.421875" style="0" customWidth="1"/>
    <col min="5" max="8" width="8.57421875" style="0" customWidth="1"/>
    <col min="9" max="13" width="8.57421875" style="108" customWidth="1"/>
    <col min="14" max="18" width="8.57421875" style="49" customWidth="1"/>
    <col min="19" max="21" width="8.57421875" style="0" customWidth="1"/>
    <col min="22" max="22" width="8.57421875" style="49" customWidth="1"/>
  </cols>
  <sheetData>
    <row r="1" spans="1:7" ht="14.25">
      <c r="A1" s="36" t="s">
        <v>127</v>
      </c>
      <c r="B1" s="37"/>
      <c r="C1" s="37"/>
      <c r="D1" s="37"/>
      <c r="E1" s="37"/>
      <c r="F1" s="37"/>
      <c r="G1" s="37"/>
    </row>
    <row r="2" spans="1:7" ht="12.75">
      <c r="A2" s="37">
        <v>2200</v>
      </c>
      <c r="B2" s="37"/>
      <c r="C2" s="37"/>
      <c r="D2" s="37"/>
      <c r="E2" s="37"/>
      <c r="F2" s="37"/>
      <c r="G2" s="37"/>
    </row>
    <row r="3" spans="1:7" ht="12.75">
      <c r="A3" s="37"/>
      <c r="B3" s="37"/>
      <c r="C3" s="37"/>
      <c r="D3" s="37"/>
      <c r="E3" s="37"/>
      <c r="F3" s="37"/>
      <c r="G3" s="37"/>
    </row>
    <row r="4" spans="1:22" ht="12.75">
      <c r="A4" s="109" t="s">
        <v>32</v>
      </c>
      <c r="B4" s="110"/>
      <c r="C4" s="110"/>
      <c r="D4" s="110"/>
      <c r="E4" s="110"/>
      <c r="F4" s="110"/>
      <c r="G4" s="111"/>
      <c r="H4" s="43"/>
      <c r="I4" s="44" t="s">
        <v>33</v>
      </c>
      <c r="J4" s="45"/>
      <c r="K4" s="45"/>
      <c r="L4" s="45"/>
      <c r="M4" s="45"/>
      <c r="N4" s="45"/>
      <c r="O4"/>
      <c r="P4"/>
      <c r="Q4"/>
      <c r="R4"/>
      <c r="V4"/>
    </row>
    <row r="5" spans="1:22" ht="25.5">
      <c r="A5" s="46" t="s">
        <v>34</v>
      </c>
      <c r="B5" s="46" t="s">
        <v>35</v>
      </c>
      <c r="C5" s="46" t="s">
        <v>169</v>
      </c>
      <c r="D5" s="46" t="s">
        <v>190</v>
      </c>
      <c r="E5" s="46" t="s">
        <v>191</v>
      </c>
      <c r="F5" s="46" t="s">
        <v>192</v>
      </c>
      <c r="G5" s="47" t="s">
        <v>38</v>
      </c>
      <c r="H5" s="47" t="s">
        <v>171</v>
      </c>
      <c r="I5" s="47" t="s">
        <v>39</v>
      </c>
      <c r="J5" s="47" t="s">
        <v>40</v>
      </c>
      <c r="K5" s="47" t="s">
        <v>41</v>
      </c>
      <c r="L5" s="47" t="s">
        <v>42</v>
      </c>
      <c r="M5" s="47" t="s">
        <v>43</v>
      </c>
      <c r="N5" s="47" t="s">
        <v>44</v>
      </c>
      <c r="O5"/>
      <c r="P5"/>
      <c r="Q5"/>
      <c r="R5"/>
      <c r="V5"/>
    </row>
    <row r="6" spans="1:26" ht="12.75" customHeight="1">
      <c r="A6" s="106" t="str">
        <f aca="true" t="shared" si="0" ref="A6:A17">B6</f>
        <v>WALL R21 ADV</v>
      </c>
      <c r="B6" s="106" t="str">
        <f>'UA Optimizer '!$W53</f>
        <v>WALL R21 ADV</v>
      </c>
      <c r="C6" s="106">
        <f>'UA Optimizer '!$AB53</f>
        <v>1132.5146708549364</v>
      </c>
      <c r="D6" s="106">
        <v>70</v>
      </c>
      <c r="E6" s="112">
        <f>'UA Optimizer '!$Y53</f>
        <v>231.47514049249025</v>
      </c>
      <c r="F6" s="106">
        <v>0</v>
      </c>
      <c r="G6" s="100" t="s">
        <v>174</v>
      </c>
      <c r="H6" s="49"/>
      <c r="I6" s="49"/>
      <c r="J6" s="49"/>
      <c r="K6" s="49"/>
      <c r="L6" s="49"/>
      <c r="M6" s="49"/>
      <c r="S6" s="49"/>
      <c r="T6" s="49"/>
      <c r="U6" s="49"/>
      <c r="W6" s="49"/>
      <c r="X6" s="49"/>
      <c r="Y6" s="49"/>
      <c r="Z6" s="49"/>
    </row>
    <row r="7" spans="1:26" ht="12.75" customHeight="1">
      <c r="A7" s="106" t="str">
        <f t="shared" si="0"/>
        <v>WINDOW CL35</v>
      </c>
      <c r="B7" s="106" t="str">
        <f>'UA Optimizer '!$W54</f>
        <v>WINDOW CL35</v>
      </c>
      <c r="C7" s="106">
        <f>'UA Optimizer '!$AB54</f>
        <v>827.5177789935424</v>
      </c>
      <c r="D7" s="106">
        <v>70</v>
      </c>
      <c r="E7" s="112">
        <f>'UA Optimizer '!$Y54</f>
        <v>179.66048840298328</v>
      </c>
      <c r="F7" s="106">
        <v>0</v>
      </c>
      <c r="G7" s="100" t="s">
        <v>174</v>
      </c>
      <c r="H7" s="49"/>
      <c r="I7" s="49"/>
      <c r="J7" s="49"/>
      <c r="K7" s="49"/>
      <c r="L7" s="49"/>
      <c r="M7" s="49"/>
      <c r="S7" s="49"/>
      <c r="T7" s="49"/>
      <c r="U7" s="49"/>
      <c r="W7" s="49"/>
      <c r="X7" s="49"/>
      <c r="Y7" s="49"/>
      <c r="Z7" s="49"/>
    </row>
    <row r="8" spans="1:26" ht="12.75" customHeight="1">
      <c r="A8" s="106" t="str">
        <f t="shared" si="0"/>
        <v>FLOOR R38 STD w/12"Truss</v>
      </c>
      <c r="B8" s="106" t="str">
        <f>'UA Optimizer '!$W55</f>
        <v>FLOOR R38 STD w/12"Truss</v>
      </c>
      <c r="C8" s="106">
        <f>'UA Optimizer '!$AB55</f>
        <v>575.0136793169822</v>
      </c>
      <c r="D8" s="106">
        <v>70</v>
      </c>
      <c r="E8" s="112">
        <f>'UA Optimizer '!$Y55</f>
        <v>506.87819760907337</v>
      </c>
      <c r="F8" s="106">
        <v>0</v>
      </c>
      <c r="G8" s="100" t="s">
        <v>174</v>
      </c>
      <c r="H8" s="49"/>
      <c r="I8" s="49"/>
      <c r="J8" s="49"/>
      <c r="K8" s="49"/>
      <c r="L8" s="49"/>
      <c r="M8" s="49"/>
      <c r="S8" s="49"/>
      <c r="T8" s="49"/>
      <c r="U8" s="49"/>
      <c r="W8" s="49"/>
      <c r="X8" s="49"/>
      <c r="Y8" s="49"/>
      <c r="Z8" s="49"/>
    </row>
    <row r="9" spans="1:26" ht="12.75" customHeight="1">
      <c r="A9" s="106" t="str">
        <f t="shared" si="0"/>
        <v>ATTIC R49 ADVrh</v>
      </c>
      <c r="B9" s="106" t="str">
        <f>'UA Optimizer '!$W56</f>
        <v>ATTIC R49 ADVrh</v>
      </c>
      <c r="C9" s="106">
        <f>'UA Optimizer '!$AB56</f>
        <v>419.28253122380374</v>
      </c>
      <c r="D9" s="106">
        <v>70</v>
      </c>
      <c r="E9" s="112">
        <f>'UA Optimizer '!$Y56</f>
        <v>411.179262286707</v>
      </c>
      <c r="F9" s="106">
        <v>0</v>
      </c>
      <c r="G9" s="100" t="s">
        <v>174</v>
      </c>
      <c r="H9" s="49"/>
      <c r="I9" s="49"/>
      <c r="J9" s="49"/>
      <c r="K9" s="49"/>
      <c r="L9" s="49"/>
      <c r="M9" s="49"/>
      <c r="S9" s="49"/>
      <c r="T9" s="49"/>
      <c r="U9" s="49"/>
      <c r="W9" s="49"/>
      <c r="X9" s="49"/>
      <c r="Y9" s="49"/>
      <c r="Z9" s="49"/>
    </row>
    <row r="10" spans="1:26" ht="12.75" customHeight="1">
      <c r="A10" s="106" t="str">
        <f t="shared" si="0"/>
        <v>WINDOW CL30</v>
      </c>
      <c r="B10" s="106" t="str">
        <f>'UA Optimizer '!$W57</f>
        <v>WINDOW CL30</v>
      </c>
      <c r="C10" s="106">
        <f>'UA Optimizer '!$AB57</f>
        <v>818.5250037087881</v>
      </c>
      <c r="D10" s="106">
        <v>70</v>
      </c>
      <c r="E10" s="112">
        <f>'UA Optimizer '!$Y57</f>
        <v>934.2345396955144</v>
      </c>
      <c r="F10" s="106">
        <v>0</v>
      </c>
      <c r="G10" s="100" t="s">
        <v>174</v>
      </c>
      <c r="H10" s="49"/>
      <c r="I10" s="49"/>
      <c r="J10" s="49"/>
      <c r="K10" s="49"/>
      <c r="L10" s="49"/>
      <c r="M10" s="49"/>
      <c r="S10" s="49"/>
      <c r="T10" s="49"/>
      <c r="U10" s="49"/>
      <c r="W10" s="49"/>
      <c r="X10" s="49"/>
      <c r="Y10" s="49"/>
      <c r="Z10" s="49"/>
    </row>
    <row r="11" spans="1:26" ht="12.75" customHeight="1">
      <c r="A11" s="106" t="str">
        <f t="shared" si="0"/>
        <v>WINDOW CL25</v>
      </c>
      <c r="B11" s="106" t="str">
        <f>'UA Optimizer '!$W58</f>
        <v>WINDOW CL25</v>
      </c>
      <c r="C11" s="106">
        <f>'UA Optimizer '!$AB58</f>
        <v>812.1537300611271</v>
      </c>
      <c r="D11" s="106">
        <v>70</v>
      </c>
      <c r="E11" s="112">
        <f>'UA Optimizer '!$Y58</f>
        <v>998.1138244610198</v>
      </c>
      <c r="F11" s="106">
        <v>0</v>
      </c>
      <c r="G11" s="100" t="s">
        <v>174</v>
      </c>
      <c r="H11" s="49"/>
      <c r="I11" s="49"/>
      <c r="J11" s="49"/>
      <c r="K11" s="49"/>
      <c r="L11" s="49"/>
      <c r="M11" s="49"/>
      <c r="S11" s="49"/>
      <c r="T11" s="49"/>
      <c r="U11" s="49"/>
      <c r="W11" s="49"/>
      <c r="X11" s="49"/>
      <c r="Y11" s="49"/>
      <c r="Z11" s="49"/>
    </row>
    <row r="12" spans="1:26" ht="12.75" customHeight="1">
      <c r="A12" s="106" t="str">
        <f t="shared" si="0"/>
        <v>VAULT R38 HD</v>
      </c>
      <c r="B12" s="106" t="str">
        <f>'UA Optimizer '!$W59</f>
        <v>VAULT R38 HD</v>
      </c>
      <c r="C12" s="106">
        <f>'UA Optimizer '!$AB59</f>
        <v>220.3490067389066</v>
      </c>
      <c r="D12" s="106">
        <v>70</v>
      </c>
      <c r="E12" s="112">
        <f>'UA Optimizer '!$Y59</f>
        <v>305.9137059364461</v>
      </c>
      <c r="F12" s="106">
        <v>0</v>
      </c>
      <c r="G12" s="100" t="s">
        <v>174</v>
      </c>
      <c r="H12" s="49"/>
      <c r="I12" s="49"/>
      <c r="J12" s="49"/>
      <c r="K12" s="49"/>
      <c r="L12" s="49"/>
      <c r="M12" s="49"/>
      <c r="S12" s="49"/>
      <c r="T12" s="49"/>
      <c r="U12" s="49"/>
      <c r="W12" s="49"/>
      <c r="X12" s="49"/>
      <c r="Y12" s="49"/>
      <c r="Z12" s="49"/>
    </row>
    <row r="13" spans="1:26" ht="12.75" customHeight="1">
      <c r="A13" s="106" t="str">
        <f t="shared" si="0"/>
        <v>WALL R21 STD+R5</v>
      </c>
      <c r="B13" s="106" t="str">
        <f>'UA Optimizer '!$W60</f>
        <v>WALL R21 STD+R5</v>
      </c>
      <c r="C13" s="106">
        <f>'UA Optimizer '!$AB60</f>
        <v>774.0850405887613</v>
      </c>
      <c r="D13" s="106">
        <v>70</v>
      </c>
      <c r="E13" s="112">
        <f>'UA Optimizer '!$Y60</f>
        <v>1319.408300807193</v>
      </c>
      <c r="F13" s="106">
        <v>0</v>
      </c>
      <c r="G13" s="100" t="s">
        <v>174</v>
      </c>
      <c r="H13" s="49"/>
      <c r="I13" s="49"/>
      <c r="J13" s="49"/>
      <c r="K13" s="49"/>
      <c r="L13" s="49"/>
      <c r="M13" s="49"/>
      <c r="S13" s="49"/>
      <c r="T13" s="49"/>
      <c r="U13" s="49"/>
      <c r="W13" s="49"/>
      <c r="X13" s="49"/>
      <c r="Y13" s="49"/>
      <c r="Z13" s="49"/>
    </row>
    <row r="14" spans="1:26" ht="12.75" customHeight="1">
      <c r="A14" s="106" t="str">
        <f t="shared" si="0"/>
        <v>WALL 8" SSPANEL</v>
      </c>
      <c r="B14" s="106" t="str">
        <f>'UA Optimizer '!$W61</f>
        <v>WALL 8" SSPANEL</v>
      </c>
      <c r="C14" s="106">
        <f>'UA Optimizer '!$AB61</f>
        <v>853.3393385153631</v>
      </c>
      <c r="D14" s="106">
        <v>70</v>
      </c>
      <c r="E14" s="112">
        <f>'UA Optimizer '!$Y61</f>
        <v>1805.506095841422</v>
      </c>
      <c r="F14" s="106">
        <v>0</v>
      </c>
      <c r="G14" s="100" t="s">
        <v>174</v>
      </c>
      <c r="H14" s="49"/>
      <c r="I14" s="49"/>
      <c r="J14" s="49"/>
      <c r="K14" s="49"/>
      <c r="L14" s="49"/>
      <c r="M14" s="49"/>
      <c r="S14" s="49"/>
      <c r="T14" s="49"/>
      <c r="U14" s="49"/>
      <c r="W14" s="49"/>
      <c r="X14" s="49"/>
      <c r="Y14" s="49"/>
      <c r="Z14" s="49"/>
    </row>
    <row r="15" spans="1:26" ht="12.75" customHeight="1">
      <c r="A15" s="106" t="str">
        <f t="shared" si="0"/>
        <v>ATTIC R60 ADVrh</v>
      </c>
      <c r="B15" s="106" t="str">
        <f>'UA Optimizer '!$W62</f>
        <v>ATTIC R60 ADVrh</v>
      </c>
      <c r="C15" s="106">
        <f>'UA Optimizer '!$AB62</f>
        <v>106.32785818934826</v>
      </c>
      <c r="D15" s="106">
        <v>70</v>
      </c>
      <c r="E15" s="112">
        <f>'UA Optimizer '!$Y62</f>
        <v>236.20936344129973</v>
      </c>
      <c r="F15" s="106">
        <v>0</v>
      </c>
      <c r="G15" s="100" t="s">
        <v>174</v>
      </c>
      <c r="H15" s="49"/>
      <c r="I15" s="49"/>
      <c r="J15" s="49"/>
      <c r="K15" s="49"/>
      <c r="L15" s="49"/>
      <c r="M15" s="49"/>
      <c r="S15" s="49"/>
      <c r="T15" s="49"/>
      <c r="U15" s="49"/>
      <c r="W15" s="49"/>
      <c r="X15" s="49"/>
      <c r="Y15" s="49"/>
      <c r="Z15" s="49"/>
    </row>
    <row r="16" spans="1:26" ht="12.75" customHeight="1">
      <c r="A16" s="106" t="str">
        <f t="shared" si="0"/>
        <v>WALL R33 DBL</v>
      </c>
      <c r="B16" s="106" t="str">
        <f>'UA Optimizer '!$W63</f>
        <v>WALL R33 DBL</v>
      </c>
      <c r="C16" s="106">
        <f>'UA Optimizer '!$AB63</f>
        <v>93.77710518611639</v>
      </c>
      <c r="D16" s="106">
        <v>70</v>
      </c>
      <c r="E16" s="112">
        <f>'UA Optimizer '!$Y63</f>
        <v>925.900561969961</v>
      </c>
      <c r="F16" s="106">
        <v>0</v>
      </c>
      <c r="G16" s="100" t="s">
        <v>174</v>
      </c>
      <c r="H16" s="49"/>
      <c r="I16" s="49"/>
      <c r="J16" s="49"/>
      <c r="K16" s="49"/>
      <c r="L16" s="49"/>
      <c r="M16" s="49"/>
      <c r="S16" s="49"/>
      <c r="T16" s="49"/>
      <c r="U16" s="49"/>
      <c r="W16" s="49"/>
      <c r="X16" s="49"/>
      <c r="Y16" s="49"/>
      <c r="Z16" s="49"/>
    </row>
    <row r="17" spans="1:26" ht="12.75" customHeight="1">
      <c r="A17" s="106" t="str">
        <f t="shared" si="0"/>
        <v>VAULT 10" SS Panel</v>
      </c>
      <c r="B17" s="106" t="str">
        <f>'UA Optimizer '!$W64</f>
        <v>VAULT 10" SS Panel</v>
      </c>
      <c r="C17" s="106">
        <f>'UA Optimizer '!$AB64</f>
        <v>30.227869909193032</v>
      </c>
      <c r="D17" s="106">
        <v>70</v>
      </c>
      <c r="E17" s="112">
        <f>'UA Optimizer '!$Y64</f>
        <v>1066.9673158271178</v>
      </c>
      <c r="F17" s="106">
        <v>0</v>
      </c>
      <c r="G17" s="100" t="s">
        <v>174</v>
      </c>
      <c r="H17" s="49"/>
      <c r="I17" s="49"/>
      <c r="J17" s="49"/>
      <c r="K17" s="49"/>
      <c r="L17" s="49"/>
      <c r="M17" s="49"/>
      <c r="S17" s="49"/>
      <c r="T17" s="49"/>
      <c r="U17" s="49"/>
      <c r="W17" s="49"/>
      <c r="X17" s="49"/>
      <c r="Y17" s="49"/>
      <c r="Z17" s="49"/>
    </row>
    <row r="18" spans="9:22" ht="12.75" customHeight="1">
      <c r="I18"/>
      <c r="J18"/>
      <c r="K18"/>
      <c r="L18"/>
      <c r="M18"/>
      <c r="N18"/>
      <c r="O18"/>
      <c r="P18"/>
      <c r="Q18"/>
      <c r="R18"/>
      <c r="V18"/>
    </row>
    <row r="19" spans="9:22" ht="12.75" customHeight="1" thickBot="1">
      <c r="I19"/>
      <c r="J19"/>
      <c r="K19"/>
      <c r="L19"/>
      <c r="M19"/>
      <c r="N19"/>
      <c r="O19"/>
      <c r="P19"/>
      <c r="Q19"/>
      <c r="R19"/>
      <c r="V19"/>
    </row>
    <row r="20" spans="1:22" ht="12.75" customHeight="1" thickBot="1">
      <c r="A20" s="80" t="s">
        <v>436</v>
      </c>
      <c r="B20" s="50"/>
      <c r="C20" s="50"/>
      <c r="D20" s="51"/>
      <c r="I20"/>
      <c r="J20"/>
      <c r="K20"/>
      <c r="L20"/>
      <c r="M20"/>
      <c r="N20"/>
      <c r="O20"/>
      <c r="P20"/>
      <c r="Q20"/>
      <c r="R20"/>
      <c r="V20"/>
    </row>
    <row r="21" spans="1:41" ht="12.75" customHeight="1" thickBot="1">
      <c r="A21" s="52" t="s">
        <v>129</v>
      </c>
      <c r="B21" s="53"/>
      <c r="C21" s="54" t="s">
        <v>78</v>
      </c>
      <c r="D21" s="56"/>
      <c r="E21" s="56"/>
      <c r="F21" s="56"/>
      <c r="G21" s="56"/>
      <c r="H21" s="56"/>
      <c r="I21" s="56"/>
      <c r="J21" s="55"/>
      <c r="K21" s="54" t="s">
        <v>45</v>
      </c>
      <c r="L21" s="56"/>
      <c r="M21" s="55"/>
      <c r="N21" s="54" t="s">
        <v>46</v>
      </c>
      <c r="O21" s="56"/>
      <c r="P21" s="56"/>
      <c r="Q21" s="55"/>
      <c r="R21" s="54" t="s">
        <v>47</v>
      </c>
      <c r="S21" s="55"/>
      <c r="T21" s="54" t="s">
        <v>48</v>
      </c>
      <c r="U21" s="56"/>
      <c r="V21" s="56"/>
      <c r="W21" s="56"/>
      <c r="X21" s="55"/>
      <c r="Y21" s="54" t="s">
        <v>49</v>
      </c>
      <c r="Z21" s="56"/>
      <c r="AA21" s="56"/>
      <c r="AB21" s="56"/>
      <c r="AC21" s="55"/>
      <c r="AD21" s="54" t="s">
        <v>79</v>
      </c>
      <c r="AE21" s="56"/>
      <c r="AF21" s="56"/>
      <c r="AG21" s="56"/>
      <c r="AH21" s="56"/>
      <c r="AI21" s="55"/>
      <c r="AJ21" s="54" t="s">
        <v>80</v>
      </c>
      <c r="AK21" s="56"/>
      <c r="AL21" s="56"/>
      <c r="AM21" s="56"/>
      <c r="AN21" s="56"/>
      <c r="AO21" s="55"/>
    </row>
    <row r="22" spans="1:41" ht="51">
      <c r="A22" s="57" t="s">
        <v>51</v>
      </c>
      <c r="B22" s="58" t="s">
        <v>52</v>
      </c>
      <c r="C22" s="59" t="s">
        <v>81</v>
      </c>
      <c r="D22" s="59" t="s">
        <v>82</v>
      </c>
      <c r="E22" s="59" t="s">
        <v>83</v>
      </c>
      <c r="F22" s="59" t="s">
        <v>84</v>
      </c>
      <c r="G22" s="59" t="s">
        <v>148</v>
      </c>
      <c r="H22" s="59" t="s">
        <v>86</v>
      </c>
      <c r="I22" s="59" t="s">
        <v>87</v>
      </c>
      <c r="J22" s="59" t="s">
        <v>88</v>
      </c>
      <c r="K22" s="59" t="s">
        <v>89</v>
      </c>
      <c r="L22" s="59" t="s">
        <v>90</v>
      </c>
      <c r="M22" s="59" t="s">
        <v>91</v>
      </c>
      <c r="N22" s="59" t="s">
        <v>20</v>
      </c>
      <c r="O22" s="59" t="s">
        <v>21</v>
      </c>
      <c r="P22" s="59" t="s">
        <v>22</v>
      </c>
      <c r="Q22" s="59" t="s">
        <v>4</v>
      </c>
      <c r="R22" s="59" t="s">
        <v>53</v>
      </c>
      <c r="S22" s="59" t="s">
        <v>4</v>
      </c>
      <c r="T22" s="59" t="s">
        <v>20</v>
      </c>
      <c r="U22" s="59" t="s">
        <v>21</v>
      </c>
      <c r="V22" s="59" t="s">
        <v>22</v>
      </c>
      <c r="W22" s="59" t="s">
        <v>4</v>
      </c>
      <c r="X22" s="59" t="s">
        <v>57</v>
      </c>
      <c r="Y22" s="59" t="s">
        <v>20</v>
      </c>
      <c r="Z22" s="59" t="s">
        <v>21</v>
      </c>
      <c r="AA22" s="59" t="s">
        <v>22</v>
      </c>
      <c r="AB22" s="59" t="s">
        <v>4</v>
      </c>
      <c r="AC22" s="59" t="s">
        <v>57</v>
      </c>
      <c r="AD22" s="59" t="s">
        <v>92</v>
      </c>
      <c r="AE22" s="59" t="s">
        <v>93</v>
      </c>
      <c r="AF22" s="59" t="s">
        <v>56</v>
      </c>
      <c r="AG22" s="59" t="s">
        <v>94</v>
      </c>
      <c r="AH22" s="59" t="s">
        <v>95</v>
      </c>
      <c r="AI22" s="59" t="s">
        <v>96</v>
      </c>
      <c r="AJ22" s="59" t="s">
        <v>97</v>
      </c>
      <c r="AK22" s="59" t="s">
        <v>54</v>
      </c>
      <c r="AL22" s="59" t="s">
        <v>55</v>
      </c>
      <c r="AM22" s="59" t="s">
        <v>98</v>
      </c>
      <c r="AN22" s="59" t="s">
        <v>99</v>
      </c>
      <c r="AO22" s="59" t="s">
        <v>100</v>
      </c>
    </row>
    <row r="23" spans="1:41" ht="12.75" customHeight="1">
      <c r="A23" t="s">
        <v>353</v>
      </c>
      <c r="B23" t="s">
        <v>353</v>
      </c>
      <c r="C23" s="49">
        <v>70</v>
      </c>
      <c r="D23" s="49">
        <v>1132.5146708549364</v>
      </c>
      <c r="E23" s="49">
        <v>231.48</v>
      </c>
      <c r="F23" s="49">
        <v>0</v>
      </c>
      <c r="G23" s="49">
        <v>0</v>
      </c>
      <c r="H23" s="49" t="s">
        <v>174</v>
      </c>
      <c r="I23" s="49">
        <v>0.178</v>
      </c>
      <c r="J23" s="49">
        <v>0.3659999966621399</v>
      </c>
      <c r="K23" s="49">
        <v>1218.8689145076253</v>
      </c>
      <c r="L23" s="60">
        <v>0.28609744153800276</v>
      </c>
      <c r="M23" s="49">
        <v>0.78168700586657</v>
      </c>
      <c r="P23" s="49">
        <v>231.4751493925745</v>
      </c>
      <c r="Q23" s="49">
        <v>0</v>
      </c>
      <c r="R23" s="49">
        <v>0</v>
      </c>
      <c r="S23" s="49">
        <v>0</v>
      </c>
      <c r="T23" s="49">
        <v>0</v>
      </c>
      <c r="U23" s="49">
        <v>0</v>
      </c>
      <c r="V23" s="49">
        <v>231.4751493925745</v>
      </c>
      <c r="W23" s="49">
        <v>0</v>
      </c>
      <c r="X23" s="49">
        <v>231.4751493925745</v>
      </c>
      <c r="Y23" s="49">
        <v>0</v>
      </c>
      <c r="Z23" s="49">
        <v>0</v>
      </c>
      <c r="AA23" s="49">
        <v>9.385184288024902</v>
      </c>
      <c r="AB23" s="49">
        <v>0</v>
      </c>
      <c r="AC23" s="49">
        <v>9.385184304710785</v>
      </c>
      <c r="AD23" s="49">
        <v>542.8465875879974</v>
      </c>
      <c r="AE23" s="49">
        <v>17.36759952478392</v>
      </c>
      <c r="AF23" s="49">
        <v>86.14310455322266</v>
      </c>
      <c r="AG23" s="49">
        <v>645.5697391938257</v>
      </c>
      <c r="AH23" s="49">
        <v>231.4751493925745</v>
      </c>
      <c r="AI23" s="48">
        <v>2.7889375636559586</v>
      </c>
      <c r="AJ23" s="49">
        <v>316.3496398925781</v>
      </c>
      <c r="AK23" s="49">
        <v>0</v>
      </c>
      <c r="AL23" s="49">
        <v>0</v>
      </c>
      <c r="AM23" s="49">
        <v>961.9193725585938</v>
      </c>
      <c r="AN23" s="49">
        <v>231.4751493925745</v>
      </c>
      <c r="AO23" s="48">
        <v>4.155605316162109</v>
      </c>
    </row>
    <row r="24" spans="1:41" ht="12.75" customHeight="1">
      <c r="A24" t="s">
        <v>179</v>
      </c>
      <c r="B24" t="s">
        <v>179</v>
      </c>
      <c r="C24" s="49">
        <v>70</v>
      </c>
      <c r="D24" s="49">
        <v>827.5177789935424</v>
      </c>
      <c r="E24" s="49">
        <v>179.66</v>
      </c>
      <c r="F24" s="49">
        <v>0</v>
      </c>
      <c r="G24" s="49">
        <v>0</v>
      </c>
      <c r="H24" s="49" t="s">
        <v>174</v>
      </c>
      <c r="I24" s="49">
        <v>0.178</v>
      </c>
      <c r="J24" s="49">
        <v>0.3659999966621399</v>
      </c>
      <c r="K24" s="49">
        <v>890.6160096417999</v>
      </c>
      <c r="L24" s="60">
        <v>0.20904869975639215</v>
      </c>
      <c r="M24" s="49">
        <v>0.5711713160188036</v>
      </c>
      <c r="P24" s="49">
        <v>179.6605383362817</v>
      </c>
      <c r="Q24" s="49">
        <v>0</v>
      </c>
      <c r="R24" s="49">
        <v>0</v>
      </c>
      <c r="S24" s="49">
        <v>0</v>
      </c>
      <c r="T24" s="49">
        <v>0</v>
      </c>
      <c r="U24" s="49">
        <v>0</v>
      </c>
      <c r="V24" s="49">
        <v>179.6605383362817</v>
      </c>
      <c r="W24" s="49">
        <v>0</v>
      </c>
      <c r="X24" s="49">
        <v>179.6605383362817</v>
      </c>
      <c r="Y24" s="49">
        <v>0</v>
      </c>
      <c r="Z24" s="49">
        <v>0</v>
      </c>
      <c r="AA24" s="49">
        <v>9.969138145446777</v>
      </c>
      <c r="AB24" s="49">
        <v>0</v>
      </c>
      <c r="AC24" s="49">
        <v>9.969138569804642</v>
      </c>
      <c r="AD24" s="49">
        <v>396.65287704920746</v>
      </c>
      <c r="AE24" s="49">
        <v>12.690341021674396</v>
      </c>
      <c r="AF24" s="49">
        <v>62.94396209716797</v>
      </c>
      <c r="AG24" s="49">
        <v>471.7117230111674</v>
      </c>
      <c r="AH24" s="49">
        <v>179.6605383362817</v>
      </c>
      <c r="AI24" s="48">
        <v>2.625572245187396</v>
      </c>
      <c r="AJ24" s="49">
        <v>231.15377807617188</v>
      </c>
      <c r="AK24" s="49">
        <v>0</v>
      </c>
      <c r="AL24" s="49">
        <v>0</v>
      </c>
      <c r="AM24" s="49">
        <v>702.865478515625</v>
      </c>
      <c r="AN24" s="49">
        <v>179.6605383362817</v>
      </c>
      <c r="AO24" s="48">
        <v>3.9121861457824707</v>
      </c>
    </row>
    <row r="25" spans="1:41" ht="12.75" customHeight="1">
      <c r="A25" t="s">
        <v>357</v>
      </c>
      <c r="B25" t="s">
        <v>357</v>
      </c>
      <c r="C25" s="49">
        <v>70</v>
      </c>
      <c r="D25" s="49">
        <v>575.0136793169822</v>
      </c>
      <c r="E25" s="49">
        <v>506.88</v>
      </c>
      <c r="F25" s="49">
        <v>0</v>
      </c>
      <c r="G25" s="49">
        <v>0</v>
      </c>
      <c r="H25" s="49" t="s">
        <v>174</v>
      </c>
      <c r="I25" s="49">
        <v>0.178</v>
      </c>
      <c r="J25" s="49">
        <v>0.3659999966621399</v>
      </c>
      <c r="K25" s="49">
        <v>618.8584723649021</v>
      </c>
      <c r="L25" s="60">
        <v>0.1452607606202165</v>
      </c>
      <c r="M25" s="49">
        <v>0.3968873277184997</v>
      </c>
      <c r="P25" s="49">
        <v>506.87830815858496</v>
      </c>
      <c r="Q25" s="49">
        <v>0</v>
      </c>
      <c r="R25" s="49">
        <v>0</v>
      </c>
      <c r="S25" s="49">
        <v>0</v>
      </c>
      <c r="T25" s="49">
        <v>0</v>
      </c>
      <c r="U25" s="49">
        <v>0</v>
      </c>
      <c r="V25" s="49">
        <v>506.87830815858496</v>
      </c>
      <c r="W25" s="49">
        <v>0</v>
      </c>
      <c r="X25" s="49">
        <v>506.87830815858496</v>
      </c>
      <c r="Y25" s="49">
        <v>0</v>
      </c>
      <c r="Z25" s="49">
        <v>0</v>
      </c>
      <c r="AA25" s="49">
        <v>40.476951599121094</v>
      </c>
      <c r="AB25" s="49">
        <v>0</v>
      </c>
      <c r="AC25" s="49">
        <v>40.47695172081812</v>
      </c>
      <c r="AD25" s="49">
        <v>275.6204592016494</v>
      </c>
      <c r="AE25" s="49">
        <v>8.818082061675161</v>
      </c>
      <c r="AF25" s="49">
        <v>43.73760223388672</v>
      </c>
      <c r="AG25" s="49">
        <v>327.7762780858956</v>
      </c>
      <c r="AH25" s="49">
        <v>506.87830815858496</v>
      </c>
      <c r="AI25" s="69">
        <v>0.6466567474087797</v>
      </c>
      <c r="AJ25" s="49">
        <v>160.62086486816406</v>
      </c>
      <c r="AK25" s="49">
        <v>0</v>
      </c>
      <c r="AL25" s="49">
        <v>0</v>
      </c>
      <c r="AM25" s="49">
        <v>488.39715576171875</v>
      </c>
      <c r="AN25" s="49">
        <v>506.87830815858496</v>
      </c>
      <c r="AO25" s="69">
        <v>0.9635392427444458</v>
      </c>
    </row>
    <row r="26" spans="1:41" ht="12.75" customHeight="1">
      <c r="A26" t="s">
        <v>184</v>
      </c>
      <c r="B26" t="s">
        <v>184</v>
      </c>
      <c r="C26" s="49">
        <v>70</v>
      </c>
      <c r="D26" s="49">
        <v>419.28253122380374</v>
      </c>
      <c r="E26" s="49">
        <v>411.18</v>
      </c>
      <c r="F26" s="49">
        <v>0</v>
      </c>
      <c r="G26" s="49">
        <v>0</v>
      </c>
      <c r="H26" s="49" t="s">
        <v>174</v>
      </c>
      <c r="I26" s="49">
        <v>0.178</v>
      </c>
      <c r="J26" s="49">
        <v>0.3659999966621399</v>
      </c>
      <c r="K26" s="49">
        <v>451.25282422961874</v>
      </c>
      <c r="L26" s="60">
        <v>0.10591973998372434</v>
      </c>
      <c r="M26" s="49">
        <v>0.28939819931610666</v>
      </c>
      <c r="P26" s="49">
        <v>411.179387738181</v>
      </c>
      <c r="Q26" s="49">
        <v>0</v>
      </c>
      <c r="R26" s="49">
        <v>0</v>
      </c>
      <c r="S26" s="49">
        <v>0</v>
      </c>
      <c r="T26" s="49">
        <v>0</v>
      </c>
      <c r="U26" s="49">
        <v>0</v>
      </c>
      <c r="V26" s="49">
        <v>411.179387738181</v>
      </c>
      <c r="W26" s="49">
        <v>0</v>
      </c>
      <c r="X26" s="49">
        <v>411.179387738181</v>
      </c>
      <c r="Y26" s="49">
        <v>0</v>
      </c>
      <c r="Z26" s="49">
        <v>0</v>
      </c>
      <c r="AA26" s="49">
        <v>45.0305061340332</v>
      </c>
      <c r="AB26" s="49">
        <v>0</v>
      </c>
      <c r="AC26" s="49">
        <v>45.03050694775442</v>
      </c>
      <c r="AD26" s="49">
        <v>200.97407757047517</v>
      </c>
      <c r="AE26" s="49">
        <v>6.429877932208678</v>
      </c>
      <c r="AF26" s="49">
        <v>31.892127990722656</v>
      </c>
      <c r="AG26" s="49">
        <v>239.00451376587515</v>
      </c>
      <c r="AH26" s="49">
        <v>411.179387738181</v>
      </c>
      <c r="AI26" s="69">
        <v>0.5812657951571775</v>
      </c>
      <c r="AJ26" s="49">
        <v>117.11981201171875</v>
      </c>
      <c r="AK26" s="49">
        <v>0</v>
      </c>
      <c r="AL26" s="49">
        <v>0</v>
      </c>
      <c r="AM26" s="49">
        <v>356.12432861328125</v>
      </c>
      <c r="AN26" s="49">
        <v>411.179387738181</v>
      </c>
      <c r="AO26" s="69">
        <v>0.8661045432090759</v>
      </c>
    </row>
    <row r="27" spans="1:41" ht="12.75" customHeight="1">
      <c r="A27" t="s">
        <v>339</v>
      </c>
      <c r="B27" t="s">
        <v>339</v>
      </c>
      <c r="C27" s="49">
        <v>70</v>
      </c>
      <c r="D27" s="49">
        <v>818.5250037087881</v>
      </c>
      <c r="E27" s="49">
        <v>934.23</v>
      </c>
      <c r="F27" s="49">
        <v>0</v>
      </c>
      <c r="G27" s="49">
        <v>0</v>
      </c>
      <c r="H27" s="49" t="s">
        <v>174</v>
      </c>
      <c r="I27" s="49">
        <v>0.178</v>
      </c>
      <c r="J27" s="49">
        <v>0.3659999966621399</v>
      </c>
      <c r="K27" s="49">
        <v>880.9375352415832</v>
      </c>
      <c r="L27" s="60">
        <v>0.20677693227513547</v>
      </c>
      <c r="M27" s="49">
        <v>0.5649643009860854</v>
      </c>
      <c r="P27" s="49">
        <v>934.2346993486434</v>
      </c>
      <c r="Q27" s="49">
        <v>0</v>
      </c>
      <c r="R27" s="49">
        <v>0</v>
      </c>
      <c r="S27" s="49">
        <v>0</v>
      </c>
      <c r="T27" s="49">
        <v>0</v>
      </c>
      <c r="U27" s="49">
        <v>0</v>
      </c>
      <c r="V27" s="49">
        <v>934.2346993486434</v>
      </c>
      <c r="W27" s="49">
        <v>0</v>
      </c>
      <c r="X27" s="49">
        <v>934.2346993486434</v>
      </c>
      <c r="Y27" s="49">
        <v>0</v>
      </c>
      <c r="Z27" s="49">
        <v>0</v>
      </c>
      <c r="AA27" s="49">
        <v>52.409053802490234</v>
      </c>
      <c r="AB27" s="49">
        <v>0</v>
      </c>
      <c r="AC27" s="49">
        <v>52.409053033447954</v>
      </c>
      <c r="AD27" s="49">
        <v>392.3423833294304</v>
      </c>
      <c r="AE27" s="49">
        <v>12.552432945265926</v>
      </c>
      <c r="AF27" s="49">
        <v>62.259944915771484</v>
      </c>
      <c r="AG27" s="49">
        <v>466.58555762357366</v>
      </c>
      <c r="AH27" s="49">
        <v>934.2346993486434</v>
      </c>
      <c r="AI27" s="69">
        <v>0.4994307725337982</v>
      </c>
      <c r="AJ27" s="49">
        <v>228.64183044433594</v>
      </c>
      <c r="AK27" s="49">
        <v>0</v>
      </c>
      <c r="AL27" s="49">
        <v>0</v>
      </c>
      <c r="AM27" s="49">
        <v>695.2274169921875</v>
      </c>
      <c r="AN27" s="49">
        <v>934.2346993486434</v>
      </c>
      <c r="AO27" s="69">
        <v>0.7441678643226624</v>
      </c>
    </row>
    <row r="28" spans="1:41" ht="12.75" customHeight="1">
      <c r="A28" t="s">
        <v>182</v>
      </c>
      <c r="B28" t="s">
        <v>182</v>
      </c>
      <c r="C28" s="49">
        <v>70</v>
      </c>
      <c r="D28" s="49">
        <v>812.1537300611271</v>
      </c>
      <c r="E28" s="49">
        <v>998.11</v>
      </c>
      <c r="F28" s="49">
        <v>0</v>
      </c>
      <c r="G28" s="49">
        <v>0</v>
      </c>
      <c r="H28" s="49" t="s">
        <v>174</v>
      </c>
      <c r="I28" s="49">
        <v>0.178</v>
      </c>
      <c r="J28" s="49">
        <v>0.3659999966621399</v>
      </c>
      <c r="K28" s="49">
        <v>874.080451978288</v>
      </c>
      <c r="L28" s="60">
        <v>0.20516741220723358</v>
      </c>
      <c r="M28" s="49">
        <v>0.5605667051320405</v>
      </c>
      <c r="P28" s="49">
        <v>998.1140129793237</v>
      </c>
      <c r="Q28" s="49">
        <v>0</v>
      </c>
      <c r="R28" s="49">
        <v>0</v>
      </c>
      <c r="S28" s="49">
        <v>0</v>
      </c>
      <c r="T28" s="49">
        <v>0</v>
      </c>
      <c r="U28" s="49">
        <v>0</v>
      </c>
      <c r="V28" s="49">
        <v>998.1140129793237</v>
      </c>
      <c r="W28" s="49">
        <v>0</v>
      </c>
      <c r="X28" s="49">
        <v>998.1140129793237</v>
      </c>
      <c r="Y28" s="49">
        <v>0</v>
      </c>
      <c r="Z28" s="49">
        <v>0</v>
      </c>
      <c r="AA28" s="49">
        <v>56.43183517456055</v>
      </c>
      <c r="AB28" s="49">
        <v>0</v>
      </c>
      <c r="AC28" s="49">
        <v>56.43183582754366</v>
      </c>
      <c r="AD28" s="49">
        <v>389.2884501246511</v>
      </c>
      <c r="AE28" s="49">
        <v>12.45472672386055</v>
      </c>
      <c r="AF28" s="49">
        <v>61.77531814575195</v>
      </c>
      <c r="AG28" s="49">
        <v>462.95372202102203</v>
      </c>
      <c r="AH28" s="49">
        <v>998.1140129793237</v>
      </c>
      <c r="AI28" s="69">
        <v>0.4638284965453263</v>
      </c>
      <c r="AJ28" s="49">
        <v>226.86209106445312</v>
      </c>
      <c r="AK28" s="49">
        <v>0</v>
      </c>
      <c r="AL28" s="49">
        <v>0</v>
      </c>
      <c r="AM28" s="49">
        <v>689.8157958984375</v>
      </c>
      <c r="AN28" s="49">
        <v>998.1140129793237</v>
      </c>
      <c r="AO28" s="69">
        <v>0.6911192536354065</v>
      </c>
    </row>
    <row r="29" spans="1:41" ht="12.75" customHeight="1">
      <c r="A29" t="s">
        <v>332</v>
      </c>
      <c r="B29" t="s">
        <v>332</v>
      </c>
      <c r="C29" s="49">
        <v>70</v>
      </c>
      <c r="D29" s="49">
        <v>220.3490067389066</v>
      </c>
      <c r="E29" s="49">
        <v>305.91</v>
      </c>
      <c r="F29" s="49">
        <v>0</v>
      </c>
      <c r="G29" s="49">
        <v>0</v>
      </c>
      <c r="H29" s="49" t="s">
        <v>174</v>
      </c>
      <c r="I29" s="49">
        <v>0.178</v>
      </c>
      <c r="J29" s="49">
        <v>0.3659999966621399</v>
      </c>
      <c r="K29" s="49">
        <v>237.15061850274822</v>
      </c>
      <c r="L29" s="60">
        <v>0.05566487454493757</v>
      </c>
      <c r="M29" s="49">
        <v>0.1520898225480659</v>
      </c>
      <c r="P29" s="49">
        <v>305.91376527641734</v>
      </c>
      <c r="Q29" s="49">
        <v>0</v>
      </c>
      <c r="R29" s="49">
        <v>0</v>
      </c>
      <c r="S29" s="49">
        <v>0</v>
      </c>
      <c r="T29" s="49">
        <v>0</v>
      </c>
      <c r="U29" s="49">
        <v>0</v>
      </c>
      <c r="V29" s="49">
        <v>305.91376527641734</v>
      </c>
      <c r="W29" s="49">
        <v>0</v>
      </c>
      <c r="X29" s="49">
        <v>305.91376527641734</v>
      </c>
      <c r="Y29" s="49">
        <v>0</v>
      </c>
      <c r="Z29" s="49">
        <v>0</v>
      </c>
      <c r="AA29" s="49">
        <v>63.748531341552734</v>
      </c>
      <c r="AB29" s="49">
        <v>0</v>
      </c>
      <c r="AC29" s="49">
        <v>63.74853247653247</v>
      </c>
      <c r="AD29" s="49">
        <v>105.61956455391669</v>
      </c>
      <c r="AE29" s="49">
        <v>3.379146781238855</v>
      </c>
      <c r="AF29" s="49">
        <v>16.76053237915039</v>
      </c>
      <c r="AG29" s="49">
        <v>125.60601267062485</v>
      </c>
      <c r="AH29" s="49">
        <v>305.91376527641734</v>
      </c>
      <c r="AI29" s="69">
        <v>0.41059287592740346</v>
      </c>
      <c r="AJ29" s="49">
        <v>61.550941467285156</v>
      </c>
      <c r="AK29" s="49">
        <v>0</v>
      </c>
      <c r="AL29" s="49">
        <v>0</v>
      </c>
      <c r="AM29" s="49">
        <v>187.15695190429688</v>
      </c>
      <c r="AN29" s="49">
        <v>305.91376527641734</v>
      </c>
      <c r="AO29" s="69">
        <v>0.6117964386940002</v>
      </c>
    </row>
    <row r="30" spans="1:41" ht="12.75" customHeight="1">
      <c r="A30" t="s">
        <v>349</v>
      </c>
      <c r="B30" t="s">
        <v>349</v>
      </c>
      <c r="C30" s="49">
        <v>70</v>
      </c>
      <c r="D30" s="49">
        <v>774.0850405887613</v>
      </c>
      <c r="E30" s="49">
        <v>1319.41</v>
      </c>
      <c r="F30" s="49">
        <v>0</v>
      </c>
      <c r="G30" s="49">
        <v>0</v>
      </c>
      <c r="H30" s="49" t="s">
        <v>174</v>
      </c>
      <c r="I30" s="49">
        <v>0.178</v>
      </c>
      <c r="J30" s="49">
        <v>0.3659999966621399</v>
      </c>
      <c r="K30" s="49">
        <v>833.1090249336543</v>
      </c>
      <c r="L30" s="60">
        <v>0.19555044658106058</v>
      </c>
      <c r="M30" s="49">
        <v>0.534290842525816</v>
      </c>
      <c r="P30" s="49">
        <v>1319.4085815377239</v>
      </c>
      <c r="Q30" s="49">
        <v>0</v>
      </c>
      <c r="R30" s="49">
        <v>0</v>
      </c>
      <c r="S30" s="49">
        <v>0</v>
      </c>
      <c r="T30" s="49">
        <v>0</v>
      </c>
      <c r="U30" s="49">
        <v>0</v>
      </c>
      <c r="V30" s="49">
        <v>1319.4085815377239</v>
      </c>
      <c r="W30" s="49">
        <v>0</v>
      </c>
      <c r="X30" s="49">
        <v>1319.4085815377239</v>
      </c>
      <c r="Y30" s="49">
        <v>0</v>
      </c>
      <c r="Z30" s="49">
        <v>0</v>
      </c>
      <c r="AA30" s="49">
        <v>78.26595306396484</v>
      </c>
      <c r="AB30" s="49">
        <v>0</v>
      </c>
      <c r="AC30" s="49">
        <v>78.26595683013248</v>
      </c>
      <c r="AD30" s="49">
        <v>371.04104132206066</v>
      </c>
      <c r="AE30" s="49">
        <v>11.87092699904966</v>
      </c>
      <c r="AF30" s="49">
        <v>58.879676818847656</v>
      </c>
      <c r="AG30" s="49">
        <v>441.25334519287503</v>
      </c>
      <c r="AH30" s="49">
        <v>1319.4085815377239</v>
      </c>
      <c r="AI30" s="69">
        <v>0.33443267791892783</v>
      </c>
      <c r="AJ30" s="49">
        <v>216.2281951904297</v>
      </c>
      <c r="AK30" s="49">
        <v>0</v>
      </c>
      <c r="AL30" s="49">
        <v>0</v>
      </c>
      <c r="AM30" s="49">
        <v>657.4815673828125</v>
      </c>
      <c r="AN30" s="49">
        <v>1319.4085815377239</v>
      </c>
      <c r="AO30" s="69">
        <v>0.49831536412239075</v>
      </c>
    </row>
    <row r="31" spans="1:41" ht="12.75" customHeight="1">
      <c r="A31" t="s">
        <v>188</v>
      </c>
      <c r="B31" t="s">
        <v>188</v>
      </c>
      <c r="C31" s="49">
        <v>70</v>
      </c>
      <c r="D31" s="49">
        <v>853.3393385153631</v>
      </c>
      <c r="E31" s="49">
        <v>1805.51</v>
      </c>
      <c r="F31" s="49">
        <v>0</v>
      </c>
      <c r="G31" s="49">
        <v>0</v>
      </c>
      <c r="H31" s="49" t="s">
        <v>174</v>
      </c>
      <c r="I31" s="49">
        <v>0.178</v>
      </c>
      <c r="J31" s="49">
        <v>0.3659999966621399</v>
      </c>
      <c r="K31" s="49">
        <v>918.4064630771595</v>
      </c>
      <c r="L31" s="60">
        <v>0.21557177826992463</v>
      </c>
      <c r="M31" s="49">
        <v>0.5889939350707759</v>
      </c>
      <c r="P31" s="49">
        <v>1805.5064852621497</v>
      </c>
      <c r="Q31" s="49">
        <v>0</v>
      </c>
      <c r="R31" s="49">
        <v>0</v>
      </c>
      <c r="S31" s="49">
        <v>0</v>
      </c>
      <c r="T31" s="49">
        <v>0</v>
      </c>
      <c r="U31" s="49">
        <v>0</v>
      </c>
      <c r="V31" s="49">
        <v>1805.5064852621497</v>
      </c>
      <c r="W31" s="49">
        <v>0</v>
      </c>
      <c r="X31" s="49">
        <v>1805.5064852621497</v>
      </c>
      <c r="Y31" s="49">
        <v>0</v>
      </c>
      <c r="Z31" s="49">
        <v>0</v>
      </c>
      <c r="AA31" s="49">
        <v>97.15374755859375</v>
      </c>
      <c r="AB31" s="49">
        <v>0</v>
      </c>
      <c r="AC31" s="49">
        <v>97.15374702556758</v>
      </c>
      <c r="AD31" s="49">
        <v>409.02988710774906</v>
      </c>
      <c r="AE31" s="49">
        <v>13.086325741714983</v>
      </c>
      <c r="AF31" s="49">
        <v>64.90804290771484</v>
      </c>
      <c r="AG31" s="49">
        <v>486.4308422474471</v>
      </c>
      <c r="AH31" s="49">
        <v>1805.5064852621497</v>
      </c>
      <c r="AI31" s="69">
        <v>0.2694151730930061</v>
      </c>
      <c r="AJ31" s="49">
        <v>238.36659240722656</v>
      </c>
      <c r="AK31" s="49">
        <v>0</v>
      </c>
      <c r="AL31" s="49">
        <v>0</v>
      </c>
      <c r="AM31" s="49">
        <v>724.7974243164062</v>
      </c>
      <c r="AN31" s="49">
        <v>1805.5064852621497</v>
      </c>
      <c r="AO31" s="69">
        <v>0.4014371633529663</v>
      </c>
    </row>
    <row r="32" spans="1:41" ht="12.75" customHeight="1">
      <c r="A32" t="s">
        <v>186</v>
      </c>
      <c r="B32" t="s">
        <v>186</v>
      </c>
      <c r="C32" s="49">
        <v>70</v>
      </c>
      <c r="D32" s="49">
        <v>106.32785818934826</v>
      </c>
      <c r="E32" s="49">
        <v>236.21</v>
      </c>
      <c r="F32" s="49">
        <v>0</v>
      </c>
      <c r="G32" s="49">
        <v>0</v>
      </c>
      <c r="H32" s="49" t="s">
        <v>174</v>
      </c>
      <c r="I32" s="49">
        <v>0.178</v>
      </c>
      <c r="J32" s="49">
        <v>0.3659999966621399</v>
      </c>
      <c r="K32" s="49">
        <v>114.43535737628606</v>
      </c>
      <c r="L32" s="60">
        <v>0.026860692382222235</v>
      </c>
      <c r="M32" s="49">
        <v>0.07338987056608567</v>
      </c>
      <c r="P32" s="49">
        <v>236.20945040278798</v>
      </c>
      <c r="Q32" s="49">
        <v>0</v>
      </c>
      <c r="R32" s="49">
        <v>0</v>
      </c>
      <c r="S32" s="49">
        <v>0</v>
      </c>
      <c r="T32" s="49">
        <v>0</v>
      </c>
      <c r="U32" s="49">
        <v>0</v>
      </c>
      <c r="V32" s="49">
        <v>236.20945040278798</v>
      </c>
      <c r="W32" s="49">
        <v>0</v>
      </c>
      <c r="X32" s="49">
        <v>236.20945040278798</v>
      </c>
      <c r="Y32" s="49">
        <v>0</v>
      </c>
      <c r="Z32" s="49">
        <v>0</v>
      </c>
      <c r="AA32" s="49">
        <v>102.00758361816406</v>
      </c>
      <c r="AB32" s="49">
        <v>0</v>
      </c>
      <c r="AC32" s="49">
        <v>102.00758657828666</v>
      </c>
      <c r="AD32" s="49">
        <v>50.965975513637915</v>
      </c>
      <c r="AE32" s="49">
        <v>1.6305834325012052</v>
      </c>
      <c r="AF32" s="49">
        <v>8.087677001953125</v>
      </c>
      <c r="AG32" s="49">
        <v>60.61029538932207</v>
      </c>
      <c r="AH32" s="49">
        <v>236.20945040278798</v>
      </c>
      <c r="AI32" s="69">
        <v>0.25659555655359456</v>
      </c>
      <c r="AJ32" s="49">
        <v>29.70097541809082</v>
      </c>
      <c r="AK32" s="49">
        <v>0</v>
      </c>
      <c r="AL32" s="49">
        <v>0</v>
      </c>
      <c r="AM32" s="49">
        <v>90.31127166748047</v>
      </c>
      <c r="AN32" s="49">
        <v>236.20945040278798</v>
      </c>
      <c r="AO32" s="69">
        <v>0.3823355436325073</v>
      </c>
    </row>
    <row r="33" spans="1:41" ht="12.75" customHeight="1">
      <c r="A33" t="s">
        <v>350</v>
      </c>
      <c r="B33" t="s">
        <v>350</v>
      </c>
      <c r="C33" s="49">
        <v>70</v>
      </c>
      <c r="D33" s="49">
        <v>93.77710518611639</v>
      </c>
      <c r="E33" s="49">
        <v>925.9</v>
      </c>
      <c r="F33" s="49">
        <v>0</v>
      </c>
      <c r="G33" s="49">
        <v>0</v>
      </c>
      <c r="H33" s="49" t="s">
        <v>174</v>
      </c>
      <c r="I33" s="49">
        <v>0.178</v>
      </c>
      <c r="J33" s="49">
        <v>0.3659999966621399</v>
      </c>
      <c r="K33" s="49">
        <v>100.92760945655776</v>
      </c>
      <c r="L33" s="60">
        <v>0.02369010358897562</v>
      </c>
      <c r="M33" s="49">
        <v>0.06472705957657238</v>
      </c>
      <c r="P33" s="49">
        <v>925.9007975703408</v>
      </c>
      <c r="Q33" s="49">
        <v>0</v>
      </c>
      <c r="R33" s="49">
        <v>0</v>
      </c>
      <c r="S33" s="49">
        <v>0</v>
      </c>
      <c r="T33" s="49">
        <v>0</v>
      </c>
      <c r="U33" s="49">
        <v>0</v>
      </c>
      <c r="V33" s="49">
        <v>925.9007975703408</v>
      </c>
      <c r="W33" s="49">
        <v>0</v>
      </c>
      <c r="X33" s="49">
        <v>925.9007975703408</v>
      </c>
      <c r="Y33" s="49">
        <v>0</v>
      </c>
      <c r="Z33" s="49">
        <v>0</v>
      </c>
      <c r="AA33" s="49">
        <v>453.36700439453125</v>
      </c>
      <c r="AB33" s="49">
        <v>0</v>
      </c>
      <c r="AC33" s="49">
        <v>453.3669999117381</v>
      </c>
      <c r="AD33" s="49">
        <v>44.950041579359464</v>
      </c>
      <c r="AE33" s="49">
        <v>1.4381122376423698</v>
      </c>
      <c r="AF33" s="49">
        <v>7.133020401000977</v>
      </c>
      <c r="AG33" s="49">
        <v>53.4559614724873</v>
      </c>
      <c r="AH33" s="49">
        <v>925.9007975703408</v>
      </c>
      <c r="AI33" s="69">
        <v>0.05773400521174758</v>
      </c>
      <c r="AJ33" s="49">
        <v>26.195110321044922</v>
      </c>
      <c r="AK33" s="49">
        <v>0</v>
      </c>
      <c r="AL33" s="49">
        <v>0</v>
      </c>
      <c r="AM33" s="49">
        <v>79.65106964111328</v>
      </c>
      <c r="AN33" s="49">
        <v>925.9007975703408</v>
      </c>
      <c r="AO33" s="69">
        <v>0.08602549135684967</v>
      </c>
    </row>
    <row r="34" spans="1:41" ht="12.75" customHeight="1">
      <c r="A34" t="s">
        <v>185</v>
      </c>
      <c r="B34" t="s">
        <v>185</v>
      </c>
      <c r="C34" s="49">
        <v>70</v>
      </c>
      <c r="D34" s="49">
        <v>30.227869909193032</v>
      </c>
      <c r="E34" s="49">
        <v>1066.97</v>
      </c>
      <c r="F34" s="49">
        <v>0</v>
      </c>
      <c r="G34" s="49">
        <v>0</v>
      </c>
      <c r="H34" s="49" t="s">
        <v>174</v>
      </c>
      <c r="I34" s="49">
        <v>0.178</v>
      </c>
      <c r="J34" s="49">
        <v>0.3659999966621399</v>
      </c>
      <c r="K34" s="49">
        <v>32.532744989769</v>
      </c>
      <c r="L34" s="60">
        <v>0.007636206811904022</v>
      </c>
      <c r="M34" s="49">
        <v>0.02086395322826497</v>
      </c>
      <c r="P34" s="49">
        <v>1066.9675276714079</v>
      </c>
      <c r="Q34" s="49">
        <v>0</v>
      </c>
      <c r="R34" s="49">
        <v>0</v>
      </c>
      <c r="S34" s="49">
        <v>0</v>
      </c>
      <c r="T34" s="49">
        <v>0</v>
      </c>
      <c r="U34" s="49">
        <v>0</v>
      </c>
      <c r="V34" s="49">
        <v>1066.9675276714079</v>
      </c>
      <c r="W34" s="49">
        <v>0</v>
      </c>
      <c r="X34" s="49">
        <v>1066.9675276714079</v>
      </c>
      <c r="Y34" s="49">
        <v>0</v>
      </c>
      <c r="Z34" s="49">
        <v>0</v>
      </c>
      <c r="AA34" s="49">
        <v>1620.7869873046875</v>
      </c>
      <c r="AB34" s="49">
        <v>0</v>
      </c>
      <c r="AC34" s="49">
        <v>1620.7869340705238</v>
      </c>
      <c r="AD34" s="49">
        <v>14.489080320586142</v>
      </c>
      <c r="AE34" s="49">
        <v>0.4635573848008684</v>
      </c>
      <c r="AF34" s="49">
        <v>2.2992396354675293</v>
      </c>
      <c r="AG34" s="49">
        <v>17.230856832874984</v>
      </c>
      <c r="AH34" s="49">
        <v>1066.9675276714079</v>
      </c>
      <c r="AI34" s="69">
        <v>0.01614937323395426</v>
      </c>
      <c r="AJ34" s="49">
        <v>8.443666458129883</v>
      </c>
      <c r="AK34" s="49">
        <v>0</v>
      </c>
      <c r="AL34" s="49">
        <v>0</v>
      </c>
      <c r="AM34" s="49">
        <v>25.674522399902344</v>
      </c>
      <c r="AN34" s="49">
        <v>1066.9675276714079</v>
      </c>
      <c r="AO34" s="69">
        <v>0.024063076823949814</v>
      </c>
    </row>
    <row r="35" spans="3:41" ht="12.75" customHeight="1">
      <c r="C35" s="49"/>
      <c r="D35" s="49"/>
      <c r="E35" s="49"/>
      <c r="F35" s="49"/>
      <c r="G35" s="49"/>
      <c r="H35" s="49"/>
      <c r="I35" s="49"/>
      <c r="J35" s="49"/>
      <c r="K35" s="49"/>
      <c r="L35" s="60"/>
      <c r="M35" s="49"/>
      <c r="S35" s="49"/>
      <c r="T35" s="49"/>
      <c r="U35" s="49"/>
      <c r="W35" s="49"/>
      <c r="X35" s="49"/>
      <c r="Y35" s="49"/>
      <c r="Z35" s="49"/>
      <c r="AA35" s="49"/>
      <c r="AB35" s="49"/>
      <c r="AC35" s="49"/>
      <c r="AD35" s="49"/>
      <c r="AE35" s="49"/>
      <c r="AF35" s="49"/>
      <c r="AG35" s="49"/>
      <c r="AH35" s="49"/>
      <c r="AI35" s="49"/>
      <c r="AJ35" s="49"/>
      <c r="AK35" s="49"/>
      <c r="AL35" s="49"/>
      <c r="AM35" s="49"/>
      <c r="AN35" s="49"/>
      <c r="AO35" s="61"/>
    </row>
    <row r="36" spans="3:41" ht="12.75" customHeight="1" thickBot="1">
      <c r="C36" s="49"/>
      <c r="D36" s="49"/>
      <c r="E36" s="49"/>
      <c r="F36" s="49"/>
      <c r="G36" s="49"/>
      <c r="H36" s="49"/>
      <c r="I36" s="49"/>
      <c r="J36" s="49"/>
      <c r="K36" s="49"/>
      <c r="L36" s="49"/>
      <c r="M36" s="49"/>
      <c r="S36" s="49"/>
      <c r="T36" s="49"/>
      <c r="U36" s="49"/>
      <c r="W36" s="49"/>
      <c r="X36" s="49"/>
      <c r="Y36" s="49"/>
      <c r="Z36" s="49"/>
      <c r="AA36" s="49"/>
      <c r="AB36" s="49"/>
      <c r="AC36" s="49"/>
      <c r="AD36" s="49"/>
      <c r="AE36" s="49"/>
      <c r="AF36" s="49"/>
      <c r="AG36" s="49"/>
      <c r="AH36" s="49"/>
      <c r="AI36" s="49"/>
      <c r="AJ36" s="49"/>
      <c r="AK36" s="49"/>
      <c r="AL36" s="49"/>
      <c r="AM36" s="49"/>
      <c r="AN36" s="49"/>
      <c r="AO36" s="49"/>
    </row>
    <row r="37" spans="1:41" ht="12.75" customHeight="1" thickBot="1">
      <c r="A37" s="62" t="s">
        <v>130</v>
      </c>
      <c r="B37" s="71"/>
      <c r="C37" s="72" t="s">
        <v>101</v>
      </c>
      <c r="D37" s="63"/>
      <c r="E37" s="63"/>
      <c r="F37" s="63"/>
      <c r="G37" s="63"/>
      <c r="H37" s="63"/>
      <c r="I37" s="63"/>
      <c r="J37" s="64"/>
      <c r="K37" s="72" t="s">
        <v>45</v>
      </c>
      <c r="L37" s="63"/>
      <c r="M37" s="64"/>
      <c r="N37" s="72" t="s">
        <v>102</v>
      </c>
      <c r="O37" s="63"/>
      <c r="P37" s="63"/>
      <c r="Q37" s="63"/>
      <c r="R37" s="73" t="s">
        <v>103</v>
      </c>
      <c r="S37" s="72" t="s">
        <v>79</v>
      </c>
      <c r="T37" s="63"/>
      <c r="U37" s="63"/>
      <c r="V37" s="63"/>
      <c r="W37" s="63"/>
      <c r="X37" s="64"/>
      <c r="Y37" s="72" t="s">
        <v>80</v>
      </c>
      <c r="Z37" s="63"/>
      <c r="AA37" s="63"/>
      <c r="AB37" s="63"/>
      <c r="AC37" s="63"/>
      <c r="AD37" s="64"/>
      <c r="AE37" s="49"/>
      <c r="AF37" s="49"/>
      <c r="AG37" s="49"/>
      <c r="AH37" s="49"/>
      <c r="AI37" s="49"/>
      <c r="AJ37" s="49"/>
      <c r="AK37" s="49"/>
      <c r="AL37" s="49"/>
      <c r="AM37" s="49"/>
      <c r="AN37" s="49"/>
      <c r="AO37" s="49"/>
    </row>
    <row r="38" spans="1:41" ht="51">
      <c r="A38" s="57"/>
      <c r="B38" s="58" t="s">
        <v>51</v>
      </c>
      <c r="C38" s="59" t="s">
        <v>104</v>
      </c>
      <c r="D38" s="59" t="s">
        <v>82</v>
      </c>
      <c r="E38" s="59" t="s">
        <v>83</v>
      </c>
      <c r="F38" s="59" t="s">
        <v>84</v>
      </c>
      <c r="G38" s="59" t="s">
        <v>85</v>
      </c>
      <c r="H38" s="59" t="s">
        <v>86</v>
      </c>
      <c r="I38" s="59" t="s">
        <v>105</v>
      </c>
      <c r="J38" s="59" t="s">
        <v>106</v>
      </c>
      <c r="K38" s="59" t="s">
        <v>89</v>
      </c>
      <c r="L38" s="59" t="s">
        <v>90</v>
      </c>
      <c r="M38" s="59" t="s">
        <v>91</v>
      </c>
      <c r="N38" s="59" t="s">
        <v>46</v>
      </c>
      <c r="O38" s="59" t="s">
        <v>107</v>
      </c>
      <c r="P38" s="59" t="s">
        <v>108</v>
      </c>
      <c r="Q38" s="59" t="s">
        <v>109</v>
      </c>
      <c r="R38" s="59" t="s">
        <v>110</v>
      </c>
      <c r="S38" s="59" t="s">
        <v>92</v>
      </c>
      <c r="T38" s="59" t="s">
        <v>93</v>
      </c>
      <c r="U38" s="59" t="s">
        <v>56</v>
      </c>
      <c r="V38" s="59" t="s">
        <v>94</v>
      </c>
      <c r="W38" s="59" t="s">
        <v>95</v>
      </c>
      <c r="X38" s="59" t="s">
        <v>96</v>
      </c>
      <c r="Y38" s="59" t="s">
        <v>97</v>
      </c>
      <c r="Z38" s="59" t="s">
        <v>54</v>
      </c>
      <c r="AA38" s="59" t="s">
        <v>55</v>
      </c>
      <c r="AB38" s="59" t="s">
        <v>98</v>
      </c>
      <c r="AC38" s="59" t="s">
        <v>99</v>
      </c>
      <c r="AD38" s="59" t="s">
        <v>100</v>
      </c>
      <c r="AE38" s="49"/>
      <c r="AF38" s="49"/>
      <c r="AG38" s="49"/>
      <c r="AH38" s="49"/>
      <c r="AI38" s="49"/>
      <c r="AJ38" s="49"/>
      <c r="AK38" s="49"/>
      <c r="AL38" s="49"/>
      <c r="AM38" s="49"/>
      <c r="AN38" s="49"/>
      <c r="AO38" s="49"/>
    </row>
    <row r="39" spans="2:41" ht="12.75" customHeight="1">
      <c r="B39" t="s">
        <v>353</v>
      </c>
      <c r="C39" s="49">
        <v>70</v>
      </c>
      <c r="D39" s="49">
        <v>1132.5146708549364</v>
      </c>
      <c r="E39" s="49">
        <v>231.48</v>
      </c>
      <c r="F39" s="49">
        <v>0</v>
      </c>
      <c r="G39" s="49">
        <v>0</v>
      </c>
      <c r="H39" s="49"/>
      <c r="I39" s="49">
        <v>0.178</v>
      </c>
      <c r="J39" s="49">
        <v>0.3659999966621399</v>
      </c>
      <c r="K39" s="49">
        <v>1218.8689145076253</v>
      </c>
      <c r="L39" s="49">
        <v>0.28609744153800276</v>
      </c>
      <c r="M39" s="49">
        <v>0.7816870212554932</v>
      </c>
      <c r="N39" s="49">
        <v>231.4751493925745</v>
      </c>
      <c r="O39" s="49">
        <v>0</v>
      </c>
      <c r="P39" s="49">
        <v>0</v>
      </c>
      <c r="Q39" s="49">
        <v>231.4751434326172</v>
      </c>
      <c r="R39" s="49">
        <v>9.385183949228555</v>
      </c>
      <c r="S39" s="49">
        <v>542.8465875879974</v>
      </c>
      <c r="T39" s="49">
        <v>17.367599487304688</v>
      </c>
      <c r="U39" s="49">
        <v>86.14310455322266</v>
      </c>
      <c r="V39" s="49">
        <v>645.5697391938257</v>
      </c>
      <c r="W39" s="49">
        <v>231.4751493925745</v>
      </c>
      <c r="X39" s="48">
        <v>2.7889375636559586</v>
      </c>
      <c r="Y39" s="60">
        <v>316.3496398925781</v>
      </c>
      <c r="Z39" s="60">
        <v>0</v>
      </c>
      <c r="AA39" s="60">
        <v>0</v>
      </c>
      <c r="AB39" s="60">
        <v>961.9193725585938</v>
      </c>
      <c r="AC39" s="60">
        <v>231.4751434326172</v>
      </c>
      <c r="AD39" s="48">
        <v>4.155605316162109</v>
      </c>
      <c r="AE39" s="60"/>
      <c r="AF39" s="60"/>
      <c r="AG39" s="60"/>
      <c r="AH39" s="60"/>
      <c r="AI39" s="60"/>
      <c r="AJ39" s="60"/>
      <c r="AK39" s="60"/>
      <c r="AL39" s="49"/>
      <c r="AM39" s="49"/>
      <c r="AN39" s="49"/>
      <c r="AO39" s="49"/>
    </row>
    <row r="40" spans="2:41" ht="12.75" customHeight="1">
      <c r="B40" t="s">
        <v>179</v>
      </c>
      <c r="C40" s="49">
        <v>70</v>
      </c>
      <c r="D40" s="49">
        <v>827.5177789935424</v>
      </c>
      <c r="E40" s="49">
        <v>179.66</v>
      </c>
      <c r="F40" s="49">
        <v>0</v>
      </c>
      <c r="G40" s="49">
        <v>0</v>
      </c>
      <c r="H40" s="49"/>
      <c r="I40" s="49">
        <v>0.178</v>
      </c>
      <c r="J40" s="49">
        <v>0.3659999668598175</v>
      </c>
      <c r="K40" s="49">
        <v>890.6160096417999</v>
      </c>
      <c r="L40" s="49">
        <v>0.20904869975639215</v>
      </c>
      <c r="M40" s="49">
        <v>0.5711713433265686</v>
      </c>
      <c r="N40" s="49">
        <v>179.6605383362817</v>
      </c>
      <c r="O40" s="49">
        <v>0</v>
      </c>
      <c r="P40" s="49">
        <v>0</v>
      </c>
      <c r="Q40" s="49">
        <v>179.66053771972656</v>
      </c>
      <c r="R40" s="49">
        <v>9.969138176595733</v>
      </c>
      <c r="S40" s="49">
        <v>396.65287704920746</v>
      </c>
      <c r="T40" s="49">
        <v>12.690340995788574</v>
      </c>
      <c r="U40" s="49">
        <v>62.94396209716797</v>
      </c>
      <c r="V40" s="49">
        <v>471.7117230111674</v>
      </c>
      <c r="W40" s="49">
        <v>179.6605383362817</v>
      </c>
      <c r="X40" s="48">
        <v>2.625572245187396</v>
      </c>
      <c r="Y40" s="60">
        <v>231.15377807617188</v>
      </c>
      <c r="Z40" s="60">
        <v>0</v>
      </c>
      <c r="AA40" s="60">
        <v>0</v>
      </c>
      <c r="AB40" s="60">
        <v>702.865478515625</v>
      </c>
      <c r="AC40" s="60">
        <v>179.66053771972656</v>
      </c>
      <c r="AD40" s="48">
        <v>3.9121861457824707</v>
      </c>
      <c r="AE40" s="60"/>
      <c r="AF40" s="60"/>
      <c r="AG40" s="60"/>
      <c r="AH40" s="60"/>
      <c r="AI40" s="60"/>
      <c r="AJ40" s="60"/>
      <c r="AK40" s="60"/>
      <c r="AL40" s="49"/>
      <c r="AM40" s="49"/>
      <c r="AN40" s="49"/>
      <c r="AO40" s="49"/>
    </row>
    <row r="41" spans="2:41" ht="12.75" customHeight="1">
      <c r="B41" t="s">
        <v>357</v>
      </c>
      <c r="C41" s="49">
        <v>70</v>
      </c>
      <c r="D41" s="49">
        <v>575.0136793169822</v>
      </c>
      <c r="E41" s="49">
        <v>506.88</v>
      </c>
      <c r="F41" s="49">
        <v>0</v>
      </c>
      <c r="G41" s="49">
        <v>0</v>
      </c>
      <c r="H41" s="49"/>
      <c r="I41" s="49">
        <v>0.178</v>
      </c>
      <c r="J41" s="49">
        <v>0.3659999966621399</v>
      </c>
      <c r="K41" s="49">
        <v>618.8584723649021</v>
      </c>
      <c r="L41" s="49">
        <v>0.1452607606202165</v>
      </c>
      <c r="M41" s="49">
        <v>0.39688733220100403</v>
      </c>
      <c r="N41" s="49">
        <v>506.87830815858496</v>
      </c>
      <c r="O41" s="49">
        <v>0</v>
      </c>
      <c r="P41" s="49">
        <v>0</v>
      </c>
      <c r="Q41" s="49">
        <v>506.8782958984375</v>
      </c>
      <c r="R41" s="49">
        <v>40.47694957202328</v>
      </c>
      <c r="S41" s="49">
        <v>275.6204592016494</v>
      </c>
      <c r="T41" s="49">
        <v>8.818081855773926</v>
      </c>
      <c r="U41" s="49">
        <v>43.73760223388672</v>
      </c>
      <c r="V41" s="49">
        <v>327.7762780858956</v>
      </c>
      <c r="W41" s="49">
        <v>506.87830815858496</v>
      </c>
      <c r="X41" s="69">
        <v>0.6466567474087797</v>
      </c>
      <c r="Y41" s="60">
        <v>160.62086486816406</v>
      </c>
      <c r="Z41" s="60">
        <v>0</v>
      </c>
      <c r="AA41" s="60">
        <v>0</v>
      </c>
      <c r="AB41" s="60">
        <v>488.39715576171875</v>
      </c>
      <c r="AC41" s="60">
        <v>506.8782958984375</v>
      </c>
      <c r="AD41" s="69">
        <v>0.9635393023490906</v>
      </c>
      <c r="AE41" s="60"/>
      <c r="AF41" s="60"/>
      <c r="AG41" s="60"/>
      <c r="AH41" s="60"/>
      <c r="AI41" s="60"/>
      <c r="AJ41" s="60"/>
      <c r="AK41" s="60"/>
      <c r="AL41" s="49"/>
      <c r="AM41" s="49"/>
      <c r="AN41" s="49"/>
      <c r="AO41" s="49"/>
    </row>
    <row r="42" spans="2:41" ht="12.75" customHeight="1">
      <c r="B42" t="s">
        <v>184</v>
      </c>
      <c r="C42" s="49">
        <v>70</v>
      </c>
      <c r="D42" s="49">
        <v>419.28253122380374</v>
      </c>
      <c r="E42" s="49">
        <v>411.18</v>
      </c>
      <c r="F42" s="49">
        <v>0</v>
      </c>
      <c r="G42" s="49">
        <v>0</v>
      </c>
      <c r="H42" s="49"/>
      <c r="I42" s="49">
        <v>0.178</v>
      </c>
      <c r="J42" s="49">
        <v>0.3659999668598175</v>
      </c>
      <c r="K42" s="49">
        <v>451.25282422961874</v>
      </c>
      <c r="L42" s="49">
        <v>0.10591973998372434</v>
      </c>
      <c r="M42" s="49">
        <v>0.289398193359375</v>
      </c>
      <c r="N42" s="49">
        <v>411.179387738181</v>
      </c>
      <c r="O42" s="49">
        <v>0</v>
      </c>
      <c r="P42" s="49">
        <v>0</v>
      </c>
      <c r="Q42" s="49">
        <v>411.17938232421875</v>
      </c>
      <c r="R42" s="49">
        <v>45.030505552726446</v>
      </c>
      <c r="S42" s="49">
        <v>200.97407757047517</v>
      </c>
      <c r="T42" s="49">
        <v>6.429877758026123</v>
      </c>
      <c r="U42" s="49">
        <v>31.892127990722656</v>
      </c>
      <c r="V42" s="49">
        <v>239.00451376587515</v>
      </c>
      <c r="W42" s="49">
        <v>411.179387738181</v>
      </c>
      <c r="X42" s="69">
        <v>0.5812657951571775</v>
      </c>
      <c r="Y42" s="60">
        <v>117.11981201171875</v>
      </c>
      <c r="Z42" s="60">
        <v>0</v>
      </c>
      <c r="AA42" s="60">
        <v>0</v>
      </c>
      <c r="AB42" s="60">
        <v>356.12432861328125</v>
      </c>
      <c r="AC42" s="60">
        <v>411.17938232421875</v>
      </c>
      <c r="AD42" s="69">
        <v>0.8661045432090759</v>
      </c>
      <c r="AE42" s="60"/>
      <c r="AF42" s="60"/>
      <c r="AG42" s="60"/>
      <c r="AH42" s="60"/>
      <c r="AI42" s="60"/>
      <c r="AJ42" s="60"/>
      <c r="AK42" s="60"/>
      <c r="AL42" s="49"/>
      <c r="AM42" s="49"/>
      <c r="AN42" s="49"/>
      <c r="AO42" s="49"/>
    </row>
    <row r="43" spans="2:41" ht="12.75" customHeight="1">
      <c r="B43" t="s">
        <v>339</v>
      </c>
      <c r="C43" s="49">
        <v>70</v>
      </c>
      <c r="D43" s="49">
        <v>818.5250037087881</v>
      </c>
      <c r="E43" s="49">
        <v>934.23</v>
      </c>
      <c r="F43" s="49">
        <v>0</v>
      </c>
      <c r="G43" s="49">
        <v>0</v>
      </c>
      <c r="H43" s="49"/>
      <c r="I43" s="49">
        <v>0.178</v>
      </c>
      <c r="J43" s="49">
        <v>0.3659999966621399</v>
      </c>
      <c r="K43" s="49">
        <v>880.9375352415832</v>
      </c>
      <c r="L43" s="49">
        <v>0.20677693227513547</v>
      </c>
      <c r="M43" s="49">
        <v>0.5649642944335938</v>
      </c>
      <c r="N43" s="49">
        <v>934.2346993486434</v>
      </c>
      <c r="O43" s="49">
        <v>0</v>
      </c>
      <c r="P43" s="49">
        <v>0</v>
      </c>
      <c r="Q43" s="49">
        <v>934.2346801757812</v>
      </c>
      <c r="R43" s="49">
        <v>52.40905236875826</v>
      </c>
      <c r="S43" s="49">
        <v>392.3423833294304</v>
      </c>
      <c r="T43" s="49">
        <v>12.552433013916016</v>
      </c>
      <c r="U43" s="49">
        <v>62.259944915771484</v>
      </c>
      <c r="V43" s="49">
        <v>466.58555762357366</v>
      </c>
      <c r="W43" s="49">
        <v>934.2346993486434</v>
      </c>
      <c r="X43" s="69">
        <v>0.4994307725337982</v>
      </c>
      <c r="Y43" s="60">
        <v>228.64183044433594</v>
      </c>
      <c r="Z43" s="60">
        <v>0</v>
      </c>
      <c r="AA43" s="60">
        <v>0</v>
      </c>
      <c r="AB43" s="60">
        <v>695.2274169921875</v>
      </c>
      <c r="AC43" s="60">
        <v>934.2346801757812</v>
      </c>
      <c r="AD43" s="69">
        <v>0.7441678643226624</v>
      </c>
      <c r="AE43" s="60"/>
      <c r="AF43" s="60"/>
      <c r="AG43" s="60"/>
      <c r="AH43" s="60"/>
      <c r="AI43" s="60"/>
      <c r="AJ43" s="60"/>
      <c r="AK43" s="60"/>
      <c r="AL43" s="49"/>
      <c r="AM43" s="49"/>
      <c r="AN43" s="49"/>
      <c r="AO43" s="49"/>
    </row>
    <row r="44" spans="2:41" ht="12.75" customHeight="1">
      <c r="B44" t="s">
        <v>182</v>
      </c>
      <c r="C44" s="49">
        <v>70</v>
      </c>
      <c r="D44" s="49">
        <v>812.1537300611271</v>
      </c>
      <c r="E44" s="49">
        <v>998.11</v>
      </c>
      <c r="F44" s="49">
        <v>0</v>
      </c>
      <c r="G44" s="49">
        <v>0</v>
      </c>
      <c r="H44" s="49"/>
      <c r="I44" s="49">
        <v>0.178</v>
      </c>
      <c r="J44" s="49">
        <v>0.3659999966621399</v>
      </c>
      <c r="K44" s="49">
        <v>874.080451978288</v>
      </c>
      <c r="L44" s="49">
        <v>0.20516741220723358</v>
      </c>
      <c r="M44" s="49">
        <v>0.5605667233467102</v>
      </c>
      <c r="N44" s="49">
        <v>998.1140129793237</v>
      </c>
      <c r="O44" s="49">
        <v>0</v>
      </c>
      <c r="P44" s="49">
        <v>0</v>
      </c>
      <c r="Q44" s="49">
        <v>998.114013671875</v>
      </c>
      <c r="R44" s="49">
        <v>56.4318350937126</v>
      </c>
      <c r="S44" s="49">
        <v>389.2884501246511</v>
      </c>
      <c r="T44" s="49">
        <v>12.454727172851562</v>
      </c>
      <c r="U44" s="49">
        <v>61.77531814575195</v>
      </c>
      <c r="V44" s="49">
        <v>462.95372202102203</v>
      </c>
      <c r="W44" s="49">
        <v>998.1140129793237</v>
      </c>
      <c r="X44" s="69">
        <v>0.4638284965453263</v>
      </c>
      <c r="Y44" s="60">
        <v>226.86209106445312</v>
      </c>
      <c r="Z44" s="60">
        <v>0</v>
      </c>
      <c r="AA44" s="60">
        <v>0</v>
      </c>
      <c r="AB44" s="60">
        <v>689.8157958984375</v>
      </c>
      <c r="AC44" s="60">
        <v>998.114013671875</v>
      </c>
      <c r="AD44" s="69">
        <v>0.6911192536354065</v>
      </c>
      <c r="AE44" s="60"/>
      <c r="AF44" s="60"/>
      <c r="AG44" s="60"/>
      <c r="AH44" s="60"/>
      <c r="AI44" s="60"/>
      <c r="AJ44" s="60"/>
      <c r="AK44" s="60"/>
      <c r="AL44" s="49"/>
      <c r="AM44" s="49"/>
      <c r="AN44" s="49"/>
      <c r="AO44" s="49"/>
    </row>
    <row r="45" spans="2:41" ht="12.75" customHeight="1">
      <c r="B45" t="s">
        <v>332</v>
      </c>
      <c r="C45" s="49">
        <v>70</v>
      </c>
      <c r="D45" s="49">
        <v>220.3490067389066</v>
      </c>
      <c r="E45" s="49">
        <v>305.91</v>
      </c>
      <c r="F45" s="49">
        <v>0</v>
      </c>
      <c r="G45" s="49">
        <v>0</v>
      </c>
      <c r="H45" s="49"/>
      <c r="I45" s="49">
        <v>0.178</v>
      </c>
      <c r="J45" s="49">
        <v>0.3659999966621399</v>
      </c>
      <c r="K45" s="49">
        <v>237.15061850274822</v>
      </c>
      <c r="L45" s="49">
        <v>0.05566487454493757</v>
      </c>
      <c r="M45" s="49">
        <v>0.15208981931209564</v>
      </c>
      <c r="N45" s="49">
        <v>305.91376527641734</v>
      </c>
      <c r="O45" s="49">
        <v>0</v>
      </c>
      <c r="P45" s="49">
        <v>0</v>
      </c>
      <c r="Q45" s="49">
        <v>305.91375732421875</v>
      </c>
      <c r="R45" s="49">
        <v>63.74852929312167</v>
      </c>
      <c r="S45" s="49">
        <v>105.61956455391669</v>
      </c>
      <c r="T45" s="49">
        <v>3.3791468143463135</v>
      </c>
      <c r="U45" s="49">
        <v>16.76053237915039</v>
      </c>
      <c r="V45" s="49">
        <v>125.60601267062485</v>
      </c>
      <c r="W45" s="49">
        <v>305.91376527641734</v>
      </c>
      <c r="X45" s="69">
        <v>0.41059287592740346</v>
      </c>
      <c r="Y45" s="60">
        <v>61.550941467285156</v>
      </c>
      <c r="Z45" s="60">
        <v>0</v>
      </c>
      <c r="AA45" s="60">
        <v>0</v>
      </c>
      <c r="AB45" s="60">
        <v>187.15696716308594</v>
      </c>
      <c r="AC45" s="60">
        <v>305.91375732421875</v>
      </c>
      <c r="AD45" s="69">
        <v>0.611796498298645</v>
      </c>
      <c r="AE45" s="60"/>
      <c r="AF45" s="60"/>
      <c r="AG45" s="60"/>
      <c r="AH45" s="60"/>
      <c r="AI45" s="60"/>
      <c r="AJ45" s="60"/>
      <c r="AK45" s="60"/>
      <c r="AL45" s="49"/>
      <c r="AM45" s="49"/>
      <c r="AN45" s="49"/>
      <c r="AO45" s="49"/>
    </row>
    <row r="46" spans="2:41" ht="12.75" customHeight="1">
      <c r="B46" t="s">
        <v>349</v>
      </c>
      <c r="C46" s="49">
        <v>70</v>
      </c>
      <c r="D46" s="49">
        <v>774.0850405887613</v>
      </c>
      <c r="E46" s="49">
        <v>1319.41</v>
      </c>
      <c r="F46" s="49">
        <v>0</v>
      </c>
      <c r="G46" s="49">
        <v>0</v>
      </c>
      <c r="H46" s="49"/>
      <c r="I46" s="49">
        <v>0.17800000000000002</v>
      </c>
      <c r="J46" s="49">
        <v>0.3659999966621399</v>
      </c>
      <c r="K46" s="49">
        <v>833.1090249336543</v>
      </c>
      <c r="L46" s="49">
        <v>0.19555044658106058</v>
      </c>
      <c r="M46" s="49">
        <v>0.5342908501625061</v>
      </c>
      <c r="N46" s="49">
        <v>1319.4085815377239</v>
      </c>
      <c r="O46" s="49">
        <v>0</v>
      </c>
      <c r="P46" s="49">
        <v>0</v>
      </c>
      <c r="Q46" s="49">
        <v>1319.4085693359375</v>
      </c>
      <c r="R46" s="49">
        <v>78.26595940826991</v>
      </c>
      <c r="S46" s="49">
        <v>371.04104132206066</v>
      </c>
      <c r="T46" s="49">
        <v>11.870926856994629</v>
      </c>
      <c r="U46" s="49">
        <v>58.879676818847656</v>
      </c>
      <c r="V46" s="49">
        <v>441.25334519287503</v>
      </c>
      <c r="W46" s="49">
        <v>1319.4085815377239</v>
      </c>
      <c r="X46" s="69">
        <v>0.33443267791892783</v>
      </c>
      <c r="Y46" s="60">
        <v>216.2281951904297</v>
      </c>
      <c r="Z46" s="60">
        <v>0</v>
      </c>
      <c r="AA46" s="60">
        <v>0</v>
      </c>
      <c r="AB46" s="60">
        <v>657.4815673828125</v>
      </c>
      <c r="AC46" s="60">
        <v>1319.4085693359375</v>
      </c>
      <c r="AD46" s="69">
        <v>0.49831536412239075</v>
      </c>
      <c r="AE46" s="60"/>
      <c r="AF46" s="60"/>
      <c r="AG46" s="60"/>
      <c r="AH46" s="60"/>
      <c r="AI46" s="60"/>
      <c r="AJ46" s="60"/>
      <c r="AK46" s="60"/>
      <c r="AL46" s="49"/>
      <c r="AM46" s="49"/>
      <c r="AN46" s="49"/>
      <c r="AO46" s="49"/>
    </row>
    <row r="47" spans="2:41" ht="12.75" customHeight="1">
      <c r="B47" t="s">
        <v>188</v>
      </c>
      <c r="C47" s="49">
        <v>70</v>
      </c>
      <c r="D47" s="49">
        <v>853.3393385153631</v>
      </c>
      <c r="E47" s="49">
        <v>1805.51</v>
      </c>
      <c r="F47" s="49">
        <v>0</v>
      </c>
      <c r="G47" s="49">
        <v>0</v>
      </c>
      <c r="H47" s="49"/>
      <c r="I47" s="49">
        <v>0.178</v>
      </c>
      <c r="J47" s="49">
        <v>0.3659999966621399</v>
      </c>
      <c r="K47" s="49">
        <v>918.4064630771595</v>
      </c>
      <c r="L47" s="49">
        <v>0.21557177826992463</v>
      </c>
      <c r="M47" s="49">
        <v>0.5889939069747925</v>
      </c>
      <c r="N47" s="49">
        <v>1805.5064852621497</v>
      </c>
      <c r="O47" s="49">
        <v>0</v>
      </c>
      <c r="P47" s="49">
        <v>0</v>
      </c>
      <c r="Q47" s="49">
        <v>1805.5064697265625</v>
      </c>
      <c r="R47" s="49">
        <v>97.15374781860676</v>
      </c>
      <c r="S47" s="49">
        <v>409.02988710774906</v>
      </c>
      <c r="T47" s="49">
        <v>13.086325645446777</v>
      </c>
      <c r="U47" s="49">
        <v>64.90804290771484</v>
      </c>
      <c r="V47" s="49">
        <v>486.4308422474471</v>
      </c>
      <c r="W47" s="49">
        <v>1805.5064852621497</v>
      </c>
      <c r="X47" s="69">
        <v>0.2694151730930061</v>
      </c>
      <c r="Y47" s="60">
        <v>238.36659240722656</v>
      </c>
      <c r="Z47" s="60">
        <v>0</v>
      </c>
      <c r="AA47" s="60">
        <v>0</v>
      </c>
      <c r="AB47" s="60">
        <v>724.7974243164062</v>
      </c>
      <c r="AC47" s="60">
        <v>1805.5064697265625</v>
      </c>
      <c r="AD47" s="69">
        <v>0.4014371931552887</v>
      </c>
      <c r="AE47" s="60"/>
      <c r="AF47" s="60"/>
      <c r="AG47" s="60"/>
      <c r="AH47" s="60"/>
      <c r="AI47" s="60"/>
      <c r="AJ47" s="60"/>
      <c r="AK47" s="60"/>
      <c r="AL47" s="49"/>
      <c r="AM47" s="49"/>
      <c r="AN47" s="49"/>
      <c r="AO47" s="49"/>
    </row>
    <row r="48" spans="2:41" ht="12.75" customHeight="1">
      <c r="B48" t="s">
        <v>186</v>
      </c>
      <c r="C48" s="49">
        <v>70</v>
      </c>
      <c r="D48" s="49">
        <v>106.32785818934826</v>
      </c>
      <c r="E48" s="49">
        <v>236.21</v>
      </c>
      <c r="F48" s="49">
        <v>0</v>
      </c>
      <c r="G48" s="49">
        <v>0</v>
      </c>
      <c r="H48" s="49"/>
      <c r="I48" s="49">
        <v>0.178</v>
      </c>
      <c r="J48" s="49">
        <v>0.3659999966621399</v>
      </c>
      <c r="K48" s="49">
        <v>114.43535737628606</v>
      </c>
      <c r="L48" s="49">
        <v>0.026860692382222235</v>
      </c>
      <c r="M48" s="49">
        <v>0.07338987290859222</v>
      </c>
      <c r="N48" s="49">
        <v>236.20945040278798</v>
      </c>
      <c r="O48" s="49">
        <v>0</v>
      </c>
      <c r="P48" s="49">
        <v>0</v>
      </c>
      <c r="Q48" s="49">
        <v>236.20945739746094</v>
      </c>
      <c r="R48" s="49">
        <v>102.0075877538801</v>
      </c>
      <c r="S48" s="49">
        <v>50.965975513637915</v>
      </c>
      <c r="T48" s="49">
        <v>1.63058340549469</v>
      </c>
      <c r="U48" s="49">
        <v>8.087677001953125</v>
      </c>
      <c r="V48" s="49">
        <v>60.61029538932207</v>
      </c>
      <c r="W48" s="49">
        <v>236.20945040278798</v>
      </c>
      <c r="X48" s="69">
        <v>0.25659555655359456</v>
      </c>
      <c r="Y48" s="60">
        <v>29.70097541809082</v>
      </c>
      <c r="Z48" s="60">
        <v>0</v>
      </c>
      <c r="AA48" s="60">
        <v>0</v>
      </c>
      <c r="AB48" s="60">
        <v>90.31127166748047</v>
      </c>
      <c r="AC48" s="60">
        <v>236.20945739746094</v>
      </c>
      <c r="AD48" s="69">
        <v>0.3823355436325073</v>
      </c>
      <c r="AE48" s="60"/>
      <c r="AF48" s="60"/>
      <c r="AG48" s="60"/>
      <c r="AH48" s="60"/>
      <c r="AI48" s="60"/>
      <c r="AJ48" s="60"/>
      <c r="AK48" s="60"/>
      <c r="AL48" s="49"/>
      <c r="AM48" s="49"/>
      <c r="AN48" s="49"/>
      <c r="AO48" s="49"/>
    </row>
    <row r="49" spans="2:41" ht="12.75" customHeight="1">
      <c r="B49" t="s">
        <v>350</v>
      </c>
      <c r="C49" s="49">
        <v>70</v>
      </c>
      <c r="D49" s="49">
        <v>93.77710518611639</v>
      </c>
      <c r="E49" s="49">
        <v>925.9</v>
      </c>
      <c r="F49" s="49">
        <v>0</v>
      </c>
      <c r="G49" s="49">
        <v>0</v>
      </c>
      <c r="H49" s="49"/>
      <c r="I49" s="49">
        <v>0.178</v>
      </c>
      <c r="J49" s="49">
        <v>0.3660000264644623</v>
      </c>
      <c r="K49" s="49">
        <v>100.92760945655776</v>
      </c>
      <c r="L49" s="49">
        <v>0.02369010358897562</v>
      </c>
      <c r="M49" s="49">
        <v>0.0647270604968071</v>
      </c>
      <c r="N49" s="49">
        <v>925.9007975703408</v>
      </c>
      <c r="O49" s="49">
        <v>0</v>
      </c>
      <c r="P49" s="49">
        <v>0</v>
      </c>
      <c r="Q49" s="49">
        <v>925.9008178710938</v>
      </c>
      <c r="R49" s="49">
        <v>453.36700722204046</v>
      </c>
      <c r="S49" s="49">
        <v>44.950041579359464</v>
      </c>
      <c r="T49" s="49">
        <v>1.4381122589111328</v>
      </c>
      <c r="U49" s="49">
        <v>7.133020401000977</v>
      </c>
      <c r="V49" s="49">
        <v>53.4559614724873</v>
      </c>
      <c r="W49" s="49">
        <v>925.9007975703408</v>
      </c>
      <c r="X49" s="69">
        <v>0.05773400521174758</v>
      </c>
      <c r="Y49" s="60">
        <v>26.195110321044922</v>
      </c>
      <c r="Z49" s="60">
        <v>0</v>
      </c>
      <c r="AA49" s="60">
        <v>0</v>
      </c>
      <c r="AB49" s="60">
        <v>79.65106964111328</v>
      </c>
      <c r="AC49" s="60">
        <v>925.9008178710938</v>
      </c>
      <c r="AD49" s="69">
        <v>0.08602549135684967</v>
      </c>
      <c r="AE49" s="60"/>
      <c r="AF49" s="60"/>
      <c r="AG49" s="60"/>
      <c r="AH49" s="60"/>
      <c r="AI49" s="60"/>
      <c r="AJ49" s="60"/>
      <c r="AK49" s="60"/>
      <c r="AL49" s="49"/>
      <c r="AM49" s="49"/>
      <c r="AN49" s="49"/>
      <c r="AO49" s="49"/>
    </row>
    <row r="50" spans="2:41" ht="12.75" customHeight="1">
      <c r="B50" t="s">
        <v>185</v>
      </c>
      <c r="C50" s="49">
        <v>70</v>
      </c>
      <c r="D50" s="49">
        <v>30.227869909193032</v>
      </c>
      <c r="E50" s="49">
        <v>1066.97</v>
      </c>
      <c r="F50" s="49">
        <v>0</v>
      </c>
      <c r="G50" s="49">
        <v>0</v>
      </c>
      <c r="H50" s="49"/>
      <c r="I50" s="49">
        <v>0.17799999999999996</v>
      </c>
      <c r="J50" s="49">
        <v>0.3659999966621399</v>
      </c>
      <c r="K50" s="49">
        <v>32.532744989769</v>
      </c>
      <c r="L50" s="49">
        <v>0.007636206811904022</v>
      </c>
      <c r="M50" s="49">
        <v>0.020863953977823257</v>
      </c>
      <c r="N50" s="49">
        <v>1066.9675276714079</v>
      </c>
      <c r="O50" s="49">
        <v>0</v>
      </c>
      <c r="P50" s="49">
        <v>0</v>
      </c>
      <c r="Q50" s="49">
        <v>1066.967529296875</v>
      </c>
      <c r="R50" s="49">
        <v>1620.7868920360145</v>
      </c>
      <c r="S50" s="49">
        <v>14.489080320586142</v>
      </c>
      <c r="T50" s="49">
        <v>0.4635573923587799</v>
      </c>
      <c r="U50" s="49">
        <v>2.2992396354675293</v>
      </c>
      <c r="V50" s="49">
        <v>17.230856832874984</v>
      </c>
      <c r="W50" s="49">
        <v>1066.9675276714079</v>
      </c>
      <c r="X50" s="69">
        <v>0.01614937323395426</v>
      </c>
      <c r="Y50" s="60">
        <v>8.443666458129883</v>
      </c>
      <c r="Z50" s="60">
        <v>0</v>
      </c>
      <c r="AA50" s="60">
        <v>0</v>
      </c>
      <c r="AB50" s="60">
        <v>25.674522399902344</v>
      </c>
      <c r="AC50" s="60">
        <v>1066.967529296875</v>
      </c>
      <c r="AD50" s="69">
        <v>0.024063076823949814</v>
      </c>
      <c r="AE50" s="60"/>
      <c r="AF50" s="60"/>
      <c r="AG50" s="60"/>
      <c r="AH50" s="60"/>
      <c r="AI50" s="60"/>
      <c r="AJ50" s="60"/>
      <c r="AK50" s="60"/>
      <c r="AL50" s="49"/>
      <c r="AM50" s="49"/>
      <c r="AN50" s="49"/>
      <c r="AO50" s="49"/>
    </row>
    <row r="51" spans="3:41" ht="12.75" customHeight="1">
      <c r="C51" s="49"/>
      <c r="D51" s="49"/>
      <c r="E51" s="49"/>
      <c r="F51" s="49"/>
      <c r="G51" s="49"/>
      <c r="H51" s="49"/>
      <c r="I51" s="49"/>
      <c r="J51" s="49"/>
      <c r="K51" s="49"/>
      <c r="L51" s="49"/>
      <c r="M51" s="49"/>
      <c r="S51" s="49"/>
      <c r="T51" s="49"/>
      <c r="U51" s="49"/>
      <c r="W51" s="49"/>
      <c r="X51" s="60"/>
      <c r="Y51" s="60"/>
      <c r="Z51" s="60"/>
      <c r="AA51" s="60"/>
      <c r="AB51" s="60"/>
      <c r="AC51" s="60"/>
      <c r="AD51" s="60"/>
      <c r="AE51" s="60"/>
      <c r="AF51" s="60"/>
      <c r="AG51" s="60"/>
      <c r="AH51" s="60"/>
      <c r="AI51" s="60"/>
      <c r="AJ51" s="60"/>
      <c r="AK51" s="60"/>
      <c r="AL51" s="49"/>
      <c r="AM51" s="49"/>
      <c r="AN51" s="49"/>
      <c r="AO51" s="49"/>
    </row>
    <row r="52" spans="3:41" ht="12.75" customHeight="1" thickBot="1">
      <c r="C52" s="49"/>
      <c r="D52" s="49"/>
      <c r="E52" s="49"/>
      <c r="F52" s="49"/>
      <c r="G52" s="49"/>
      <c r="H52" s="49"/>
      <c r="I52" s="49"/>
      <c r="J52" s="49"/>
      <c r="K52" s="49"/>
      <c r="L52" s="49"/>
      <c r="M52" s="49"/>
      <c r="S52" s="49"/>
      <c r="T52" s="49"/>
      <c r="U52" s="49"/>
      <c r="W52" s="49"/>
      <c r="X52" s="49"/>
      <c r="Y52" s="49"/>
      <c r="Z52" s="49"/>
      <c r="AA52" s="49"/>
      <c r="AB52" s="49"/>
      <c r="AC52" s="49"/>
      <c r="AD52" s="49"/>
      <c r="AE52" s="49"/>
      <c r="AF52" s="49"/>
      <c r="AG52" s="49"/>
      <c r="AH52" s="49"/>
      <c r="AI52" s="49"/>
      <c r="AJ52" s="49"/>
      <c r="AK52" s="49"/>
      <c r="AL52" s="49"/>
      <c r="AM52" s="49"/>
      <c r="AN52" s="49"/>
      <c r="AO52" s="49"/>
    </row>
    <row r="53" spans="1:41" ht="12.75" customHeight="1" thickBot="1">
      <c r="A53" s="65" t="s">
        <v>62</v>
      </c>
      <c r="B53" s="66"/>
      <c r="C53" s="67"/>
      <c r="D53" s="67"/>
      <c r="E53" s="67"/>
      <c r="F53" s="67"/>
      <c r="G53" s="67"/>
      <c r="H53" s="67"/>
      <c r="I53" s="67"/>
      <c r="J53" s="67"/>
      <c r="K53" s="68"/>
      <c r="L53" s="49"/>
      <c r="M53" s="49"/>
      <c r="S53" s="49"/>
      <c r="T53" s="49"/>
      <c r="U53" s="49"/>
      <c r="W53" s="49"/>
      <c r="X53" s="49"/>
      <c r="Y53" s="49"/>
      <c r="Z53" s="49"/>
      <c r="AA53" s="49"/>
      <c r="AB53" s="49"/>
      <c r="AC53" s="49"/>
      <c r="AD53" s="49"/>
      <c r="AE53" s="49"/>
      <c r="AF53" s="49"/>
      <c r="AG53" s="49"/>
      <c r="AH53" s="49"/>
      <c r="AI53" s="49"/>
      <c r="AJ53" s="49"/>
      <c r="AK53" s="49"/>
      <c r="AL53" s="49"/>
      <c r="AM53" s="49"/>
      <c r="AN53" s="49"/>
      <c r="AO53" s="49"/>
    </row>
    <row r="54" spans="1:41" ht="25.5">
      <c r="A54" s="57"/>
      <c r="B54" s="58" t="s">
        <v>63</v>
      </c>
      <c r="C54" s="59" t="s">
        <v>59</v>
      </c>
      <c r="D54" s="59" t="s">
        <v>60</v>
      </c>
      <c r="E54" s="59" t="s">
        <v>64</v>
      </c>
      <c r="F54" s="59" t="s">
        <v>65</v>
      </c>
      <c r="G54" s="59" t="s">
        <v>66</v>
      </c>
      <c r="H54" s="59" t="s">
        <v>67</v>
      </c>
      <c r="I54" s="59" t="s">
        <v>61</v>
      </c>
      <c r="J54" s="59" t="s">
        <v>50</v>
      </c>
      <c r="K54" s="59" t="s">
        <v>58</v>
      </c>
      <c r="L54" s="49"/>
      <c r="M54" s="49"/>
      <c r="S54" s="49"/>
      <c r="T54" s="49"/>
      <c r="U54" s="49"/>
      <c r="W54" s="49"/>
      <c r="X54" s="49"/>
      <c r="Y54" s="49"/>
      <c r="Z54" s="49"/>
      <c r="AA54" s="49"/>
      <c r="AB54" s="49"/>
      <c r="AC54" s="49"/>
      <c r="AD54" s="49"/>
      <c r="AE54" s="49"/>
      <c r="AF54" s="49"/>
      <c r="AG54" s="49"/>
      <c r="AH54" s="49"/>
      <c r="AI54" s="49"/>
      <c r="AJ54" s="49"/>
      <c r="AK54" s="49"/>
      <c r="AL54" s="49"/>
      <c r="AM54" s="49"/>
      <c r="AN54" s="49"/>
      <c r="AO54" s="49"/>
    </row>
    <row r="55" spans="2:41" ht="12.75" customHeight="1">
      <c r="B55" t="s">
        <v>68</v>
      </c>
      <c r="C55" s="49">
        <v>2109.4849241494253</v>
      </c>
      <c r="D55" s="49">
        <v>411.13568772885617</v>
      </c>
      <c r="E55" s="49">
        <v>411.14</v>
      </c>
      <c r="F55" s="49">
        <v>82.22712</v>
      </c>
      <c r="G55" s="49">
        <v>493.3628077288562</v>
      </c>
      <c r="H55" s="49">
        <v>2048.774169921875</v>
      </c>
      <c r="I55" s="49">
        <v>11.558072511461283</v>
      </c>
      <c r="J55" s="49">
        <v>939.4994646372049</v>
      </c>
      <c r="K55" s="48">
        <v>1.904277034910864</v>
      </c>
      <c r="L55" s="49"/>
      <c r="M55" s="49"/>
      <c r="S55" s="49"/>
      <c r="T55" s="49"/>
      <c r="U55" s="49"/>
      <c r="W55" s="49"/>
      <c r="X55" s="49"/>
      <c r="Y55" s="49"/>
      <c r="Z55" s="49"/>
      <c r="AA55" s="49"/>
      <c r="AB55" s="49"/>
      <c r="AC55" s="49"/>
      <c r="AD55" s="49"/>
      <c r="AE55" s="49"/>
      <c r="AF55" s="49"/>
      <c r="AG55" s="49"/>
      <c r="AH55" s="49"/>
      <c r="AI55" s="49"/>
      <c r="AJ55" s="49"/>
      <c r="AK55" s="49"/>
      <c r="AL55" s="49"/>
      <c r="AM55" s="49"/>
      <c r="AN55" s="49"/>
      <c r="AO55" s="49"/>
    </row>
    <row r="56" spans="2:41" ht="12.75" customHeight="1">
      <c r="B56" t="s">
        <v>69</v>
      </c>
      <c r="C56" s="49">
        <v>0</v>
      </c>
      <c r="D56" s="49">
        <v>0</v>
      </c>
      <c r="E56" s="49">
        <v>0</v>
      </c>
      <c r="F56" s="49">
        <v>0</v>
      </c>
      <c r="G56" s="49">
        <v>0</v>
      </c>
      <c r="H56" s="49">
        <v>0</v>
      </c>
      <c r="I56" s="49">
        <v>0</v>
      </c>
      <c r="J56" s="49">
        <v>3193.820425260721</v>
      </c>
      <c r="K56" s="69">
        <v>0</v>
      </c>
      <c r="L56" s="49"/>
      <c r="M56" s="49"/>
      <c r="S56" s="49"/>
      <c r="T56" s="49"/>
      <c r="U56" s="49"/>
      <c r="W56" s="49"/>
      <c r="X56" s="49"/>
      <c r="Y56" s="49"/>
      <c r="Z56" s="49"/>
      <c r="AA56" s="49"/>
      <c r="AB56" s="49"/>
      <c r="AC56" s="49"/>
      <c r="AD56" s="49"/>
      <c r="AE56" s="49"/>
      <c r="AF56" s="49"/>
      <c r="AG56" s="49"/>
      <c r="AH56" s="49"/>
      <c r="AI56" s="49"/>
      <c r="AJ56" s="49"/>
      <c r="AK56" s="49"/>
      <c r="AL56" s="49"/>
      <c r="AM56" s="49"/>
      <c r="AN56" s="49"/>
      <c r="AO56" s="49"/>
    </row>
    <row r="57" spans="2:41" ht="12.75" customHeight="1">
      <c r="B57" t="s">
        <v>70</v>
      </c>
      <c r="C57" s="49">
        <v>2158.86601159416</v>
      </c>
      <c r="D57" s="49">
        <v>2116.33935546875</v>
      </c>
      <c r="E57" s="49">
        <v>2116.3388252024215</v>
      </c>
      <c r="F57" s="49">
        <v>423.26776504048433</v>
      </c>
      <c r="G57" s="49">
        <v>2539.6071205092344</v>
      </c>
      <c r="H57" s="49">
        <v>10304.927734375</v>
      </c>
      <c r="I57" s="49">
        <v>58.13481312797791</v>
      </c>
      <c r="J57" s="49">
        <v>961.4922765726764</v>
      </c>
      <c r="K57" s="69">
        <v>0.37859882688464064</v>
      </c>
      <c r="L57" s="49"/>
      <c r="M57" s="49"/>
      <c r="S57" s="49"/>
      <c r="T57" s="49"/>
      <c r="U57" s="49"/>
      <c r="W57" s="49"/>
      <c r="X57" s="49"/>
      <c r="Y57" s="49"/>
      <c r="Z57" s="49"/>
      <c r="AA57" s="49"/>
      <c r="AB57" s="49"/>
      <c r="AC57" s="49"/>
      <c r="AD57" s="49"/>
      <c r="AE57" s="49"/>
      <c r="AF57" s="49"/>
      <c r="AG57" s="49"/>
      <c r="AH57" s="49"/>
      <c r="AI57" s="49"/>
      <c r="AJ57" s="49"/>
      <c r="AK57" s="49"/>
      <c r="AL57" s="49"/>
      <c r="AM57" s="49"/>
      <c r="AN57" s="49"/>
      <c r="AO57" s="49"/>
    </row>
    <row r="58" spans="2:41" ht="12.75" customHeight="1">
      <c r="B58" t="s">
        <v>71</v>
      </c>
      <c r="C58" s="49">
        <v>0</v>
      </c>
      <c r="D58" s="49">
        <v>0</v>
      </c>
      <c r="E58" s="49">
        <v>0</v>
      </c>
      <c r="F58" s="49">
        <v>0</v>
      </c>
      <c r="G58" s="49">
        <v>0</v>
      </c>
      <c r="H58" s="49">
        <v>0</v>
      </c>
      <c r="I58" s="49">
        <v>0</v>
      </c>
      <c r="J58" s="49">
        <v>0</v>
      </c>
      <c r="K58" s="69">
        <v>0</v>
      </c>
      <c r="L58" s="49"/>
      <c r="M58" s="49"/>
      <c r="S58" s="49"/>
      <c r="T58" s="49"/>
      <c r="U58" s="49"/>
      <c r="W58" s="49"/>
      <c r="X58" s="49"/>
      <c r="Y58" s="49"/>
      <c r="Z58" s="49"/>
      <c r="AA58" s="49"/>
      <c r="AB58" s="49"/>
      <c r="AC58" s="49"/>
      <c r="AD58" s="49"/>
      <c r="AE58" s="49"/>
      <c r="AF58" s="49"/>
      <c r="AG58" s="49"/>
      <c r="AH58" s="49"/>
      <c r="AI58" s="49"/>
      <c r="AJ58" s="49"/>
      <c r="AK58" s="49"/>
      <c r="AL58" s="49"/>
      <c r="AM58" s="49"/>
      <c r="AN58" s="49"/>
      <c r="AO58" s="49"/>
    </row>
    <row r="59" spans="2:41" ht="12.75" customHeight="1">
      <c r="B59" t="s">
        <v>72</v>
      </c>
      <c r="C59" s="49">
        <v>2109.4849241494253</v>
      </c>
      <c r="D59" s="49">
        <v>411.13568772885617</v>
      </c>
      <c r="E59" s="49">
        <v>411.14</v>
      </c>
      <c r="F59" s="49">
        <v>82.22712</v>
      </c>
      <c r="G59" s="49">
        <v>493.3628077288562</v>
      </c>
      <c r="H59" s="49">
        <v>2048.774169921875</v>
      </c>
      <c r="I59" s="49">
        <v>11.558072511461283</v>
      </c>
      <c r="J59" s="49">
        <v>939.4994646372049</v>
      </c>
      <c r="K59" s="104">
        <v>1.904277034910864</v>
      </c>
      <c r="L59" s="49"/>
      <c r="M59" s="49"/>
      <c r="S59" s="49"/>
      <c r="T59" s="49"/>
      <c r="U59" s="49"/>
      <c r="W59" s="49"/>
      <c r="X59" s="49"/>
      <c r="Y59" s="49"/>
      <c r="Z59" s="49"/>
      <c r="AA59" s="49"/>
      <c r="AB59" s="49"/>
      <c r="AC59" s="49"/>
      <c r="AD59" s="49"/>
      <c r="AE59" s="49"/>
      <c r="AF59" s="49"/>
      <c r="AG59" s="49"/>
      <c r="AH59" s="49"/>
      <c r="AI59" s="49"/>
      <c r="AJ59" s="49"/>
      <c r="AK59" s="49"/>
      <c r="AL59" s="49"/>
      <c r="AM59" s="49"/>
      <c r="AN59" s="49"/>
      <c r="AO59" s="49"/>
    </row>
    <row r="60" spans="2:41" ht="12.75" customHeight="1">
      <c r="B60" t="s">
        <v>73</v>
      </c>
      <c r="C60" s="49">
        <v>0</v>
      </c>
      <c r="D60" s="49">
        <v>0</v>
      </c>
      <c r="E60" s="49">
        <v>0</v>
      </c>
      <c r="F60" s="49">
        <v>0</v>
      </c>
      <c r="G60" s="49">
        <v>0</v>
      </c>
      <c r="H60" s="49">
        <v>0</v>
      </c>
      <c r="I60" s="49">
        <v>0</v>
      </c>
      <c r="J60" s="49">
        <v>0</v>
      </c>
      <c r="K60" s="70">
        <v>0</v>
      </c>
      <c r="L60" s="49"/>
      <c r="M60" s="49"/>
      <c r="S60" s="49"/>
      <c r="T60" s="49"/>
      <c r="U60" s="49"/>
      <c r="W60" s="49"/>
      <c r="X60" s="49"/>
      <c r="Y60" s="49"/>
      <c r="Z60" s="49"/>
      <c r="AA60" s="49"/>
      <c r="AB60" s="49"/>
      <c r="AC60" s="49"/>
      <c r="AD60" s="49"/>
      <c r="AE60" s="49"/>
      <c r="AF60" s="49"/>
      <c r="AG60" s="49"/>
      <c r="AH60" s="49"/>
      <c r="AI60" s="49"/>
      <c r="AJ60" s="49"/>
      <c r="AK60" s="49"/>
      <c r="AL60" s="49"/>
      <c r="AM60" s="49"/>
      <c r="AN60" s="49"/>
      <c r="AO60" s="49"/>
    </row>
    <row r="61" spans="2:41" ht="12.75" customHeight="1">
      <c r="B61" t="s">
        <v>74</v>
      </c>
      <c r="C61" s="49">
        <v>0</v>
      </c>
      <c r="D61" s="49">
        <v>0</v>
      </c>
      <c r="E61" s="49">
        <v>0</v>
      </c>
      <c r="F61" s="49">
        <v>0</v>
      </c>
      <c r="G61" s="49">
        <v>0</v>
      </c>
      <c r="H61" s="49">
        <v>0</v>
      </c>
      <c r="I61" s="49">
        <v>0</v>
      </c>
      <c r="J61" s="49">
        <v>0</v>
      </c>
      <c r="K61" s="70">
        <v>0</v>
      </c>
      <c r="L61" s="49"/>
      <c r="M61" s="49"/>
      <c r="S61" s="49"/>
      <c r="T61" s="49"/>
      <c r="U61" s="49"/>
      <c r="W61" s="49"/>
      <c r="X61" s="49"/>
      <c r="Y61" s="49"/>
      <c r="Z61" s="49"/>
      <c r="AA61" s="49"/>
      <c r="AB61" s="49"/>
      <c r="AC61" s="49"/>
      <c r="AD61" s="49"/>
      <c r="AE61" s="49"/>
      <c r="AF61" s="49"/>
      <c r="AG61" s="49"/>
      <c r="AH61" s="49"/>
      <c r="AI61" s="49"/>
      <c r="AJ61" s="49"/>
      <c r="AK61" s="49"/>
      <c r="AL61" s="49"/>
      <c r="AM61" s="49"/>
      <c r="AN61" s="49"/>
      <c r="AO61" s="49"/>
    </row>
    <row r="62" spans="2:41" ht="12.75" customHeight="1">
      <c r="B62" t="s">
        <v>75</v>
      </c>
      <c r="C62" s="49">
        <v>618.8584723649021</v>
      </c>
      <c r="D62" s="49">
        <v>506.87830815858496</v>
      </c>
      <c r="E62" s="49">
        <v>506.88</v>
      </c>
      <c r="F62" s="49">
        <v>101.37564</v>
      </c>
      <c r="G62" s="49">
        <v>608.253948158585</v>
      </c>
      <c r="H62" s="49">
        <v>8609.8916015625</v>
      </c>
      <c r="I62" s="49">
        <v>48.57234033757312</v>
      </c>
      <c r="J62" s="49">
        <v>275.6204592016494</v>
      </c>
      <c r="K62" s="70">
        <v>0.45313385969142805</v>
      </c>
      <c r="L62" s="49"/>
      <c r="M62" s="49"/>
      <c r="S62" s="49"/>
      <c r="T62" s="49"/>
      <c r="U62" s="49"/>
      <c r="W62" s="49"/>
      <c r="X62" s="49"/>
      <c r="Y62" s="49"/>
      <c r="Z62" s="49"/>
      <c r="AA62" s="49"/>
      <c r="AB62" s="49"/>
      <c r="AC62" s="49"/>
      <c r="AD62" s="49"/>
      <c r="AE62" s="49"/>
      <c r="AF62" s="49"/>
      <c r="AG62" s="49"/>
      <c r="AH62" s="49"/>
      <c r="AI62" s="49"/>
      <c r="AJ62" s="49"/>
      <c r="AK62" s="49"/>
      <c r="AL62" s="49"/>
      <c r="AM62" s="49"/>
      <c r="AN62" s="49"/>
      <c r="AO62" s="49"/>
    </row>
    <row r="63" spans="2:41" ht="12.75" customHeight="1">
      <c r="B63" t="s">
        <v>76</v>
      </c>
      <c r="C63" s="49">
        <v>451.25282422961874</v>
      </c>
      <c r="D63" s="49">
        <v>411.179387738181</v>
      </c>
      <c r="E63" s="49">
        <v>411.18</v>
      </c>
      <c r="F63" s="49">
        <v>82.23586</v>
      </c>
      <c r="G63" s="49">
        <v>493.415247738181</v>
      </c>
      <c r="H63" s="49">
        <v>9578.4833984375</v>
      </c>
      <c r="I63" s="49">
        <v>54.03660641556754</v>
      </c>
      <c r="J63" s="49">
        <v>200.97407757047517</v>
      </c>
      <c r="K63" s="70">
        <v>0.40731225573539076</v>
      </c>
      <c r="L63" s="49"/>
      <c r="M63" s="49"/>
      <c r="S63" s="49"/>
      <c r="T63" s="49"/>
      <c r="U63" s="49"/>
      <c r="W63" s="49"/>
      <c r="X63" s="49"/>
      <c r="Y63" s="49"/>
      <c r="Z63" s="49"/>
      <c r="AA63" s="49"/>
      <c r="AB63" s="49"/>
      <c r="AC63" s="49"/>
      <c r="AD63" s="49"/>
      <c r="AE63" s="49"/>
      <c r="AF63" s="49"/>
      <c r="AG63" s="49"/>
      <c r="AH63" s="49"/>
      <c r="AI63" s="49"/>
      <c r="AJ63" s="49"/>
      <c r="AK63" s="49"/>
      <c r="AL63" s="49"/>
      <c r="AM63" s="49"/>
      <c r="AN63" s="49"/>
      <c r="AO63" s="49"/>
    </row>
    <row r="64" spans="2:41" ht="12.75" customHeight="1">
      <c r="B64" t="s">
        <v>77</v>
      </c>
      <c r="C64" s="49">
        <v>3991.579805556046</v>
      </c>
      <c r="D64" s="49">
        <v>7592.255320048795</v>
      </c>
      <c r="E64" s="49">
        <v>7592.25</v>
      </c>
      <c r="F64" s="49">
        <v>1518.45074</v>
      </c>
      <c r="G64" s="49">
        <v>9110.706060048795</v>
      </c>
      <c r="H64" s="49">
        <v>19994.53515625</v>
      </c>
      <c r="I64" s="49">
        <v>112.7983253883606</v>
      </c>
      <c r="J64" s="49">
        <v>1777.7264238513917</v>
      </c>
      <c r="K64" s="70">
        <v>0.19512498945025458</v>
      </c>
      <c r="L64" s="49"/>
      <c r="M64" s="49"/>
      <c r="S64" s="49"/>
      <c r="T64" s="49"/>
      <c r="U64" s="49"/>
      <c r="W64" s="49"/>
      <c r="X64" s="49"/>
      <c r="Y64" s="49"/>
      <c r="Z64" s="49"/>
      <c r="AA64" s="49"/>
      <c r="AB64" s="49"/>
      <c r="AC64" s="49"/>
      <c r="AD64" s="49"/>
      <c r="AE64" s="49"/>
      <c r="AF64" s="49"/>
      <c r="AG64" s="49"/>
      <c r="AH64" s="49"/>
      <c r="AI64" s="49"/>
      <c r="AJ64" s="49"/>
      <c r="AK64" s="49"/>
      <c r="AL64" s="49"/>
      <c r="AM64" s="49"/>
      <c r="AN64" s="49"/>
      <c r="AO64" s="49"/>
    </row>
    <row r="65" spans="3:41" ht="12.75" customHeight="1">
      <c r="C65" s="49"/>
      <c r="D65" s="49"/>
      <c r="E65" s="49"/>
      <c r="F65" s="49"/>
      <c r="G65" s="49"/>
      <c r="H65" s="49"/>
      <c r="I65" s="49"/>
      <c r="J65" s="49"/>
      <c r="K65" s="49"/>
      <c r="L65" s="49"/>
      <c r="M65" s="49"/>
      <c r="S65" s="49"/>
      <c r="T65" s="49"/>
      <c r="U65" s="49"/>
      <c r="W65" s="49"/>
      <c r="X65" s="49"/>
      <c r="Y65" s="49"/>
      <c r="Z65" s="49"/>
      <c r="AA65" s="49"/>
      <c r="AB65" s="49"/>
      <c r="AC65" s="49"/>
      <c r="AD65" s="49"/>
      <c r="AE65" s="49"/>
      <c r="AF65" s="49"/>
      <c r="AG65" s="49"/>
      <c r="AH65" s="49"/>
      <c r="AI65" s="49"/>
      <c r="AJ65" s="49"/>
      <c r="AK65" s="49"/>
      <c r="AL65" s="49"/>
      <c r="AM65" s="49"/>
      <c r="AN65" s="49"/>
      <c r="AO65" s="49"/>
    </row>
    <row r="66" spans="3:41" ht="12.75" customHeight="1">
      <c r="C66" s="49"/>
      <c r="D66" s="49"/>
      <c r="E66" s="49"/>
      <c r="F66" s="49"/>
      <c r="G66" s="49"/>
      <c r="H66" s="49"/>
      <c r="I66" s="49"/>
      <c r="J66" s="49"/>
      <c r="K66" s="49"/>
      <c r="L66" s="49"/>
      <c r="M66" s="49"/>
      <c r="S66" s="49"/>
      <c r="T66" s="49"/>
      <c r="U66" s="49"/>
      <c r="W66" s="49"/>
      <c r="X66" s="49"/>
      <c r="Y66" s="49"/>
      <c r="Z66" s="49"/>
      <c r="AA66" s="49"/>
      <c r="AB66" s="49"/>
      <c r="AC66" s="49"/>
      <c r="AD66" s="49"/>
      <c r="AE66" s="49"/>
      <c r="AF66" s="49"/>
      <c r="AG66" s="49"/>
      <c r="AH66" s="49"/>
      <c r="AI66" s="49"/>
      <c r="AJ66" s="49"/>
      <c r="AK66" s="49"/>
      <c r="AL66" s="49"/>
      <c r="AM66" s="49"/>
      <c r="AN66" s="49"/>
      <c r="AO66" s="49"/>
    </row>
    <row r="67" spans="3:41" ht="12.75" customHeight="1">
      <c r="C67" s="49"/>
      <c r="D67" s="49"/>
      <c r="E67" s="49"/>
      <c r="F67" s="49"/>
      <c r="G67" s="49"/>
      <c r="H67" s="49"/>
      <c r="I67" s="49"/>
      <c r="J67" s="49"/>
      <c r="K67" s="49"/>
      <c r="L67" s="49"/>
      <c r="M67" s="49"/>
      <c r="S67" s="49"/>
      <c r="T67" s="49"/>
      <c r="U67" s="49"/>
      <c r="W67" s="49"/>
      <c r="X67" s="49"/>
      <c r="Y67" s="49"/>
      <c r="Z67" s="49"/>
      <c r="AA67" s="49"/>
      <c r="AB67" s="49"/>
      <c r="AC67" s="49"/>
      <c r="AD67" s="49"/>
      <c r="AE67" s="49"/>
      <c r="AF67" s="49"/>
      <c r="AG67" s="49"/>
      <c r="AH67" s="49"/>
      <c r="AI67" s="49"/>
      <c r="AJ67" s="49"/>
      <c r="AK67" s="49"/>
      <c r="AL67" s="49"/>
      <c r="AM67" s="49"/>
      <c r="AN67" s="49"/>
      <c r="AO67" s="49"/>
    </row>
    <row r="68" spans="3:41" ht="12.75" customHeight="1">
      <c r="C68" s="49"/>
      <c r="D68" s="49"/>
      <c r="E68" s="49"/>
      <c r="F68" s="49"/>
      <c r="G68" s="49"/>
      <c r="H68" s="49"/>
      <c r="I68" s="49"/>
      <c r="J68" s="49"/>
      <c r="K68" s="49"/>
      <c r="L68" s="49"/>
      <c r="M68" s="49"/>
      <c r="S68" s="49"/>
      <c r="T68" s="49"/>
      <c r="U68" s="49"/>
      <c r="W68" s="49"/>
      <c r="X68" s="49"/>
      <c r="Y68" s="49"/>
      <c r="Z68" s="49"/>
      <c r="AA68" s="49"/>
      <c r="AB68" s="49"/>
      <c r="AC68" s="49"/>
      <c r="AD68" s="49"/>
      <c r="AE68" s="49"/>
      <c r="AF68" s="49"/>
      <c r="AG68" s="49"/>
      <c r="AH68" s="49"/>
      <c r="AI68" s="49"/>
      <c r="AJ68" s="49"/>
      <c r="AK68" s="49"/>
      <c r="AL68" s="49"/>
      <c r="AM68" s="49"/>
      <c r="AN68" s="49"/>
      <c r="AO68" s="49"/>
    </row>
    <row r="69" spans="3:41" ht="12.75" customHeight="1">
      <c r="C69" s="49"/>
      <c r="D69" s="49"/>
      <c r="E69" s="49"/>
      <c r="F69" s="49"/>
      <c r="G69" s="49"/>
      <c r="H69" s="49"/>
      <c r="I69" s="49"/>
      <c r="J69" s="49"/>
      <c r="K69" s="49"/>
      <c r="L69" s="49"/>
      <c r="M69" s="49"/>
      <c r="S69" s="49"/>
      <c r="T69" s="49"/>
      <c r="U69" s="49"/>
      <c r="W69" s="49"/>
      <c r="X69" s="49"/>
      <c r="Y69" s="49"/>
      <c r="Z69" s="49"/>
      <c r="AA69" s="49"/>
      <c r="AB69" s="49"/>
      <c r="AC69" s="49"/>
      <c r="AD69" s="49"/>
      <c r="AE69" s="49"/>
      <c r="AF69" s="49"/>
      <c r="AG69" s="49"/>
      <c r="AH69" s="49"/>
      <c r="AI69" s="49"/>
      <c r="AJ69" s="49"/>
      <c r="AK69" s="49"/>
      <c r="AL69" s="49"/>
      <c r="AM69" s="49"/>
      <c r="AN69" s="49"/>
      <c r="AO69" s="49"/>
    </row>
    <row r="70" spans="3:41" ht="12.75" customHeight="1">
      <c r="C70" s="49"/>
      <c r="D70" s="49"/>
      <c r="E70" s="49"/>
      <c r="F70" s="49"/>
      <c r="G70" s="49"/>
      <c r="H70" s="49"/>
      <c r="I70" s="49"/>
      <c r="J70" s="49"/>
      <c r="K70" s="49"/>
      <c r="L70" s="49"/>
      <c r="M70" s="49"/>
      <c r="S70" s="49"/>
      <c r="T70" s="49"/>
      <c r="U70" s="49"/>
      <c r="W70" s="49"/>
      <c r="X70" s="49"/>
      <c r="Y70" s="49"/>
      <c r="Z70" s="49"/>
      <c r="AA70" s="49"/>
      <c r="AB70" s="49"/>
      <c r="AC70" s="49"/>
      <c r="AD70" s="49"/>
      <c r="AE70" s="49"/>
      <c r="AF70" s="49"/>
      <c r="AG70" s="49"/>
      <c r="AH70" s="49"/>
      <c r="AI70" s="49"/>
      <c r="AJ70" s="49"/>
      <c r="AK70" s="49"/>
      <c r="AL70" s="49"/>
      <c r="AM70" s="49"/>
      <c r="AN70" s="49"/>
      <c r="AO70" s="49"/>
    </row>
    <row r="71" spans="3:41" ht="12.75" customHeight="1">
      <c r="C71" s="49"/>
      <c r="D71" s="49"/>
      <c r="E71" s="49"/>
      <c r="F71" s="49"/>
      <c r="G71" s="49"/>
      <c r="H71" s="49"/>
      <c r="I71" s="49"/>
      <c r="J71" s="49"/>
      <c r="K71" s="49"/>
      <c r="L71" s="49"/>
      <c r="M71" s="49"/>
      <c r="S71" s="49"/>
      <c r="T71" s="49"/>
      <c r="U71" s="49"/>
      <c r="W71" s="49"/>
      <c r="X71" s="49"/>
      <c r="Y71" s="49"/>
      <c r="Z71" s="49"/>
      <c r="AA71" s="49"/>
      <c r="AB71" s="49"/>
      <c r="AC71" s="49"/>
      <c r="AD71" s="49"/>
      <c r="AE71" s="49"/>
      <c r="AF71" s="49"/>
      <c r="AG71" s="49"/>
      <c r="AH71" s="49"/>
      <c r="AI71" s="49"/>
      <c r="AJ71" s="49"/>
      <c r="AK71" s="49"/>
      <c r="AL71" s="49"/>
      <c r="AM71" s="49"/>
      <c r="AN71" s="49"/>
      <c r="AO71" s="49"/>
    </row>
    <row r="72" spans="3:41" ht="12.75" customHeight="1">
      <c r="C72" s="49"/>
      <c r="D72" s="49"/>
      <c r="E72" s="49"/>
      <c r="F72" s="49"/>
      <c r="G72" s="49"/>
      <c r="H72" s="49"/>
      <c r="I72" s="49"/>
      <c r="J72" s="49"/>
      <c r="K72" s="49"/>
      <c r="L72" s="49"/>
      <c r="M72" s="49"/>
      <c r="S72" s="49"/>
      <c r="T72" s="49"/>
      <c r="U72" s="49"/>
      <c r="W72" s="49"/>
      <c r="X72" s="49"/>
      <c r="Y72" s="49"/>
      <c r="Z72" s="49"/>
      <c r="AA72" s="49"/>
      <c r="AB72" s="49"/>
      <c r="AC72" s="49"/>
      <c r="AD72" s="49"/>
      <c r="AE72" s="49"/>
      <c r="AF72" s="49"/>
      <c r="AG72" s="49"/>
      <c r="AH72" s="49"/>
      <c r="AI72" s="49"/>
      <c r="AJ72" s="49"/>
      <c r="AK72" s="49"/>
      <c r="AL72" s="49"/>
      <c r="AM72" s="49"/>
      <c r="AN72" s="49"/>
      <c r="AO72" s="49"/>
    </row>
    <row r="73" spans="3:41" ht="12.75" customHeight="1">
      <c r="C73" s="49"/>
      <c r="D73" s="49"/>
      <c r="E73" s="49"/>
      <c r="F73" s="49"/>
      <c r="G73" s="49"/>
      <c r="H73" s="49"/>
      <c r="I73" s="49"/>
      <c r="J73" s="49"/>
      <c r="K73" s="49"/>
      <c r="L73" s="49"/>
      <c r="M73" s="49"/>
      <c r="S73" s="49"/>
      <c r="T73" s="49"/>
      <c r="U73" s="49"/>
      <c r="W73" s="49"/>
      <c r="X73" s="49"/>
      <c r="Y73" s="49"/>
      <c r="Z73" s="49"/>
      <c r="AA73" s="49"/>
      <c r="AB73" s="49"/>
      <c r="AC73" s="49"/>
      <c r="AD73" s="49"/>
      <c r="AE73" s="49"/>
      <c r="AF73" s="49"/>
      <c r="AG73" s="49"/>
      <c r="AH73" s="49"/>
      <c r="AI73" s="49"/>
      <c r="AJ73" s="49"/>
      <c r="AK73" s="49"/>
      <c r="AL73" s="49"/>
      <c r="AM73" s="49"/>
      <c r="AN73" s="49"/>
      <c r="AO73" s="49"/>
    </row>
    <row r="74" spans="3:41" ht="12.75" customHeight="1">
      <c r="C74" s="49"/>
      <c r="D74" s="49"/>
      <c r="E74" s="49"/>
      <c r="F74" s="49"/>
      <c r="G74" s="49"/>
      <c r="H74" s="49"/>
      <c r="I74" s="49"/>
      <c r="J74" s="49"/>
      <c r="K74" s="49"/>
      <c r="L74" s="49"/>
      <c r="M74" s="49"/>
      <c r="S74" s="49"/>
      <c r="T74" s="49"/>
      <c r="U74" s="49"/>
      <c r="W74" s="49"/>
      <c r="X74" s="49"/>
      <c r="Y74" s="49"/>
      <c r="Z74" s="49"/>
      <c r="AA74" s="49"/>
      <c r="AB74" s="49"/>
      <c r="AC74" s="49"/>
      <c r="AD74" s="49"/>
      <c r="AE74" s="49"/>
      <c r="AF74" s="49"/>
      <c r="AG74" s="49"/>
      <c r="AH74" s="49"/>
      <c r="AI74" s="49"/>
      <c r="AJ74" s="49"/>
      <c r="AK74" s="49"/>
      <c r="AL74" s="49"/>
      <c r="AM74" s="49"/>
      <c r="AN74" s="49"/>
      <c r="AO74" s="49"/>
    </row>
    <row r="75" spans="3:41" ht="12.75" customHeight="1">
      <c r="C75" s="49"/>
      <c r="D75" s="49"/>
      <c r="E75" s="49"/>
      <c r="F75" s="49"/>
      <c r="G75" s="49"/>
      <c r="H75" s="49"/>
      <c r="I75" s="49"/>
      <c r="J75" s="49"/>
      <c r="K75" s="49"/>
      <c r="L75" s="49"/>
      <c r="M75" s="49"/>
      <c r="S75" s="49"/>
      <c r="T75" s="49"/>
      <c r="U75" s="49"/>
      <c r="W75" s="49"/>
      <c r="X75" s="49"/>
      <c r="Y75" s="49"/>
      <c r="Z75" s="49"/>
      <c r="AA75" s="49"/>
      <c r="AB75" s="49"/>
      <c r="AC75" s="49"/>
      <c r="AD75" s="49"/>
      <c r="AE75" s="49"/>
      <c r="AF75" s="49"/>
      <c r="AG75" s="49"/>
      <c r="AH75" s="49"/>
      <c r="AI75" s="49"/>
      <c r="AJ75" s="49"/>
      <c r="AK75" s="49"/>
      <c r="AL75" s="49"/>
      <c r="AM75" s="49"/>
      <c r="AN75" s="49"/>
      <c r="AO75" s="49"/>
    </row>
    <row r="76" spans="3:41" ht="12.75" customHeight="1">
      <c r="C76" s="49"/>
      <c r="D76" s="49"/>
      <c r="E76" s="49"/>
      <c r="F76" s="49"/>
      <c r="G76" s="49"/>
      <c r="H76" s="49"/>
      <c r="I76" s="49"/>
      <c r="J76" s="49"/>
      <c r="K76" s="49"/>
      <c r="L76" s="49"/>
      <c r="M76" s="49"/>
      <c r="S76" s="49"/>
      <c r="T76" s="49"/>
      <c r="U76" s="49"/>
      <c r="W76" s="49"/>
      <c r="X76" s="49"/>
      <c r="Y76" s="49"/>
      <c r="Z76" s="49"/>
      <c r="AA76" s="49"/>
      <c r="AB76" s="49"/>
      <c r="AC76" s="49"/>
      <c r="AD76" s="49"/>
      <c r="AE76" s="49"/>
      <c r="AF76" s="49"/>
      <c r="AG76" s="49"/>
      <c r="AH76" s="49"/>
      <c r="AI76" s="49"/>
      <c r="AJ76" s="49"/>
      <c r="AK76" s="49"/>
      <c r="AL76" s="49"/>
      <c r="AM76" s="49"/>
      <c r="AN76" s="49"/>
      <c r="AO76" s="49"/>
    </row>
    <row r="77" spans="3:41" ht="12.75" customHeight="1">
      <c r="C77" s="49"/>
      <c r="D77" s="49"/>
      <c r="E77" s="49"/>
      <c r="F77" s="49"/>
      <c r="G77" s="49"/>
      <c r="H77" s="49"/>
      <c r="I77" s="49"/>
      <c r="J77" s="49"/>
      <c r="K77" s="49"/>
      <c r="L77" s="49"/>
      <c r="M77" s="49"/>
      <c r="S77" s="49"/>
      <c r="T77" s="49"/>
      <c r="U77" s="49"/>
      <c r="W77" s="49"/>
      <c r="X77" s="49"/>
      <c r="Y77" s="49"/>
      <c r="Z77" s="49"/>
      <c r="AA77" s="49"/>
      <c r="AB77" s="49"/>
      <c r="AC77" s="49"/>
      <c r="AD77" s="49"/>
      <c r="AE77" s="49"/>
      <c r="AF77" s="49"/>
      <c r="AG77" s="49"/>
      <c r="AH77" s="49"/>
      <c r="AI77" s="49"/>
      <c r="AJ77" s="49"/>
      <c r="AK77" s="49"/>
      <c r="AL77" s="49"/>
      <c r="AM77" s="49"/>
      <c r="AN77" s="49"/>
      <c r="AO77" s="49"/>
    </row>
    <row r="78" spans="3:41" ht="12.75" customHeight="1">
      <c r="C78" s="49"/>
      <c r="D78" s="49"/>
      <c r="E78" s="49"/>
      <c r="F78" s="49"/>
      <c r="G78" s="49"/>
      <c r="H78" s="49"/>
      <c r="I78" s="49"/>
      <c r="J78" s="49"/>
      <c r="K78" s="49"/>
      <c r="L78" s="49"/>
      <c r="M78" s="49"/>
      <c r="S78" s="49"/>
      <c r="T78" s="49"/>
      <c r="U78" s="49"/>
      <c r="W78" s="49"/>
      <c r="X78" s="49"/>
      <c r="Y78" s="49"/>
      <c r="Z78" s="49"/>
      <c r="AA78" s="49"/>
      <c r="AB78" s="49"/>
      <c r="AC78" s="49"/>
      <c r="AD78" s="49"/>
      <c r="AE78" s="49"/>
      <c r="AF78" s="49"/>
      <c r="AG78" s="49"/>
      <c r="AH78" s="49"/>
      <c r="AI78" s="49"/>
      <c r="AJ78" s="49"/>
      <c r="AK78" s="49"/>
      <c r="AL78" s="49"/>
      <c r="AM78" s="49"/>
      <c r="AN78" s="49"/>
      <c r="AO78" s="49"/>
    </row>
    <row r="79" spans="3:41" ht="12.75" customHeight="1">
      <c r="C79" s="49"/>
      <c r="D79" s="49"/>
      <c r="E79" s="49"/>
      <c r="F79" s="49"/>
      <c r="G79" s="49"/>
      <c r="H79" s="49"/>
      <c r="I79" s="49"/>
      <c r="J79" s="49"/>
      <c r="K79" s="49"/>
      <c r="L79" s="49"/>
      <c r="M79" s="49"/>
      <c r="S79" s="49"/>
      <c r="T79" s="49"/>
      <c r="U79" s="49"/>
      <c r="W79" s="49"/>
      <c r="X79" s="49"/>
      <c r="Y79" s="49"/>
      <c r="Z79" s="49"/>
      <c r="AA79" s="49"/>
      <c r="AB79" s="49"/>
      <c r="AC79" s="49"/>
      <c r="AD79" s="49"/>
      <c r="AE79" s="49"/>
      <c r="AF79" s="49"/>
      <c r="AG79" s="49"/>
      <c r="AH79" s="49"/>
      <c r="AI79" s="49"/>
      <c r="AJ79" s="49"/>
      <c r="AK79" s="49"/>
      <c r="AL79" s="49"/>
      <c r="AM79" s="49"/>
      <c r="AN79" s="49"/>
      <c r="AO79" s="49"/>
    </row>
    <row r="80" spans="3:41" ht="12.75" customHeight="1">
      <c r="C80" s="49"/>
      <c r="D80" s="49"/>
      <c r="E80" s="49"/>
      <c r="F80" s="49"/>
      <c r="G80" s="49"/>
      <c r="H80" s="49"/>
      <c r="I80" s="49"/>
      <c r="J80" s="49"/>
      <c r="K80" s="49"/>
      <c r="L80" s="49"/>
      <c r="M80" s="49"/>
      <c r="S80" s="49"/>
      <c r="T80" s="49"/>
      <c r="U80" s="49"/>
      <c r="W80" s="49"/>
      <c r="X80" s="49"/>
      <c r="Y80" s="49"/>
      <c r="Z80" s="49"/>
      <c r="AA80" s="49"/>
      <c r="AB80" s="49"/>
      <c r="AC80" s="49"/>
      <c r="AD80" s="49"/>
      <c r="AE80" s="49"/>
      <c r="AF80" s="49"/>
      <c r="AG80" s="49"/>
      <c r="AH80" s="49"/>
      <c r="AI80" s="49"/>
      <c r="AJ80" s="49"/>
      <c r="AK80" s="49"/>
      <c r="AL80" s="49"/>
      <c r="AM80" s="49"/>
      <c r="AN80" s="49"/>
      <c r="AO80" s="49"/>
    </row>
    <row r="81" spans="3:41" ht="12.75" customHeight="1">
      <c r="C81" s="49"/>
      <c r="D81" s="49"/>
      <c r="E81" s="49"/>
      <c r="F81" s="49"/>
      <c r="G81" s="49"/>
      <c r="H81" s="49"/>
      <c r="I81" s="49"/>
      <c r="J81" s="49"/>
      <c r="K81" s="49"/>
      <c r="L81" s="49"/>
      <c r="M81" s="49"/>
      <c r="S81" s="49"/>
      <c r="T81" s="49"/>
      <c r="U81" s="49"/>
      <c r="W81" s="49"/>
      <c r="X81" s="49"/>
      <c r="Y81" s="49"/>
      <c r="Z81" s="49"/>
      <c r="AA81" s="49"/>
      <c r="AB81" s="49"/>
      <c r="AC81" s="49"/>
      <c r="AD81" s="49"/>
      <c r="AE81" s="49"/>
      <c r="AF81" s="49"/>
      <c r="AG81" s="49"/>
      <c r="AH81" s="49"/>
      <c r="AI81" s="49"/>
      <c r="AJ81" s="49"/>
      <c r="AK81" s="49"/>
      <c r="AL81" s="49"/>
      <c r="AM81" s="49"/>
      <c r="AN81" s="49"/>
      <c r="AO81" s="49"/>
    </row>
    <row r="82" spans="3:41" ht="12.75" customHeight="1">
      <c r="C82" s="49"/>
      <c r="D82" s="49"/>
      <c r="E82" s="49"/>
      <c r="F82" s="49"/>
      <c r="G82" s="49"/>
      <c r="H82" s="49"/>
      <c r="I82" s="49"/>
      <c r="J82" s="49"/>
      <c r="K82" s="49"/>
      <c r="L82" s="49"/>
      <c r="M82" s="49"/>
      <c r="S82" s="49"/>
      <c r="T82" s="49"/>
      <c r="U82" s="49"/>
      <c r="W82" s="49"/>
      <c r="X82" s="49"/>
      <c r="Y82" s="49"/>
      <c r="Z82" s="49"/>
      <c r="AA82" s="49"/>
      <c r="AB82" s="49"/>
      <c r="AC82" s="49"/>
      <c r="AD82" s="49"/>
      <c r="AE82" s="49"/>
      <c r="AF82" s="49"/>
      <c r="AG82" s="49"/>
      <c r="AH82" s="49"/>
      <c r="AI82" s="49"/>
      <c r="AJ82" s="49"/>
      <c r="AK82" s="49"/>
      <c r="AL82" s="49"/>
      <c r="AM82" s="49"/>
      <c r="AN82" s="49"/>
      <c r="AO82" s="49"/>
    </row>
    <row r="83" spans="3:41" ht="12.75" customHeight="1">
      <c r="C83" s="49"/>
      <c r="D83" s="49"/>
      <c r="E83" s="49"/>
      <c r="F83" s="49"/>
      <c r="G83" s="49"/>
      <c r="H83" s="49"/>
      <c r="I83" s="49"/>
      <c r="J83" s="49"/>
      <c r="K83" s="49"/>
      <c r="L83" s="49"/>
      <c r="M83" s="49"/>
      <c r="S83" s="49"/>
      <c r="T83" s="49"/>
      <c r="U83" s="49"/>
      <c r="W83" s="49"/>
      <c r="X83" s="49"/>
      <c r="Y83" s="49"/>
      <c r="Z83" s="49"/>
      <c r="AA83" s="49"/>
      <c r="AB83" s="49"/>
      <c r="AC83" s="49"/>
      <c r="AD83" s="49"/>
      <c r="AE83" s="49"/>
      <c r="AF83" s="49"/>
      <c r="AG83" s="49"/>
      <c r="AH83" s="49"/>
      <c r="AI83" s="49"/>
      <c r="AJ83" s="49"/>
      <c r="AK83" s="49"/>
      <c r="AL83" s="49"/>
      <c r="AM83" s="49"/>
      <c r="AN83" s="49"/>
      <c r="AO83" s="49"/>
    </row>
    <row r="84" spans="3:41" ht="12.75" customHeight="1">
      <c r="C84" s="49"/>
      <c r="D84" s="49"/>
      <c r="E84" s="49"/>
      <c r="F84" s="49"/>
      <c r="G84" s="49"/>
      <c r="H84" s="49"/>
      <c r="I84" s="49"/>
      <c r="J84" s="49"/>
      <c r="K84" s="49"/>
      <c r="L84" s="49"/>
      <c r="M84" s="49"/>
      <c r="S84" s="49"/>
      <c r="T84" s="49"/>
      <c r="U84" s="49"/>
      <c r="W84" s="49"/>
      <c r="X84" s="49"/>
      <c r="Y84" s="49"/>
      <c r="Z84" s="49"/>
      <c r="AA84" s="49"/>
      <c r="AB84" s="49"/>
      <c r="AC84" s="49"/>
      <c r="AD84" s="49"/>
      <c r="AE84" s="49"/>
      <c r="AF84" s="49"/>
      <c r="AG84" s="49"/>
      <c r="AH84" s="49"/>
      <c r="AI84" s="49"/>
      <c r="AJ84" s="49"/>
      <c r="AK84" s="49"/>
      <c r="AL84" s="49"/>
      <c r="AM84" s="49"/>
      <c r="AN84" s="49"/>
      <c r="AO84" s="49"/>
    </row>
    <row r="85" spans="3:41" ht="12.75" customHeight="1">
      <c r="C85" s="49"/>
      <c r="D85" s="49"/>
      <c r="E85" s="49"/>
      <c r="F85" s="49"/>
      <c r="G85" s="49"/>
      <c r="H85" s="49"/>
      <c r="I85" s="49"/>
      <c r="J85" s="49"/>
      <c r="K85" s="49"/>
      <c r="L85" s="49"/>
      <c r="M85" s="49"/>
      <c r="S85" s="49"/>
      <c r="T85" s="49"/>
      <c r="U85" s="49"/>
      <c r="W85" s="49"/>
      <c r="X85" s="49"/>
      <c r="Y85" s="49"/>
      <c r="Z85" s="49"/>
      <c r="AA85" s="49"/>
      <c r="AB85" s="49"/>
      <c r="AC85" s="49"/>
      <c r="AD85" s="49"/>
      <c r="AE85" s="49"/>
      <c r="AF85" s="49"/>
      <c r="AG85" s="49"/>
      <c r="AH85" s="49"/>
      <c r="AI85" s="49"/>
      <c r="AJ85" s="49"/>
      <c r="AK85" s="49"/>
      <c r="AL85" s="49"/>
      <c r="AM85" s="49"/>
      <c r="AN85" s="49"/>
      <c r="AO85" s="49"/>
    </row>
    <row r="86" spans="3:41" ht="12.75" customHeight="1">
      <c r="C86" s="49"/>
      <c r="D86" s="49"/>
      <c r="E86" s="49"/>
      <c r="F86" s="49"/>
      <c r="G86" s="49"/>
      <c r="H86" s="49"/>
      <c r="I86" s="49"/>
      <c r="J86" s="49"/>
      <c r="K86" s="49"/>
      <c r="L86" s="49"/>
      <c r="M86" s="49"/>
      <c r="S86" s="49"/>
      <c r="T86" s="49"/>
      <c r="U86" s="49"/>
      <c r="W86" s="49"/>
      <c r="X86" s="49"/>
      <c r="Y86" s="49"/>
      <c r="Z86" s="49"/>
      <c r="AA86" s="49"/>
      <c r="AB86" s="49"/>
      <c r="AC86" s="49"/>
      <c r="AD86" s="49"/>
      <c r="AE86" s="49"/>
      <c r="AF86" s="49"/>
      <c r="AG86" s="49"/>
      <c r="AH86" s="49"/>
      <c r="AI86" s="49"/>
      <c r="AJ86" s="49"/>
      <c r="AK86" s="49"/>
      <c r="AL86" s="49"/>
      <c r="AM86" s="49"/>
      <c r="AN86" s="49"/>
      <c r="AO86" s="49"/>
    </row>
    <row r="87" spans="3:41" ht="12.75" customHeight="1">
      <c r="C87" s="49"/>
      <c r="D87" s="49"/>
      <c r="E87" s="49"/>
      <c r="F87" s="49"/>
      <c r="G87" s="49"/>
      <c r="H87" s="49"/>
      <c r="I87" s="49"/>
      <c r="J87" s="49"/>
      <c r="K87" s="49"/>
      <c r="L87" s="49"/>
      <c r="M87" s="49"/>
      <c r="S87" s="49"/>
      <c r="T87" s="49"/>
      <c r="U87" s="49"/>
      <c r="W87" s="49"/>
      <c r="X87" s="49"/>
      <c r="Y87" s="49"/>
      <c r="Z87" s="49"/>
      <c r="AA87" s="49"/>
      <c r="AB87" s="49"/>
      <c r="AC87" s="49"/>
      <c r="AD87" s="49"/>
      <c r="AE87" s="49"/>
      <c r="AF87" s="49"/>
      <c r="AG87" s="49"/>
      <c r="AH87" s="49"/>
      <c r="AI87" s="49"/>
      <c r="AJ87" s="49"/>
      <c r="AK87" s="49"/>
      <c r="AL87" s="49"/>
      <c r="AM87" s="49"/>
      <c r="AN87" s="49"/>
      <c r="AO87" s="49"/>
    </row>
    <row r="88" spans="3:41" ht="12.75" customHeight="1">
      <c r="C88" s="49"/>
      <c r="D88" s="49"/>
      <c r="E88" s="49"/>
      <c r="F88" s="49"/>
      <c r="G88" s="49"/>
      <c r="H88" s="49"/>
      <c r="I88" s="49"/>
      <c r="J88" s="49"/>
      <c r="K88" s="49"/>
      <c r="L88" s="49"/>
      <c r="M88" s="49"/>
      <c r="S88" s="49"/>
      <c r="T88" s="49"/>
      <c r="U88" s="49"/>
      <c r="W88" s="49"/>
      <c r="X88" s="49"/>
      <c r="Y88" s="49"/>
      <c r="Z88" s="49"/>
      <c r="AA88" s="49"/>
      <c r="AB88" s="49"/>
      <c r="AC88" s="49"/>
      <c r="AD88" s="49"/>
      <c r="AE88" s="49"/>
      <c r="AF88" s="49"/>
      <c r="AG88" s="49"/>
      <c r="AH88" s="49"/>
      <c r="AI88" s="49"/>
      <c r="AJ88" s="49"/>
      <c r="AK88" s="49"/>
      <c r="AL88" s="49"/>
      <c r="AM88" s="49"/>
      <c r="AN88" s="49"/>
      <c r="AO88" s="49"/>
    </row>
    <row r="89" spans="3:41" ht="12.75" customHeight="1">
      <c r="C89" s="49"/>
      <c r="D89" s="49"/>
      <c r="E89" s="49"/>
      <c r="F89" s="49"/>
      <c r="G89" s="49"/>
      <c r="H89" s="49"/>
      <c r="I89" s="49"/>
      <c r="J89" s="49"/>
      <c r="K89" s="49"/>
      <c r="L89" s="49"/>
      <c r="M89" s="49"/>
      <c r="S89" s="49"/>
      <c r="T89" s="49"/>
      <c r="U89" s="49"/>
      <c r="W89" s="49"/>
      <c r="X89" s="49"/>
      <c r="Y89" s="49"/>
      <c r="Z89" s="49"/>
      <c r="AA89" s="49"/>
      <c r="AB89" s="49"/>
      <c r="AC89" s="49"/>
      <c r="AD89" s="49"/>
      <c r="AE89" s="49"/>
      <c r="AF89" s="49"/>
      <c r="AG89" s="49"/>
      <c r="AH89" s="49"/>
      <c r="AI89" s="49"/>
      <c r="AJ89" s="49"/>
      <c r="AK89" s="49"/>
      <c r="AL89" s="49"/>
      <c r="AM89" s="49"/>
      <c r="AN89" s="49"/>
      <c r="AO89" s="49"/>
    </row>
    <row r="90" spans="3:41" ht="12.75" customHeight="1">
      <c r="C90" s="49"/>
      <c r="D90" s="49"/>
      <c r="E90" s="49"/>
      <c r="F90" s="49"/>
      <c r="G90" s="49"/>
      <c r="H90" s="49"/>
      <c r="I90" s="49"/>
      <c r="J90" s="49"/>
      <c r="K90" s="49"/>
      <c r="L90" s="49"/>
      <c r="M90" s="49"/>
      <c r="S90" s="49"/>
      <c r="T90" s="49"/>
      <c r="U90" s="49"/>
      <c r="W90" s="49"/>
      <c r="X90" s="49"/>
      <c r="Y90" s="49"/>
      <c r="Z90" s="49"/>
      <c r="AA90" s="49"/>
      <c r="AB90" s="49"/>
      <c r="AC90" s="49"/>
      <c r="AD90" s="49"/>
      <c r="AE90" s="49"/>
      <c r="AF90" s="49"/>
      <c r="AG90" s="49"/>
      <c r="AH90" s="49"/>
      <c r="AI90" s="49"/>
      <c r="AJ90" s="49"/>
      <c r="AK90" s="49"/>
      <c r="AL90" s="49"/>
      <c r="AM90" s="49"/>
      <c r="AN90" s="49"/>
      <c r="AO90" s="49"/>
    </row>
    <row r="91" spans="3:41" ht="12.75" customHeight="1">
      <c r="C91" s="49"/>
      <c r="D91" s="49"/>
      <c r="E91" s="49"/>
      <c r="F91" s="49"/>
      <c r="G91" s="49"/>
      <c r="H91" s="49"/>
      <c r="I91" s="49"/>
      <c r="J91" s="49"/>
      <c r="K91" s="49"/>
      <c r="L91" s="49"/>
      <c r="M91" s="49"/>
      <c r="S91" s="49"/>
      <c r="T91" s="49"/>
      <c r="U91" s="49"/>
      <c r="W91" s="49"/>
      <c r="X91" s="49"/>
      <c r="Y91" s="49"/>
      <c r="Z91" s="49"/>
      <c r="AA91" s="49"/>
      <c r="AB91" s="49"/>
      <c r="AC91" s="49"/>
      <c r="AD91" s="49"/>
      <c r="AE91" s="49"/>
      <c r="AF91" s="49"/>
      <c r="AG91" s="49"/>
      <c r="AH91" s="49"/>
      <c r="AI91" s="49"/>
      <c r="AJ91" s="49"/>
      <c r="AK91" s="49"/>
      <c r="AL91" s="49"/>
      <c r="AM91" s="49"/>
      <c r="AN91" s="49"/>
      <c r="AO91" s="49"/>
    </row>
    <row r="92" spans="3:41" ht="12.75" customHeight="1">
      <c r="C92" s="49"/>
      <c r="D92" s="49"/>
      <c r="E92" s="49"/>
      <c r="F92" s="49"/>
      <c r="G92" s="49"/>
      <c r="H92" s="49"/>
      <c r="I92" s="49"/>
      <c r="J92" s="49"/>
      <c r="K92" s="49"/>
      <c r="L92" s="49"/>
      <c r="M92" s="49"/>
      <c r="S92" s="49"/>
      <c r="T92" s="49"/>
      <c r="U92" s="49"/>
      <c r="W92" s="49"/>
      <c r="X92" s="49"/>
      <c r="Y92" s="49"/>
      <c r="Z92" s="49"/>
      <c r="AA92" s="49"/>
      <c r="AB92" s="49"/>
      <c r="AC92" s="49"/>
      <c r="AD92" s="49"/>
      <c r="AE92" s="49"/>
      <c r="AF92" s="49"/>
      <c r="AG92" s="49"/>
      <c r="AH92" s="49"/>
      <c r="AI92" s="49"/>
      <c r="AJ92" s="49"/>
      <c r="AK92" s="49"/>
      <c r="AL92" s="49"/>
      <c r="AM92" s="49"/>
      <c r="AN92" s="49"/>
      <c r="AO92" s="49"/>
    </row>
    <row r="93" spans="3:41" ht="12.75" customHeight="1">
      <c r="C93" s="49"/>
      <c r="D93" s="49"/>
      <c r="E93" s="49"/>
      <c r="F93" s="49"/>
      <c r="G93" s="49"/>
      <c r="H93" s="49"/>
      <c r="I93" s="49"/>
      <c r="J93" s="49"/>
      <c r="K93" s="49"/>
      <c r="L93" s="49"/>
      <c r="M93" s="49"/>
      <c r="S93" s="49"/>
      <c r="T93" s="49"/>
      <c r="U93" s="49"/>
      <c r="W93" s="49"/>
      <c r="X93" s="49"/>
      <c r="Y93" s="49"/>
      <c r="Z93" s="49"/>
      <c r="AA93" s="49"/>
      <c r="AB93" s="49"/>
      <c r="AC93" s="49"/>
      <c r="AD93" s="49"/>
      <c r="AE93" s="49"/>
      <c r="AF93" s="49"/>
      <c r="AG93" s="49"/>
      <c r="AH93" s="49"/>
      <c r="AI93" s="49"/>
      <c r="AJ93" s="49"/>
      <c r="AK93" s="49"/>
      <c r="AL93" s="49"/>
      <c r="AM93" s="49"/>
      <c r="AN93" s="49"/>
      <c r="AO93" s="49"/>
    </row>
    <row r="94" spans="3:41" ht="12.75" customHeight="1">
      <c r="C94" s="49"/>
      <c r="D94" s="49"/>
      <c r="E94" s="49"/>
      <c r="F94" s="49"/>
      <c r="G94" s="49"/>
      <c r="H94" s="49"/>
      <c r="I94" s="49"/>
      <c r="J94" s="49"/>
      <c r="K94" s="49"/>
      <c r="L94" s="49"/>
      <c r="M94" s="49"/>
      <c r="S94" s="49"/>
      <c r="T94" s="49"/>
      <c r="U94" s="49"/>
      <c r="W94" s="49"/>
      <c r="X94" s="49"/>
      <c r="Y94" s="49"/>
      <c r="Z94" s="49"/>
      <c r="AA94" s="49"/>
      <c r="AB94" s="49"/>
      <c r="AC94" s="49"/>
      <c r="AD94" s="49"/>
      <c r="AE94" s="49"/>
      <c r="AF94" s="49"/>
      <c r="AG94" s="49"/>
      <c r="AH94" s="49"/>
      <c r="AI94" s="49"/>
      <c r="AJ94" s="49"/>
      <c r="AK94" s="49"/>
      <c r="AL94" s="49"/>
      <c r="AM94" s="49"/>
      <c r="AN94" s="49"/>
      <c r="AO94" s="49"/>
    </row>
    <row r="95" spans="3:41" ht="12.75" customHeight="1">
      <c r="C95" s="49"/>
      <c r="D95" s="49"/>
      <c r="E95" s="49"/>
      <c r="F95" s="49"/>
      <c r="G95" s="49"/>
      <c r="H95" s="49"/>
      <c r="I95" s="49"/>
      <c r="J95" s="49"/>
      <c r="K95" s="49"/>
      <c r="L95" s="49"/>
      <c r="M95" s="49"/>
      <c r="S95" s="49"/>
      <c r="T95" s="49"/>
      <c r="U95" s="49"/>
      <c r="W95" s="49"/>
      <c r="X95" s="49"/>
      <c r="Y95" s="49"/>
      <c r="Z95" s="49"/>
      <c r="AA95" s="49"/>
      <c r="AB95" s="49"/>
      <c r="AC95" s="49"/>
      <c r="AD95" s="49"/>
      <c r="AE95" s="49"/>
      <c r="AF95" s="49"/>
      <c r="AG95" s="49"/>
      <c r="AH95" s="49"/>
      <c r="AI95" s="49"/>
      <c r="AJ95" s="49"/>
      <c r="AK95" s="49"/>
      <c r="AL95" s="49"/>
      <c r="AM95" s="49"/>
      <c r="AN95" s="49"/>
      <c r="AO95" s="49"/>
    </row>
    <row r="96" spans="3:41" ht="12.75" customHeight="1">
      <c r="C96" s="49"/>
      <c r="D96" s="49"/>
      <c r="E96" s="49"/>
      <c r="F96" s="49"/>
      <c r="G96" s="49"/>
      <c r="H96" s="49"/>
      <c r="I96" s="49"/>
      <c r="J96" s="49"/>
      <c r="K96" s="49"/>
      <c r="L96" s="49"/>
      <c r="M96" s="49"/>
      <c r="S96" s="49"/>
      <c r="T96" s="49"/>
      <c r="U96" s="49"/>
      <c r="W96" s="49"/>
      <c r="X96" s="49"/>
      <c r="Y96" s="49"/>
      <c r="Z96" s="49"/>
      <c r="AA96" s="49"/>
      <c r="AB96" s="49"/>
      <c r="AC96" s="49"/>
      <c r="AD96" s="49"/>
      <c r="AE96" s="49"/>
      <c r="AF96" s="49"/>
      <c r="AG96" s="49"/>
      <c r="AH96" s="49"/>
      <c r="AI96" s="49"/>
      <c r="AJ96" s="49"/>
      <c r="AK96" s="49"/>
      <c r="AL96" s="49"/>
      <c r="AM96" s="49"/>
      <c r="AN96" s="49"/>
      <c r="AO96" s="49"/>
    </row>
    <row r="97" spans="3:41" ht="12.75" customHeight="1">
      <c r="C97" s="49"/>
      <c r="D97" s="49"/>
      <c r="E97" s="49"/>
      <c r="F97" s="49"/>
      <c r="G97" s="49"/>
      <c r="H97" s="49"/>
      <c r="I97" s="49"/>
      <c r="J97" s="49"/>
      <c r="K97" s="49"/>
      <c r="L97" s="49"/>
      <c r="M97" s="49"/>
      <c r="S97" s="49"/>
      <c r="T97" s="49"/>
      <c r="U97" s="49"/>
      <c r="W97" s="49"/>
      <c r="X97" s="49"/>
      <c r="Y97" s="49"/>
      <c r="Z97" s="49"/>
      <c r="AA97" s="49"/>
      <c r="AB97" s="49"/>
      <c r="AC97" s="49"/>
      <c r="AD97" s="49"/>
      <c r="AE97" s="49"/>
      <c r="AF97" s="49"/>
      <c r="AG97" s="49"/>
      <c r="AH97" s="49"/>
      <c r="AI97" s="49"/>
      <c r="AJ97" s="49"/>
      <c r="AK97" s="49"/>
      <c r="AL97" s="49"/>
      <c r="AM97" s="49"/>
      <c r="AN97" s="49"/>
      <c r="AO97" s="49"/>
    </row>
    <row r="98" spans="3:41" ht="12.75" customHeight="1">
      <c r="C98" s="49"/>
      <c r="D98" s="49"/>
      <c r="E98" s="49"/>
      <c r="F98" s="49"/>
      <c r="G98" s="49"/>
      <c r="H98" s="49"/>
      <c r="I98" s="49"/>
      <c r="J98" s="49"/>
      <c r="K98" s="49"/>
      <c r="L98" s="49"/>
      <c r="M98" s="49"/>
      <c r="S98" s="49"/>
      <c r="T98" s="49"/>
      <c r="U98" s="49"/>
      <c r="W98" s="49"/>
      <c r="X98" s="49"/>
      <c r="Y98" s="49"/>
      <c r="Z98" s="49"/>
      <c r="AA98" s="49"/>
      <c r="AB98" s="49"/>
      <c r="AC98" s="49"/>
      <c r="AD98" s="49"/>
      <c r="AE98" s="49"/>
      <c r="AF98" s="49"/>
      <c r="AG98" s="49"/>
      <c r="AH98" s="49"/>
      <c r="AI98" s="49"/>
      <c r="AJ98" s="49"/>
      <c r="AK98" s="49"/>
      <c r="AL98" s="49"/>
      <c r="AM98" s="49"/>
      <c r="AN98" s="49"/>
      <c r="AO98" s="49"/>
    </row>
    <row r="99" spans="3:41" ht="12.75" customHeight="1">
      <c r="C99" s="49"/>
      <c r="D99" s="49"/>
      <c r="E99" s="49"/>
      <c r="F99" s="49"/>
      <c r="G99" s="49"/>
      <c r="H99" s="49"/>
      <c r="I99" s="49"/>
      <c r="J99" s="49"/>
      <c r="K99" s="49"/>
      <c r="L99" s="49"/>
      <c r="M99" s="49"/>
      <c r="S99" s="49"/>
      <c r="T99" s="49"/>
      <c r="U99" s="49"/>
      <c r="W99" s="49"/>
      <c r="X99" s="49"/>
      <c r="Y99" s="49"/>
      <c r="Z99" s="49"/>
      <c r="AA99" s="49"/>
      <c r="AB99" s="49"/>
      <c r="AC99" s="49"/>
      <c r="AD99" s="49"/>
      <c r="AE99" s="49"/>
      <c r="AF99" s="49"/>
      <c r="AG99" s="49"/>
      <c r="AH99" s="49"/>
      <c r="AI99" s="49"/>
      <c r="AJ99" s="49"/>
      <c r="AK99" s="49"/>
      <c r="AL99" s="49"/>
      <c r="AM99" s="49"/>
      <c r="AN99" s="49"/>
      <c r="AO99" s="49"/>
    </row>
    <row r="100" spans="3:41" ht="12.75" customHeight="1">
      <c r="C100" s="49"/>
      <c r="D100" s="49"/>
      <c r="E100" s="49"/>
      <c r="F100" s="49"/>
      <c r="G100" s="49"/>
      <c r="H100" s="49"/>
      <c r="I100" s="49"/>
      <c r="J100" s="49"/>
      <c r="K100" s="49"/>
      <c r="L100" s="49"/>
      <c r="M100" s="49"/>
      <c r="S100" s="49"/>
      <c r="T100" s="49"/>
      <c r="U100" s="49"/>
      <c r="W100" s="49"/>
      <c r="X100" s="49"/>
      <c r="Y100" s="49"/>
      <c r="Z100" s="49"/>
      <c r="AA100" s="49"/>
      <c r="AB100" s="49"/>
      <c r="AC100" s="49"/>
      <c r="AD100" s="49"/>
      <c r="AE100" s="49"/>
      <c r="AF100" s="49"/>
      <c r="AG100" s="49"/>
      <c r="AH100" s="49"/>
      <c r="AI100" s="49"/>
      <c r="AJ100" s="49"/>
      <c r="AK100" s="49"/>
      <c r="AL100" s="49"/>
      <c r="AM100" s="49"/>
      <c r="AN100" s="49"/>
      <c r="AO100" s="49"/>
    </row>
    <row r="101" spans="3:41" ht="12.75" customHeight="1">
      <c r="C101" s="49"/>
      <c r="D101" s="49"/>
      <c r="E101" s="49"/>
      <c r="F101" s="49"/>
      <c r="G101" s="49"/>
      <c r="H101" s="49"/>
      <c r="I101" s="49"/>
      <c r="J101" s="49"/>
      <c r="K101" s="49"/>
      <c r="L101" s="49"/>
      <c r="M101" s="49"/>
      <c r="S101" s="49"/>
      <c r="T101" s="49"/>
      <c r="U101" s="49"/>
      <c r="W101" s="49"/>
      <c r="X101" s="49"/>
      <c r="Y101" s="49"/>
      <c r="Z101" s="49"/>
      <c r="AA101" s="49"/>
      <c r="AB101" s="49"/>
      <c r="AC101" s="49"/>
      <c r="AD101" s="49"/>
      <c r="AE101" s="49"/>
      <c r="AF101" s="49"/>
      <c r="AG101" s="49"/>
      <c r="AH101" s="49"/>
      <c r="AI101" s="49"/>
      <c r="AJ101" s="49"/>
      <c r="AK101" s="49"/>
      <c r="AL101" s="49"/>
      <c r="AM101" s="49"/>
      <c r="AN101" s="49"/>
      <c r="AO101" s="49"/>
    </row>
    <row r="102" spans="3:41" ht="12.75" customHeight="1">
      <c r="C102" s="49"/>
      <c r="D102" s="49"/>
      <c r="E102" s="49"/>
      <c r="F102" s="49"/>
      <c r="G102" s="49"/>
      <c r="H102" s="49"/>
      <c r="I102" s="49"/>
      <c r="J102" s="49"/>
      <c r="K102" s="49"/>
      <c r="L102" s="49"/>
      <c r="M102" s="49"/>
      <c r="S102" s="49"/>
      <c r="T102" s="49"/>
      <c r="U102" s="49"/>
      <c r="W102" s="49"/>
      <c r="X102" s="49"/>
      <c r="Y102" s="49"/>
      <c r="Z102" s="49"/>
      <c r="AA102" s="49"/>
      <c r="AB102" s="49"/>
      <c r="AC102" s="49"/>
      <c r="AD102" s="49"/>
      <c r="AE102" s="49"/>
      <c r="AF102" s="49"/>
      <c r="AG102" s="49"/>
      <c r="AH102" s="49"/>
      <c r="AI102" s="49"/>
      <c r="AJ102" s="49"/>
      <c r="AK102" s="49"/>
      <c r="AL102" s="49"/>
      <c r="AM102" s="49"/>
      <c r="AN102" s="49"/>
      <c r="AO102" s="49"/>
    </row>
    <row r="103" spans="3:41" ht="12.75" customHeight="1">
      <c r="C103" s="49"/>
      <c r="D103" s="49"/>
      <c r="E103" s="49"/>
      <c r="F103" s="49"/>
      <c r="G103" s="49"/>
      <c r="H103" s="49"/>
      <c r="I103" s="49"/>
      <c r="J103" s="49"/>
      <c r="K103" s="49"/>
      <c r="L103" s="49"/>
      <c r="M103" s="49"/>
      <c r="S103" s="49"/>
      <c r="T103" s="49"/>
      <c r="U103" s="49"/>
      <c r="W103" s="49"/>
      <c r="X103" s="49"/>
      <c r="Y103" s="49"/>
      <c r="Z103" s="49"/>
      <c r="AA103" s="49"/>
      <c r="AB103" s="49"/>
      <c r="AC103" s="49"/>
      <c r="AD103" s="49"/>
      <c r="AE103" s="49"/>
      <c r="AF103" s="49"/>
      <c r="AG103" s="49"/>
      <c r="AH103" s="49"/>
      <c r="AI103" s="49"/>
      <c r="AJ103" s="49"/>
      <c r="AK103" s="49"/>
      <c r="AL103" s="49"/>
      <c r="AM103" s="49"/>
      <c r="AN103" s="49"/>
      <c r="AO103" s="49"/>
    </row>
    <row r="104" spans="3:41" ht="12.75" customHeight="1">
      <c r="C104" s="49"/>
      <c r="D104" s="49"/>
      <c r="E104" s="49"/>
      <c r="F104" s="49"/>
      <c r="G104" s="49"/>
      <c r="H104" s="49"/>
      <c r="I104" s="49"/>
      <c r="J104" s="49"/>
      <c r="K104" s="49"/>
      <c r="L104" s="49"/>
      <c r="M104" s="49"/>
      <c r="S104" s="49"/>
      <c r="T104" s="49"/>
      <c r="U104" s="49"/>
      <c r="W104" s="49"/>
      <c r="X104" s="49"/>
      <c r="Y104" s="49"/>
      <c r="Z104" s="49"/>
      <c r="AA104" s="49"/>
      <c r="AB104" s="49"/>
      <c r="AC104" s="49"/>
      <c r="AD104" s="49"/>
      <c r="AE104" s="49"/>
      <c r="AF104" s="49"/>
      <c r="AG104" s="49"/>
      <c r="AH104" s="49"/>
      <c r="AI104" s="49"/>
      <c r="AJ104" s="49"/>
      <c r="AK104" s="49"/>
      <c r="AL104" s="49"/>
      <c r="AM104" s="49"/>
      <c r="AN104" s="49"/>
      <c r="AO104" s="49"/>
    </row>
    <row r="105" spans="3:41" ht="12.75" customHeight="1">
      <c r="C105" s="49"/>
      <c r="D105" s="49"/>
      <c r="E105" s="49"/>
      <c r="F105" s="49"/>
      <c r="G105" s="49"/>
      <c r="H105" s="49"/>
      <c r="I105" s="49"/>
      <c r="J105" s="49"/>
      <c r="K105" s="49"/>
      <c r="L105" s="49"/>
      <c r="M105" s="49"/>
      <c r="S105" s="49"/>
      <c r="T105" s="49"/>
      <c r="U105" s="49"/>
      <c r="W105" s="49"/>
      <c r="X105" s="49"/>
      <c r="Y105" s="49"/>
      <c r="Z105" s="49"/>
      <c r="AA105" s="49"/>
      <c r="AB105" s="49"/>
      <c r="AC105" s="49"/>
      <c r="AD105" s="49"/>
      <c r="AE105" s="49"/>
      <c r="AF105" s="49"/>
      <c r="AG105" s="49"/>
      <c r="AH105" s="49"/>
      <c r="AI105" s="49"/>
      <c r="AJ105" s="49"/>
      <c r="AK105" s="49"/>
      <c r="AL105" s="49"/>
      <c r="AM105" s="49"/>
      <c r="AN105" s="49"/>
      <c r="AO105" s="49"/>
    </row>
    <row r="106" spans="3:41" ht="12.75" customHeight="1">
      <c r="C106" s="49"/>
      <c r="D106" s="49"/>
      <c r="E106" s="49"/>
      <c r="F106" s="49"/>
      <c r="G106" s="49"/>
      <c r="H106" s="49"/>
      <c r="I106" s="49"/>
      <c r="J106" s="49"/>
      <c r="K106" s="49"/>
      <c r="L106" s="49"/>
      <c r="M106" s="49"/>
      <c r="S106" s="49"/>
      <c r="T106" s="49"/>
      <c r="U106" s="49"/>
      <c r="W106" s="49"/>
      <c r="X106" s="49"/>
      <c r="Y106" s="49"/>
      <c r="Z106" s="49"/>
      <c r="AA106" s="49"/>
      <c r="AB106" s="49"/>
      <c r="AC106" s="49"/>
      <c r="AD106" s="49"/>
      <c r="AE106" s="49"/>
      <c r="AF106" s="49"/>
      <c r="AG106" s="49"/>
      <c r="AH106" s="49"/>
      <c r="AI106" s="49"/>
      <c r="AJ106" s="49"/>
      <c r="AK106" s="49"/>
      <c r="AL106" s="49"/>
      <c r="AM106" s="49"/>
      <c r="AN106" s="49"/>
      <c r="AO106" s="49"/>
    </row>
    <row r="107" spans="3:41" ht="12.75" customHeight="1">
      <c r="C107" s="49"/>
      <c r="D107" s="49"/>
      <c r="E107" s="49"/>
      <c r="F107" s="49"/>
      <c r="G107" s="49"/>
      <c r="H107" s="49"/>
      <c r="I107" s="49"/>
      <c r="J107" s="49"/>
      <c r="K107" s="49"/>
      <c r="L107" s="49"/>
      <c r="M107" s="49"/>
      <c r="S107" s="49"/>
      <c r="T107" s="49"/>
      <c r="U107" s="49"/>
      <c r="W107" s="49"/>
      <c r="X107" s="49"/>
      <c r="Y107" s="49"/>
      <c r="Z107" s="49"/>
      <c r="AA107" s="49"/>
      <c r="AB107" s="49"/>
      <c r="AC107" s="49"/>
      <c r="AD107" s="49"/>
      <c r="AE107" s="49"/>
      <c r="AF107" s="49"/>
      <c r="AG107" s="49"/>
      <c r="AH107" s="49"/>
      <c r="AI107" s="49"/>
      <c r="AJ107" s="49"/>
      <c r="AK107" s="49"/>
      <c r="AL107" s="49"/>
      <c r="AM107" s="49"/>
      <c r="AN107" s="49"/>
      <c r="AO107" s="49"/>
    </row>
    <row r="108" spans="3:41" ht="12.75" customHeight="1">
      <c r="C108" s="49"/>
      <c r="D108" s="49"/>
      <c r="E108" s="49"/>
      <c r="F108" s="49"/>
      <c r="G108" s="49"/>
      <c r="H108" s="49"/>
      <c r="I108" s="49"/>
      <c r="J108" s="49"/>
      <c r="K108" s="49"/>
      <c r="L108" s="49"/>
      <c r="M108" s="49"/>
      <c r="S108" s="49"/>
      <c r="T108" s="49"/>
      <c r="U108" s="49"/>
      <c r="W108" s="49"/>
      <c r="X108" s="49"/>
      <c r="Y108" s="49"/>
      <c r="Z108" s="49"/>
      <c r="AA108" s="49"/>
      <c r="AB108" s="49"/>
      <c r="AC108" s="49"/>
      <c r="AD108" s="49"/>
      <c r="AE108" s="49"/>
      <c r="AF108" s="49"/>
      <c r="AG108" s="49"/>
      <c r="AH108" s="49"/>
      <c r="AI108" s="49"/>
      <c r="AJ108" s="49"/>
      <c r="AK108" s="49"/>
      <c r="AL108" s="49"/>
      <c r="AM108" s="49"/>
      <c r="AN108" s="49"/>
      <c r="AO108" s="49"/>
    </row>
    <row r="109" spans="3:41" ht="12.75" customHeight="1">
      <c r="C109" s="49"/>
      <c r="D109" s="49"/>
      <c r="E109" s="49"/>
      <c r="F109" s="49"/>
      <c r="G109" s="49"/>
      <c r="H109" s="49"/>
      <c r="I109" s="49"/>
      <c r="J109" s="49"/>
      <c r="K109" s="49"/>
      <c r="L109" s="49"/>
      <c r="M109" s="49"/>
      <c r="S109" s="49"/>
      <c r="T109" s="49"/>
      <c r="U109" s="49"/>
      <c r="W109" s="49"/>
      <c r="X109" s="49"/>
      <c r="Y109" s="49"/>
      <c r="Z109" s="49"/>
      <c r="AA109" s="49"/>
      <c r="AB109" s="49"/>
      <c r="AC109" s="49"/>
      <c r="AD109" s="49"/>
      <c r="AE109" s="49"/>
      <c r="AF109" s="49"/>
      <c r="AG109" s="49"/>
      <c r="AH109" s="49"/>
      <c r="AI109" s="49"/>
      <c r="AJ109" s="49"/>
      <c r="AK109" s="49"/>
      <c r="AL109" s="49"/>
      <c r="AM109" s="49"/>
      <c r="AN109" s="49"/>
      <c r="AO109" s="49"/>
    </row>
    <row r="110" spans="3:41" ht="12.75" customHeight="1">
      <c r="C110" s="49"/>
      <c r="D110" s="49"/>
      <c r="E110" s="49"/>
      <c r="F110" s="49"/>
      <c r="G110" s="49"/>
      <c r="H110" s="49"/>
      <c r="I110" s="49"/>
      <c r="J110" s="49"/>
      <c r="K110" s="49"/>
      <c r="L110" s="49"/>
      <c r="M110" s="49"/>
      <c r="S110" s="49"/>
      <c r="T110" s="49"/>
      <c r="U110" s="49"/>
      <c r="W110" s="49"/>
      <c r="X110" s="49"/>
      <c r="Y110" s="49"/>
      <c r="Z110" s="49"/>
      <c r="AA110" s="49"/>
      <c r="AB110" s="49"/>
      <c r="AC110" s="49"/>
      <c r="AD110" s="49"/>
      <c r="AE110" s="49"/>
      <c r="AF110" s="49"/>
      <c r="AG110" s="49"/>
      <c r="AH110" s="49"/>
      <c r="AI110" s="49"/>
      <c r="AJ110" s="49"/>
      <c r="AK110" s="49"/>
      <c r="AL110" s="49"/>
      <c r="AM110" s="49"/>
      <c r="AN110" s="49"/>
      <c r="AO110" s="49"/>
    </row>
    <row r="111" spans="3:41" ht="12.75" customHeight="1">
      <c r="C111" s="49"/>
      <c r="D111" s="49"/>
      <c r="E111" s="49"/>
      <c r="F111" s="49"/>
      <c r="G111" s="49"/>
      <c r="H111" s="49"/>
      <c r="I111" s="49"/>
      <c r="J111" s="49"/>
      <c r="K111" s="49"/>
      <c r="L111" s="49"/>
      <c r="M111" s="49"/>
      <c r="S111" s="49"/>
      <c r="T111" s="49"/>
      <c r="U111" s="49"/>
      <c r="W111" s="49"/>
      <c r="X111" s="49"/>
      <c r="Y111" s="49"/>
      <c r="Z111" s="49"/>
      <c r="AA111" s="49"/>
      <c r="AB111" s="49"/>
      <c r="AC111" s="49"/>
      <c r="AD111" s="49"/>
      <c r="AE111" s="49"/>
      <c r="AF111" s="49"/>
      <c r="AG111" s="49"/>
      <c r="AH111" s="49"/>
      <c r="AI111" s="49"/>
      <c r="AJ111" s="49"/>
      <c r="AK111" s="49"/>
      <c r="AL111" s="49"/>
      <c r="AM111" s="49"/>
      <c r="AN111" s="49"/>
      <c r="AO111" s="49"/>
    </row>
    <row r="112" spans="3:41" ht="12.75" customHeight="1">
      <c r="C112" s="49"/>
      <c r="D112" s="49"/>
      <c r="E112" s="49"/>
      <c r="F112" s="49"/>
      <c r="G112" s="49"/>
      <c r="H112" s="49"/>
      <c r="I112" s="49"/>
      <c r="J112" s="49"/>
      <c r="K112" s="49"/>
      <c r="L112" s="49"/>
      <c r="M112" s="49"/>
      <c r="S112" s="49"/>
      <c r="T112" s="49"/>
      <c r="U112" s="49"/>
      <c r="W112" s="49"/>
      <c r="X112" s="49"/>
      <c r="Y112" s="49"/>
      <c r="Z112" s="49"/>
      <c r="AA112" s="49"/>
      <c r="AB112" s="49"/>
      <c r="AC112" s="49"/>
      <c r="AD112" s="49"/>
      <c r="AE112" s="49"/>
      <c r="AF112" s="49"/>
      <c r="AG112" s="49"/>
      <c r="AH112" s="49"/>
      <c r="AI112" s="49"/>
      <c r="AJ112" s="49"/>
      <c r="AK112" s="49"/>
      <c r="AL112" s="49"/>
      <c r="AM112" s="49"/>
      <c r="AN112" s="49"/>
      <c r="AO112" s="49"/>
    </row>
    <row r="113" spans="3:41" ht="12.75" customHeight="1">
      <c r="C113" s="49"/>
      <c r="D113" s="49"/>
      <c r="E113" s="49"/>
      <c r="F113" s="49"/>
      <c r="G113" s="49"/>
      <c r="H113" s="49"/>
      <c r="I113" s="49"/>
      <c r="J113" s="49"/>
      <c r="K113" s="49"/>
      <c r="L113" s="49"/>
      <c r="M113" s="49"/>
      <c r="S113" s="49"/>
      <c r="T113" s="49"/>
      <c r="U113" s="49"/>
      <c r="W113" s="49"/>
      <c r="X113" s="49"/>
      <c r="Y113" s="49"/>
      <c r="Z113" s="49"/>
      <c r="AA113" s="49"/>
      <c r="AB113" s="49"/>
      <c r="AC113" s="49"/>
      <c r="AD113" s="49"/>
      <c r="AE113" s="49"/>
      <c r="AF113" s="49"/>
      <c r="AG113" s="49"/>
      <c r="AH113" s="49"/>
      <c r="AI113" s="49"/>
      <c r="AJ113" s="49"/>
      <c r="AK113" s="49"/>
      <c r="AL113" s="49"/>
      <c r="AM113" s="49"/>
      <c r="AN113" s="49"/>
      <c r="AO113" s="49"/>
    </row>
    <row r="114" spans="3:41" ht="12.75" customHeight="1">
      <c r="C114" s="49"/>
      <c r="D114" s="49"/>
      <c r="E114" s="49"/>
      <c r="F114" s="49"/>
      <c r="G114" s="49"/>
      <c r="H114" s="49"/>
      <c r="I114" s="49"/>
      <c r="J114" s="49"/>
      <c r="K114" s="49"/>
      <c r="L114" s="49"/>
      <c r="M114" s="49"/>
      <c r="S114" s="49"/>
      <c r="T114" s="49"/>
      <c r="U114" s="49"/>
      <c r="W114" s="49"/>
      <c r="X114" s="49"/>
      <c r="Y114" s="49"/>
      <c r="Z114" s="49"/>
      <c r="AA114" s="49"/>
      <c r="AB114" s="49"/>
      <c r="AC114" s="49"/>
      <c r="AD114" s="49"/>
      <c r="AE114" s="49"/>
      <c r="AF114" s="49"/>
      <c r="AG114" s="49"/>
      <c r="AH114" s="49"/>
      <c r="AI114" s="49"/>
      <c r="AJ114" s="49"/>
      <c r="AK114" s="49"/>
      <c r="AL114" s="49"/>
      <c r="AM114" s="49"/>
      <c r="AN114" s="49"/>
      <c r="AO114" s="49"/>
    </row>
    <row r="115" spans="3:41" ht="12.75" customHeight="1">
      <c r="C115" s="49"/>
      <c r="D115" s="49"/>
      <c r="E115" s="49"/>
      <c r="F115" s="49"/>
      <c r="G115" s="49"/>
      <c r="H115" s="49"/>
      <c r="I115" s="49"/>
      <c r="J115" s="49"/>
      <c r="K115" s="49"/>
      <c r="L115" s="49"/>
      <c r="M115" s="49"/>
      <c r="S115" s="49"/>
      <c r="T115" s="49"/>
      <c r="U115" s="49"/>
      <c r="W115" s="49"/>
      <c r="X115" s="49"/>
      <c r="Y115" s="49"/>
      <c r="Z115" s="49"/>
      <c r="AA115" s="49"/>
      <c r="AB115" s="49"/>
      <c r="AC115" s="49"/>
      <c r="AD115" s="49"/>
      <c r="AE115" s="49"/>
      <c r="AF115" s="49"/>
      <c r="AG115" s="49"/>
      <c r="AH115" s="49"/>
      <c r="AI115" s="49"/>
      <c r="AJ115" s="49"/>
      <c r="AK115" s="49"/>
      <c r="AL115" s="49"/>
      <c r="AM115" s="49"/>
      <c r="AN115" s="49"/>
      <c r="AO115" s="49"/>
    </row>
    <row r="116" spans="3:41" ht="12.75" customHeight="1">
      <c r="C116" s="49"/>
      <c r="D116" s="49"/>
      <c r="E116" s="49"/>
      <c r="F116" s="49"/>
      <c r="G116" s="49"/>
      <c r="H116" s="49"/>
      <c r="I116" s="49"/>
      <c r="J116" s="49"/>
      <c r="K116" s="49"/>
      <c r="L116" s="49"/>
      <c r="M116" s="49"/>
      <c r="S116" s="49"/>
      <c r="T116" s="49"/>
      <c r="U116" s="49"/>
      <c r="W116" s="49"/>
      <c r="X116" s="49"/>
      <c r="Y116" s="49"/>
      <c r="Z116" s="49"/>
      <c r="AA116" s="49"/>
      <c r="AB116" s="49"/>
      <c r="AC116" s="49"/>
      <c r="AD116" s="49"/>
      <c r="AE116" s="49"/>
      <c r="AF116" s="49"/>
      <c r="AG116" s="49"/>
      <c r="AH116" s="49"/>
      <c r="AI116" s="49"/>
      <c r="AJ116" s="49"/>
      <c r="AK116" s="49"/>
      <c r="AL116" s="49"/>
      <c r="AM116" s="49"/>
      <c r="AN116" s="49"/>
      <c r="AO116" s="49"/>
    </row>
    <row r="117" spans="3:41" ht="12.75" customHeight="1">
      <c r="C117" s="49"/>
      <c r="D117" s="49"/>
      <c r="E117" s="49"/>
      <c r="F117" s="49"/>
      <c r="G117" s="49"/>
      <c r="H117" s="49"/>
      <c r="I117" s="49"/>
      <c r="J117" s="49"/>
      <c r="K117" s="49"/>
      <c r="L117" s="49"/>
      <c r="M117" s="49"/>
      <c r="S117" s="49"/>
      <c r="T117" s="49"/>
      <c r="U117" s="49"/>
      <c r="W117" s="49"/>
      <c r="X117" s="49"/>
      <c r="Y117" s="49"/>
      <c r="Z117" s="49"/>
      <c r="AA117" s="49"/>
      <c r="AB117" s="49"/>
      <c r="AC117" s="49"/>
      <c r="AD117" s="49"/>
      <c r="AE117" s="49"/>
      <c r="AF117" s="49"/>
      <c r="AG117" s="49"/>
      <c r="AH117" s="49"/>
      <c r="AI117" s="49"/>
      <c r="AJ117" s="49"/>
      <c r="AK117" s="49"/>
      <c r="AL117" s="49"/>
      <c r="AM117" s="49"/>
      <c r="AN117" s="49"/>
      <c r="AO117" s="49"/>
    </row>
    <row r="118" spans="3:41" ht="12.75" customHeight="1">
      <c r="C118" s="49"/>
      <c r="D118" s="49"/>
      <c r="E118" s="49"/>
      <c r="F118" s="49"/>
      <c r="G118" s="49"/>
      <c r="H118" s="49"/>
      <c r="I118" s="49"/>
      <c r="J118" s="49"/>
      <c r="K118" s="49"/>
      <c r="L118" s="49"/>
      <c r="M118" s="49"/>
      <c r="S118" s="49"/>
      <c r="T118" s="49"/>
      <c r="U118" s="49"/>
      <c r="W118" s="49"/>
      <c r="X118" s="49"/>
      <c r="Y118" s="49"/>
      <c r="Z118" s="49"/>
      <c r="AA118" s="49"/>
      <c r="AB118" s="49"/>
      <c r="AC118" s="49"/>
      <c r="AD118" s="49"/>
      <c r="AE118" s="49"/>
      <c r="AF118" s="49"/>
      <c r="AG118" s="49"/>
      <c r="AH118" s="49"/>
      <c r="AI118" s="49"/>
      <c r="AJ118" s="49"/>
      <c r="AK118" s="49"/>
      <c r="AL118" s="49"/>
      <c r="AM118" s="49"/>
      <c r="AN118" s="49"/>
      <c r="AO118" s="49"/>
    </row>
    <row r="119" spans="3:41" ht="12.75" customHeight="1">
      <c r="C119" s="49"/>
      <c r="D119" s="49"/>
      <c r="E119" s="49"/>
      <c r="F119" s="49"/>
      <c r="G119" s="49"/>
      <c r="H119" s="49"/>
      <c r="I119" s="49"/>
      <c r="J119" s="49"/>
      <c r="K119" s="49"/>
      <c r="L119" s="49"/>
      <c r="M119" s="49"/>
      <c r="S119" s="49"/>
      <c r="T119" s="49"/>
      <c r="U119" s="49"/>
      <c r="W119" s="49"/>
      <c r="X119" s="49"/>
      <c r="Y119" s="49"/>
      <c r="Z119" s="49"/>
      <c r="AA119" s="49"/>
      <c r="AB119" s="49"/>
      <c r="AC119" s="49"/>
      <c r="AD119" s="49"/>
      <c r="AE119" s="49"/>
      <c r="AF119" s="49"/>
      <c r="AG119" s="49"/>
      <c r="AH119" s="49"/>
      <c r="AI119" s="49"/>
      <c r="AJ119" s="49"/>
      <c r="AK119" s="49"/>
      <c r="AL119" s="49"/>
      <c r="AM119" s="49"/>
      <c r="AN119" s="49"/>
      <c r="AO119" s="49"/>
    </row>
    <row r="120" spans="3:41" ht="12.75" customHeight="1">
      <c r="C120" s="49"/>
      <c r="D120" s="49"/>
      <c r="E120" s="49"/>
      <c r="F120" s="49"/>
      <c r="G120" s="49"/>
      <c r="H120" s="49"/>
      <c r="I120" s="49"/>
      <c r="J120" s="49"/>
      <c r="K120" s="49"/>
      <c r="L120" s="49"/>
      <c r="M120" s="49"/>
      <c r="S120" s="49"/>
      <c r="T120" s="49"/>
      <c r="U120" s="49"/>
      <c r="W120" s="49"/>
      <c r="X120" s="49"/>
      <c r="Y120" s="49"/>
      <c r="Z120" s="49"/>
      <c r="AA120" s="49"/>
      <c r="AB120" s="49"/>
      <c r="AC120" s="49"/>
      <c r="AD120" s="49"/>
      <c r="AE120" s="49"/>
      <c r="AF120" s="49"/>
      <c r="AG120" s="49"/>
      <c r="AH120" s="49"/>
      <c r="AI120" s="49"/>
      <c r="AJ120" s="49"/>
      <c r="AK120" s="49"/>
      <c r="AL120" s="49"/>
      <c r="AM120" s="49"/>
      <c r="AN120" s="49"/>
      <c r="AO120" s="49"/>
    </row>
    <row r="121" spans="3:41" ht="12.75" customHeight="1">
      <c r="C121" s="49"/>
      <c r="D121" s="49"/>
      <c r="E121" s="49"/>
      <c r="F121" s="49"/>
      <c r="G121" s="49"/>
      <c r="H121" s="49"/>
      <c r="I121" s="49"/>
      <c r="J121" s="49"/>
      <c r="K121" s="49"/>
      <c r="L121" s="49"/>
      <c r="M121" s="49"/>
      <c r="S121" s="49"/>
      <c r="T121" s="49"/>
      <c r="U121" s="49"/>
      <c r="W121" s="49"/>
      <c r="X121" s="49"/>
      <c r="Y121" s="49"/>
      <c r="Z121" s="49"/>
      <c r="AA121" s="49"/>
      <c r="AB121" s="49"/>
      <c r="AC121" s="49"/>
      <c r="AD121" s="49"/>
      <c r="AE121" s="49"/>
      <c r="AF121" s="49"/>
      <c r="AG121" s="49"/>
      <c r="AH121" s="49"/>
      <c r="AI121" s="49"/>
      <c r="AJ121" s="49"/>
      <c r="AK121" s="49"/>
      <c r="AL121" s="49"/>
      <c r="AM121" s="49"/>
      <c r="AN121" s="49"/>
      <c r="AO121" s="49"/>
    </row>
    <row r="122" spans="3:41" ht="12.75" customHeight="1">
      <c r="C122" s="49"/>
      <c r="D122" s="49"/>
      <c r="E122" s="49"/>
      <c r="F122" s="49"/>
      <c r="G122" s="49"/>
      <c r="H122" s="49"/>
      <c r="I122" s="49"/>
      <c r="J122" s="49"/>
      <c r="K122" s="49"/>
      <c r="L122" s="49"/>
      <c r="M122" s="49"/>
      <c r="S122" s="49"/>
      <c r="T122" s="49"/>
      <c r="U122" s="49"/>
      <c r="W122" s="49"/>
      <c r="X122" s="49"/>
      <c r="Y122" s="49"/>
      <c r="Z122" s="49"/>
      <c r="AA122" s="49"/>
      <c r="AB122" s="49"/>
      <c r="AC122" s="49"/>
      <c r="AD122" s="49"/>
      <c r="AE122" s="49"/>
      <c r="AF122" s="49"/>
      <c r="AG122" s="49"/>
      <c r="AH122" s="49"/>
      <c r="AI122" s="49"/>
      <c r="AJ122" s="49"/>
      <c r="AK122" s="49"/>
      <c r="AL122" s="49"/>
      <c r="AM122" s="49"/>
      <c r="AN122" s="49"/>
      <c r="AO122" s="49"/>
    </row>
    <row r="123" spans="3:41" ht="12.75" customHeight="1">
      <c r="C123" s="49"/>
      <c r="D123" s="49"/>
      <c r="E123" s="49"/>
      <c r="F123" s="49"/>
      <c r="G123" s="49"/>
      <c r="H123" s="49"/>
      <c r="I123" s="49"/>
      <c r="J123" s="49"/>
      <c r="K123" s="49"/>
      <c r="L123" s="49"/>
      <c r="M123" s="49"/>
      <c r="S123" s="49"/>
      <c r="T123" s="49"/>
      <c r="U123" s="49"/>
      <c r="W123" s="49"/>
      <c r="X123" s="49"/>
      <c r="Y123" s="49"/>
      <c r="Z123" s="49"/>
      <c r="AA123" s="49"/>
      <c r="AB123" s="49"/>
      <c r="AC123" s="49"/>
      <c r="AD123" s="49"/>
      <c r="AE123" s="49"/>
      <c r="AF123" s="49"/>
      <c r="AG123" s="49"/>
      <c r="AH123" s="49"/>
      <c r="AI123" s="49"/>
      <c r="AJ123" s="49"/>
      <c r="AK123" s="49"/>
      <c r="AL123" s="49"/>
      <c r="AM123" s="49"/>
      <c r="AN123" s="49"/>
      <c r="AO123" s="49"/>
    </row>
    <row r="124" spans="3:41" ht="12.75" customHeight="1">
      <c r="C124" s="49"/>
      <c r="D124" s="49"/>
      <c r="E124" s="49"/>
      <c r="F124" s="49"/>
      <c r="G124" s="49"/>
      <c r="H124" s="49"/>
      <c r="I124" s="49"/>
      <c r="J124" s="49"/>
      <c r="K124" s="49"/>
      <c r="L124" s="49"/>
      <c r="M124" s="49"/>
      <c r="S124" s="49"/>
      <c r="T124" s="49"/>
      <c r="U124" s="49"/>
      <c r="W124" s="49"/>
      <c r="X124" s="49"/>
      <c r="Y124" s="49"/>
      <c r="Z124" s="49"/>
      <c r="AA124" s="49"/>
      <c r="AB124" s="49"/>
      <c r="AC124" s="49"/>
      <c r="AD124" s="49"/>
      <c r="AE124" s="49"/>
      <c r="AF124" s="49"/>
      <c r="AG124" s="49"/>
      <c r="AH124" s="49"/>
      <c r="AI124" s="49"/>
      <c r="AJ124" s="49"/>
      <c r="AK124" s="49"/>
      <c r="AL124" s="49"/>
      <c r="AM124" s="49"/>
      <c r="AN124" s="49"/>
      <c r="AO124" s="49"/>
    </row>
    <row r="125" spans="3:41" ht="12.75" customHeight="1">
      <c r="C125" s="49"/>
      <c r="D125" s="49"/>
      <c r="E125" s="49"/>
      <c r="F125" s="49"/>
      <c r="G125" s="49"/>
      <c r="H125" s="49"/>
      <c r="I125" s="49"/>
      <c r="J125" s="49"/>
      <c r="K125" s="49"/>
      <c r="L125" s="49"/>
      <c r="M125" s="49"/>
      <c r="S125" s="49"/>
      <c r="T125" s="49"/>
      <c r="U125" s="49"/>
      <c r="W125" s="49"/>
      <c r="X125" s="49"/>
      <c r="Y125" s="49"/>
      <c r="Z125" s="49"/>
      <c r="AA125" s="49"/>
      <c r="AB125" s="49"/>
      <c r="AC125" s="49"/>
      <c r="AD125" s="49"/>
      <c r="AE125" s="49"/>
      <c r="AF125" s="49"/>
      <c r="AG125" s="49"/>
      <c r="AH125" s="49"/>
      <c r="AI125" s="49"/>
      <c r="AJ125" s="49"/>
      <c r="AK125" s="49"/>
      <c r="AL125" s="49"/>
      <c r="AM125" s="49"/>
      <c r="AN125" s="49"/>
      <c r="AO125" s="49"/>
    </row>
    <row r="126" spans="3:41" ht="12.75" customHeight="1">
      <c r="C126" s="49"/>
      <c r="D126" s="49"/>
      <c r="E126" s="49"/>
      <c r="F126" s="49"/>
      <c r="G126" s="49"/>
      <c r="H126" s="49"/>
      <c r="I126" s="49"/>
      <c r="J126" s="49"/>
      <c r="K126" s="49"/>
      <c r="L126" s="49"/>
      <c r="M126" s="49"/>
      <c r="S126" s="49"/>
      <c r="T126" s="49"/>
      <c r="U126" s="49"/>
      <c r="W126" s="49"/>
      <c r="X126" s="49"/>
      <c r="Y126" s="49"/>
      <c r="Z126" s="49"/>
      <c r="AA126" s="49"/>
      <c r="AB126" s="49"/>
      <c r="AC126" s="49"/>
      <c r="AD126" s="49"/>
      <c r="AE126" s="49"/>
      <c r="AF126" s="49"/>
      <c r="AG126" s="49"/>
      <c r="AH126" s="49"/>
      <c r="AI126" s="49"/>
      <c r="AJ126" s="49"/>
      <c r="AK126" s="49"/>
      <c r="AL126" s="49"/>
      <c r="AM126" s="49"/>
      <c r="AN126" s="49"/>
      <c r="AO126" s="49"/>
    </row>
    <row r="127" spans="3:41" ht="12.75" customHeight="1">
      <c r="C127" s="49"/>
      <c r="D127" s="49"/>
      <c r="E127" s="49"/>
      <c r="F127" s="49"/>
      <c r="G127" s="49"/>
      <c r="H127" s="49"/>
      <c r="I127" s="49"/>
      <c r="J127" s="49"/>
      <c r="K127" s="49"/>
      <c r="L127" s="49"/>
      <c r="M127" s="49"/>
      <c r="S127" s="49"/>
      <c r="T127" s="49"/>
      <c r="U127" s="49"/>
      <c r="W127" s="49"/>
      <c r="X127" s="49"/>
      <c r="Y127" s="49"/>
      <c r="Z127" s="49"/>
      <c r="AA127" s="49"/>
      <c r="AB127" s="49"/>
      <c r="AC127" s="49"/>
      <c r="AD127" s="49"/>
      <c r="AE127" s="49"/>
      <c r="AF127" s="49"/>
      <c r="AG127" s="49"/>
      <c r="AH127" s="49"/>
      <c r="AI127" s="49"/>
      <c r="AJ127" s="49"/>
      <c r="AK127" s="49"/>
      <c r="AL127" s="49"/>
      <c r="AM127" s="49"/>
      <c r="AN127" s="49"/>
      <c r="AO127" s="49"/>
    </row>
    <row r="128" spans="3:41" ht="12.75" customHeight="1">
      <c r="C128" s="49"/>
      <c r="D128" s="49"/>
      <c r="E128" s="49"/>
      <c r="F128" s="49"/>
      <c r="G128" s="49"/>
      <c r="H128" s="49"/>
      <c r="I128" s="49"/>
      <c r="J128" s="49"/>
      <c r="K128" s="49"/>
      <c r="L128" s="49"/>
      <c r="M128" s="49"/>
      <c r="S128" s="49"/>
      <c r="T128" s="49"/>
      <c r="U128" s="49"/>
      <c r="W128" s="49"/>
      <c r="X128" s="49"/>
      <c r="Y128" s="49"/>
      <c r="Z128" s="49"/>
      <c r="AA128" s="49"/>
      <c r="AB128" s="49"/>
      <c r="AC128" s="49"/>
      <c r="AD128" s="49"/>
      <c r="AE128" s="49"/>
      <c r="AF128" s="49"/>
      <c r="AG128" s="49"/>
      <c r="AH128" s="49"/>
      <c r="AI128" s="49"/>
      <c r="AJ128" s="49"/>
      <c r="AK128" s="49"/>
      <c r="AL128" s="49"/>
      <c r="AM128" s="49"/>
      <c r="AN128" s="49"/>
      <c r="AO128" s="49"/>
    </row>
    <row r="129" spans="3:41" ht="12.75" customHeight="1">
      <c r="C129" s="49"/>
      <c r="D129" s="49"/>
      <c r="E129" s="49"/>
      <c r="F129" s="49"/>
      <c r="G129" s="49"/>
      <c r="H129" s="49"/>
      <c r="I129" s="49"/>
      <c r="J129" s="49"/>
      <c r="K129" s="49"/>
      <c r="L129" s="49"/>
      <c r="M129" s="49"/>
      <c r="S129" s="49"/>
      <c r="T129" s="49"/>
      <c r="U129" s="49"/>
      <c r="W129" s="49"/>
      <c r="X129" s="49"/>
      <c r="Y129" s="49"/>
      <c r="Z129" s="49"/>
      <c r="AA129" s="49"/>
      <c r="AB129" s="49"/>
      <c r="AC129" s="49"/>
      <c r="AD129" s="49"/>
      <c r="AE129" s="49"/>
      <c r="AF129" s="49"/>
      <c r="AG129" s="49"/>
      <c r="AH129" s="49"/>
      <c r="AI129" s="49"/>
      <c r="AJ129" s="49"/>
      <c r="AK129" s="49"/>
      <c r="AL129" s="49"/>
      <c r="AM129" s="49"/>
      <c r="AN129" s="49"/>
      <c r="AO129" s="49"/>
    </row>
    <row r="130" spans="3:41" ht="12.75" customHeight="1">
      <c r="C130" s="49"/>
      <c r="D130" s="49"/>
      <c r="E130" s="49"/>
      <c r="F130" s="49"/>
      <c r="G130" s="49"/>
      <c r="H130" s="49"/>
      <c r="I130" s="49"/>
      <c r="J130" s="49"/>
      <c r="K130" s="49"/>
      <c r="L130" s="49"/>
      <c r="M130" s="49"/>
      <c r="S130" s="49"/>
      <c r="T130" s="49"/>
      <c r="U130" s="49"/>
      <c r="W130" s="49"/>
      <c r="X130" s="49"/>
      <c r="Y130" s="49"/>
      <c r="Z130" s="49"/>
      <c r="AA130" s="49"/>
      <c r="AB130" s="49"/>
      <c r="AC130" s="49"/>
      <c r="AD130" s="49"/>
      <c r="AE130" s="49"/>
      <c r="AF130" s="49"/>
      <c r="AG130" s="49"/>
      <c r="AH130" s="49"/>
      <c r="AI130" s="49"/>
      <c r="AJ130" s="49"/>
      <c r="AK130" s="49"/>
      <c r="AL130" s="49"/>
      <c r="AM130" s="49"/>
      <c r="AN130" s="49"/>
      <c r="AO130" s="49"/>
    </row>
    <row r="131" spans="3:41" ht="12.75" customHeight="1">
      <c r="C131" s="49"/>
      <c r="D131" s="49"/>
      <c r="E131" s="49"/>
      <c r="F131" s="49"/>
      <c r="G131" s="49"/>
      <c r="H131" s="49"/>
      <c r="I131" s="49"/>
      <c r="J131" s="49"/>
      <c r="K131" s="49"/>
      <c r="L131" s="49"/>
      <c r="M131" s="49"/>
      <c r="S131" s="49"/>
      <c r="T131" s="49"/>
      <c r="U131" s="49"/>
      <c r="W131" s="49"/>
      <c r="X131" s="49"/>
      <c r="Y131" s="49"/>
      <c r="Z131" s="49"/>
      <c r="AA131" s="49"/>
      <c r="AB131" s="49"/>
      <c r="AC131" s="49"/>
      <c r="AD131" s="49"/>
      <c r="AE131" s="49"/>
      <c r="AF131" s="49"/>
      <c r="AG131" s="49"/>
      <c r="AH131" s="49"/>
      <c r="AI131" s="49"/>
      <c r="AJ131" s="49"/>
      <c r="AK131" s="49"/>
      <c r="AL131" s="49"/>
      <c r="AM131" s="49"/>
      <c r="AN131" s="49"/>
      <c r="AO131" s="49"/>
    </row>
    <row r="132" spans="3:41" ht="12.75" customHeight="1">
      <c r="C132" s="49"/>
      <c r="D132" s="49"/>
      <c r="E132" s="49"/>
      <c r="F132" s="49"/>
      <c r="G132" s="49"/>
      <c r="H132" s="49"/>
      <c r="I132" s="49"/>
      <c r="J132" s="49"/>
      <c r="K132" s="49"/>
      <c r="L132" s="49"/>
      <c r="M132" s="49"/>
      <c r="S132" s="49"/>
      <c r="T132" s="49"/>
      <c r="U132" s="49"/>
      <c r="W132" s="49"/>
      <c r="X132" s="49"/>
      <c r="Y132" s="49"/>
      <c r="Z132" s="49"/>
      <c r="AA132" s="49"/>
      <c r="AB132" s="49"/>
      <c r="AC132" s="49"/>
      <c r="AD132" s="49"/>
      <c r="AE132" s="49"/>
      <c r="AF132" s="49"/>
      <c r="AG132" s="49"/>
      <c r="AH132" s="49"/>
      <c r="AI132" s="49"/>
      <c r="AJ132" s="49"/>
      <c r="AK132" s="49"/>
      <c r="AL132" s="49"/>
      <c r="AM132" s="49"/>
      <c r="AN132" s="49"/>
      <c r="AO132" s="49"/>
    </row>
    <row r="133" spans="3:41" ht="12.75" customHeight="1">
      <c r="C133" s="49"/>
      <c r="D133" s="49"/>
      <c r="E133" s="49"/>
      <c r="F133" s="49"/>
      <c r="G133" s="49"/>
      <c r="H133" s="49"/>
      <c r="I133" s="49"/>
      <c r="J133" s="49"/>
      <c r="K133" s="49"/>
      <c r="L133" s="49"/>
      <c r="M133" s="49"/>
      <c r="S133" s="49"/>
      <c r="T133" s="49"/>
      <c r="U133" s="49"/>
      <c r="W133" s="49"/>
      <c r="X133" s="49"/>
      <c r="Y133" s="49"/>
      <c r="Z133" s="49"/>
      <c r="AA133" s="49"/>
      <c r="AB133" s="49"/>
      <c r="AC133" s="49"/>
      <c r="AD133" s="49"/>
      <c r="AE133" s="49"/>
      <c r="AF133" s="49"/>
      <c r="AG133" s="49"/>
      <c r="AH133" s="49"/>
      <c r="AI133" s="49"/>
      <c r="AJ133" s="49"/>
      <c r="AK133" s="49"/>
      <c r="AL133" s="49"/>
      <c r="AM133" s="49"/>
      <c r="AN133" s="49"/>
      <c r="AO133" s="49"/>
    </row>
    <row r="134" spans="3:41" ht="12.75" customHeight="1">
      <c r="C134" s="49"/>
      <c r="D134" s="49"/>
      <c r="E134" s="49"/>
      <c r="F134" s="49"/>
      <c r="G134" s="49"/>
      <c r="H134" s="49"/>
      <c r="I134" s="49"/>
      <c r="J134" s="49"/>
      <c r="K134" s="49"/>
      <c r="L134" s="49"/>
      <c r="M134" s="49"/>
      <c r="S134" s="49"/>
      <c r="T134" s="49"/>
      <c r="U134" s="49"/>
      <c r="W134" s="49"/>
      <c r="X134" s="49"/>
      <c r="Y134" s="49"/>
      <c r="Z134" s="49"/>
      <c r="AA134" s="49"/>
      <c r="AB134" s="49"/>
      <c r="AC134" s="49"/>
      <c r="AD134" s="49"/>
      <c r="AE134" s="49"/>
      <c r="AF134" s="49"/>
      <c r="AG134" s="49"/>
      <c r="AH134" s="49"/>
      <c r="AI134" s="49"/>
      <c r="AJ134" s="49"/>
      <c r="AK134" s="49"/>
      <c r="AL134" s="49"/>
      <c r="AM134" s="49"/>
      <c r="AN134" s="49"/>
      <c r="AO134" s="49"/>
    </row>
    <row r="135" spans="3:41" ht="12.75" customHeight="1">
      <c r="C135" s="49"/>
      <c r="D135" s="49"/>
      <c r="E135" s="49"/>
      <c r="F135" s="49"/>
      <c r="G135" s="49"/>
      <c r="H135" s="49"/>
      <c r="I135" s="49"/>
      <c r="J135" s="49"/>
      <c r="K135" s="49"/>
      <c r="L135" s="49"/>
      <c r="M135" s="49"/>
      <c r="S135" s="49"/>
      <c r="T135" s="49"/>
      <c r="U135" s="49"/>
      <c r="W135" s="49"/>
      <c r="X135" s="49"/>
      <c r="Y135" s="49"/>
      <c r="Z135" s="49"/>
      <c r="AA135" s="49"/>
      <c r="AB135" s="49"/>
      <c r="AC135" s="49"/>
      <c r="AD135" s="49"/>
      <c r="AE135" s="49"/>
      <c r="AF135" s="49"/>
      <c r="AG135" s="49"/>
      <c r="AH135" s="49"/>
      <c r="AI135" s="49"/>
      <c r="AJ135" s="49"/>
      <c r="AK135" s="49"/>
      <c r="AL135" s="49"/>
      <c r="AM135" s="49"/>
      <c r="AN135" s="49"/>
      <c r="AO135" s="49"/>
    </row>
    <row r="136" spans="3:41" ht="12.75" customHeight="1">
      <c r="C136" s="49"/>
      <c r="D136" s="49"/>
      <c r="E136" s="49"/>
      <c r="F136" s="49"/>
      <c r="G136" s="49"/>
      <c r="H136" s="49"/>
      <c r="I136" s="49"/>
      <c r="J136" s="49"/>
      <c r="K136" s="49"/>
      <c r="L136" s="49"/>
      <c r="M136" s="49"/>
      <c r="S136" s="49"/>
      <c r="T136" s="49"/>
      <c r="U136" s="49"/>
      <c r="W136" s="49"/>
      <c r="X136" s="49"/>
      <c r="Y136" s="49"/>
      <c r="Z136" s="49"/>
      <c r="AA136" s="49"/>
      <c r="AB136" s="49"/>
      <c r="AC136" s="49"/>
      <c r="AD136" s="49"/>
      <c r="AE136" s="49"/>
      <c r="AF136" s="49"/>
      <c r="AG136" s="49"/>
      <c r="AH136" s="49"/>
      <c r="AI136" s="49"/>
      <c r="AJ136" s="49"/>
      <c r="AK136" s="49"/>
      <c r="AL136" s="49"/>
      <c r="AM136" s="49"/>
      <c r="AN136" s="49"/>
      <c r="AO136" s="49"/>
    </row>
    <row r="137" spans="3:41" ht="12.75" customHeight="1">
      <c r="C137" s="49"/>
      <c r="D137" s="49"/>
      <c r="E137" s="49"/>
      <c r="F137" s="49"/>
      <c r="G137" s="49"/>
      <c r="H137" s="49"/>
      <c r="I137" s="49"/>
      <c r="J137" s="49"/>
      <c r="K137" s="49"/>
      <c r="L137" s="49"/>
      <c r="M137" s="49"/>
      <c r="S137" s="49"/>
      <c r="T137" s="49"/>
      <c r="U137" s="49"/>
      <c r="W137" s="49"/>
      <c r="X137" s="49"/>
      <c r="Y137" s="49"/>
      <c r="Z137" s="49"/>
      <c r="AA137" s="49"/>
      <c r="AB137" s="49"/>
      <c r="AC137" s="49"/>
      <c r="AD137" s="49"/>
      <c r="AE137" s="49"/>
      <c r="AF137" s="49"/>
      <c r="AG137" s="49"/>
      <c r="AH137" s="49"/>
      <c r="AI137" s="49"/>
      <c r="AJ137" s="49"/>
      <c r="AK137" s="49"/>
      <c r="AL137" s="49"/>
      <c r="AM137" s="49"/>
      <c r="AN137" s="49"/>
      <c r="AO137" s="49"/>
    </row>
    <row r="138" spans="3:41" ht="12.75" customHeight="1">
      <c r="C138" s="49"/>
      <c r="D138" s="49"/>
      <c r="E138" s="49"/>
      <c r="F138" s="49"/>
      <c r="G138" s="49"/>
      <c r="H138" s="49"/>
      <c r="I138" s="49"/>
      <c r="J138" s="49"/>
      <c r="K138" s="49"/>
      <c r="L138" s="49"/>
      <c r="M138" s="49"/>
      <c r="S138" s="49"/>
      <c r="T138" s="49"/>
      <c r="U138" s="49"/>
      <c r="W138" s="49"/>
      <c r="X138" s="49"/>
      <c r="Y138" s="49"/>
      <c r="Z138" s="49"/>
      <c r="AA138" s="49"/>
      <c r="AB138" s="49"/>
      <c r="AC138" s="49"/>
      <c r="AD138" s="49"/>
      <c r="AE138" s="49"/>
      <c r="AF138" s="49"/>
      <c r="AG138" s="49"/>
      <c r="AH138" s="49"/>
      <c r="AI138" s="49"/>
      <c r="AJ138" s="49"/>
      <c r="AK138" s="49"/>
      <c r="AL138" s="49"/>
      <c r="AM138" s="49"/>
      <c r="AN138" s="49"/>
      <c r="AO138" s="49"/>
    </row>
    <row r="139" spans="3:41" ht="12.75" customHeight="1">
      <c r="C139" s="49"/>
      <c r="D139" s="49"/>
      <c r="E139" s="49"/>
      <c r="F139" s="49"/>
      <c r="G139" s="49"/>
      <c r="H139" s="49"/>
      <c r="I139" s="49"/>
      <c r="J139" s="49"/>
      <c r="K139" s="49"/>
      <c r="L139" s="49"/>
      <c r="M139" s="49"/>
      <c r="S139" s="49"/>
      <c r="T139" s="49"/>
      <c r="U139" s="49"/>
      <c r="W139" s="49"/>
      <c r="X139" s="49"/>
      <c r="Y139" s="49"/>
      <c r="Z139" s="49"/>
      <c r="AA139" s="49"/>
      <c r="AB139" s="49"/>
      <c r="AC139" s="49"/>
      <c r="AD139" s="49"/>
      <c r="AE139" s="49"/>
      <c r="AF139" s="49"/>
      <c r="AG139" s="49"/>
      <c r="AH139" s="49"/>
      <c r="AI139" s="49"/>
      <c r="AJ139" s="49"/>
      <c r="AK139" s="49"/>
      <c r="AL139" s="49"/>
      <c r="AM139" s="49"/>
      <c r="AN139" s="49"/>
      <c r="AO139" s="49"/>
    </row>
    <row r="140" spans="3:41" ht="12.75" customHeight="1">
      <c r="C140" s="49"/>
      <c r="D140" s="49"/>
      <c r="E140" s="49"/>
      <c r="F140" s="49"/>
      <c r="G140" s="49"/>
      <c r="H140" s="49"/>
      <c r="I140" s="49"/>
      <c r="J140" s="49"/>
      <c r="K140" s="49"/>
      <c r="L140" s="49"/>
      <c r="M140" s="49"/>
      <c r="S140" s="49"/>
      <c r="T140" s="49"/>
      <c r="U140" s="49"/>
      <c r="W140" s="49"/>
      <c r="X140" s="49"/>
      <c r="Y140" s="49"/>
      <c r="Z140" s="49"/>
      <c r="AA140" s="49"/>
      <c r="AB140" s="49"/>
      <c r="AC140" s="49"/>
      <c r="AD140" s="49"/>
      <c r="AE140" s="49"/>
      <c r="AF140" s="49"/>
      <c r="AG140" s="49"/>
      <c r="AH140" s="49"/>
      <c r="AI140" s="49"/>
      <c r="AJ140" s="49"/>
      <c r="AK140" s="49"/>
      <c r="AL140" s="49"/>
      <c r="AM140" s="49"/>
      <c r="AN140" s="49"/>
      <c r="AO140" s="49"/>
    </row>
    <row r="141" spans="3:41" ht="12.75" customHeight="1">
      <c r="C141" s="49"/>
      <c r="D141" s="49"/>
      <c r="E141" s="49"/>
      <c r="F141" s="49"/>
      <c r="G141" s="49"/>
      <c r="H141" s="49"/>
      <c r="I141" s="49"/>
      <c r="J141" s="49"/>
      <c r="K141" s="49"/>
      <c r="L141" s="49"/>
      <c r="M141" s="49"/>
      <c r="S141" s="49"/>
      <c r="T141" s="49"/>
      <c r="U141" s="49"/>
      <c r="W141" s="49"/>
      <c r="X141" s="49"/>
      <c r="Y141" s="49"/>
      <c r="Z141" s="49"/>
      <c r="AA141" s="49"/>
      <c r="AB141" s="49"/>
      <c r="AC141" s="49"/>
      <c r="AD141" s="49"/>
      <c r="AE141" s="49"/>
      <c r="AF141" s="49"/>
      <c r="AG141" s="49"/>
      <c r="AH141" s="49"/>
      <c r="AI141" s="49"/>
      <c r="AJ141" s="49"/>
      <c r="AK141" s="49"/>
      <c r="AL141" s="49"/>
      <c r="AM141" s="49"/>
      <c r="AN141" s="49"/>
      <c r="AO141" s="49"/>
    </row>
    <row r="142" spans="3:41" ht="12.75" customHeight="1">
      <c r="C142" s="49"/>
      <c r="D142" s="49"/>
      <c r="E142" s="49"/>
      <c r="F142" s="49"/>
      <c r="G142" s="49"/>
      <c r="H142" s="49"/>
      <c r="I142" s="49"/>
      <c r="J142" s="49"/>
      <c r="K142" s="49"/>
      <c r="L142" s="49"/>
      <c r="M142" s="49"/>
      <c r="S142" s="49"/>
      <c r="T142" s="49"/>
      <c r="U142" s="49"/>
      <c r="W142" s="49"/>
      <c r="X142" s="49"/>
      <c r="Y142" s="49"/>
      <c r="Z142" s="49"/>
      <c r="AA142" s="49"/>
      <c r="AB142" s="49"/>
      <c r="AC142" s="49"/>
      <c r="AD142" s="49"/>
      <c r="AE142" s="49"/>
      <c r="AF142" s="49"/>
      <c r="AG142" s="49"/>
      <c r="AH142" s="49"/>
      <c r="AI142" s="49"/>
      <c r="AJ142" s="49"/>
      <c r="AK142" s="49"/>
      <c r="AL142" s="49"/>
      <c r="AM142" s="49"/>
      <c r="AN142" s="49"/>
      <c r="AO142" s="49"/>
    </row>
    <row r="143" spans="3:41" ht="12.75" customHeight="1">
      <c r="C143" s="49"/>
      <c r="D143" s="49"/>
      <c r="E143" s="49"/>
      <c r="F143" s="49"/>
      <c r="G143" s="49"/>
      <c r="H143" s="49"/>
      <c r="I143" s="49"/>
      <c r="J143" s="49"/>
      <c r="K143" s="49"/>
      <c r="L143" s="49"/>
      <c r="M143" s="49"/>
      <c r="S143" s="49"/>
      <c r="T143" s="49"/>
      <c r="U143" s="49"/>
      <c r="W143" s="49"/>
      <c r="X143" s="49"/>
      <c r="Y143" s="49"/>
      <c r="Z143" s="49"/>
      <c r="AA143" s="49"/>
      <c r="AB143" s="49"/>
      <c r="AC143" s="49"/>
      <c r="AD143" s="49"/>
      <c r="AE143" s="49"/>
      <c r="AF143" s="49"/>
      <c r="AG143" s="49"/>
      <c r="AH143" s="49"/>
      <c r="AI143" s="49"/>
      <c r="AJ143" s="49"/>
      <c r="AK143" s="49"/>
      <c r="AL143" s="49"/>
      <c r="AM143" s="49"/>
      <c r="AN143" s="49"/>
      <c r="AO143" s="49"/>
    </row>
    <row r="144" spans="3:41" ht="12.75" customHeight="1">
      <c r="C144" s="49"/>
      <c r="D144" s="49"/>
      <c r="E144" s="49"/>
      <c r="F144" s="49"/>
      <c r="G144" s="49"/>
      <c r="H144" s="49"/>
      <c r="I144" s="49"/>
      <c r="J144" s="49"/>
      <c r="K144" s="49"/>
      <c r="L144" s="49"/>
      <c r="M144" s="49"/>
      <c r="S144" s="49"/>
      <c r="T144" s="49"/>
      <c r="U144" s="49"/>
      <c r="W144" s="49"/>
      <c r="X144" s="49"/>
      <c r="Y144" s="49"/>
      <c r="Z144" s="49"/>
      <c r="AA144" s="49"/>
      <c r="AB144" s="49"/>
      <c r="AC144" s="49"/>
      <c r="AD144" s="49"/>
      <c r="AE144" s="49"/>
      <c r="AF144" s="49"/>
      <c r="AG144" s="49"/>
      <c r="AH144" s="49"/>
      <c r="AI144" s="49"/>
      <c r="AJ144" s="49"/>
      <c r="AK144" s="49"/>
      <c r="AL144" s="49"/>
      <c r="AM144" s="49"/>
      <c r="AN144" s="49"/>
      <c r="AO144" s="49"/>
    </row>
    <row r="145" spans="3:41" ht="12.75" customHeight="1">
      <c r="C145" s="49"/>
      <c r="D145" s="49"/>
      <c r="E145" s="49"/>
      <c r="F145" s="49"/>
      <c r="G145" s="49"/>
      <c r="H145" s="49"/>
      <c r="I145" s="49"/>
      <c r="J145" s="49"/>
      <c r="K145" s="49"/>
      <c r="L145" s="49"/>
      <c r="M145" s="49"/>
      <c r="S145" s="49"/>
      <c r="T145" s="49"/>
      <c r="U145" s="49"/>
      <c r="W145" s="49"/>
      <c r="X145" s="49"/>
      <c r="Y145" s="49"/>
      <c r="Z145" s="49"/>
      <c r="AA145" s="49"/>
      <c r="AB145" s="49"/>
      <c r="AC145" s="49"/>
      <c r="AD145" s="49"/>
      <c r="AE145" s="49"/>
      <c r="AF145" s="49"/>
      <c r="AG145" s="49"/>
      <c r="AH145" s="49"/>
      <c r="AI145" s="49"/>
      <c r="AJ145" s="49"/>
      <c r="AK145" s="49"/>
      <c r="AL145" s="49"/>
      <c r="AM145" s="49"/>
      <c r="AN145" s="49"/>
      <c r="AO145" s="49"/>
    </row>
    <row r="146" spans="3:41" ht="12.75" customHeight="1">
      <c r="C146" s="49"/>
      <c r="D146" s="49"/>
      <c r="E146" s="49"/>
      <c r="F146" s="49"/>
      <c r="G146" s="49"/>
      <c r="H146" s="49"/>
      <c r="I146" s="49"/>
      <c r="J146" s="49"/>
      <c r="K146" s="49"/>
      <c r="L146" s="49"/>
      <c r="M146" s="49"/>
      <c r="S146" s="49"/>
      <c r="T146" s="49"/>
      <c r="U146" s="49"/>
      <c r="W146" s="49"/>
      <c r="X146" s="49"/>
      <c r="Y146" s="49"/>
      <c r="Z146" s="49"/>
      <c r="AA146" s="49"/>
      <c r="AB146" s="49"/>
      <c r="AC146" s="49"/>
      <c r="AD146" s="49"/>
      <c r="AE146" s="49"/>
      <c r="AF146" s="49"/>
      <c r="AG146" s="49"/>
      <c r="AH146" s="49"/>
      <c r="AI146" s="49"/>
      <c r="AJ146" s="49"/>
      <c r="AK146" s="49"/>
      <c r="AL146" s="49"/>
      <c r="AM146" s="49"/>
      <c r="AN146" s="49"/>
      <c r="AO146" s="49"/>
    </row>
    <row r="147" spans="3:41" ht="12.75" customHeight="1">
      <c r="C147" s="49"/>
      <c r="D147" s="49"/>
      <c r="E147" s="49"/>
      <c r="F147" s="49"/>
      <c r="G147" s="49"/>
      <c r="H147" s="49"/>
      <c r="I147" s="49"/>
      <c r="J147" s="49"/>
      <c r="K147" s="49"/>
      <c r="L147" s="49"/>
      <c r="M147" s="49"/>
      <c r="S147" s="49"/>
      <c r="T147" s="49"/>
      <c r="U147" s="49"/>
      <c r="W147" s="49"/>
      <c r="X147" s="49"/>
      <c r="Y147" s="49"/>
      <c r="Z147" s="49"/>
      <c r="AA147" s="49"/>
      <c r="AB147" s="49"/>
      <c r="AC147" s="49"/>
      <c r="AD147" s="49"/>
      <c r="AE147" s="49"/>
      <c r="AF147" s="49"/>
      <c r="AG147" s="49"/>
      <c r="AH147" s="49"/>
      <c r="AI147" s="49"/>
      <c r="AJ147" s="49"/>
      <c r="AK147" s="49"/>
      <c r="AL147" s="49"/>
      <c r="AM147" s="49"/>
      <c r="AN147" s="49"/>
      <c r="AO147" s="49"/>
    </row>
    <row r="148" spans="3:41" ht="12.75" customHeight="1">
      <c r="C148" s="49"/>
      <c r="D148" s="49"/>
      <c r="E148" s="49"/>
      <c r="F148" s="49"/>
      <c r="G148" s="49"/>
      <c r="H148" s="49"/>
      <c r="I148" s="49"/>
      <c r="J148" s="49"/>
      <c r="K148" s="49"/>
      <c r="L148" s="49"/>
      <c r="M148" s="49"/>
      <c r="S148" s="49"/>
      <c r="T148" s="49"/>
      <c r="U148" s="49"/>
      <c r="W148" s="49"/>
      <c r="X148" s="49"/>
      <c r="Y148" s="49"/>
      <c r="Z148" s="49"/>
      <c r="AA148" s="49"/>
      <c r="AB148" s="49"/>
      <c r="AC148" s="49"/>
      <c r="AD148" s="49"/>
      <c r="AE148" s="49"/>
      <c r="AF148" s="49"/>
      <c r="AG148" s="49"/>
      <c r="AH148" s="49"/>
      <c r="AI148" s="49"/>
      <c r="AJ148" s="49"/>
      <c r="AK148" s="49"/>
      <c r="AL148" s="49"/>
      <c r="AM148" s="49"/>
      <c r="AN148" s="49"/>
      <c r="AO148" s="49"/>
    </row>
    <row r="149" spans="3:41" ht="12.75" customHeight="1">
      <c r="C149" s="49"/>
      <c r="D149" s="49"/>
      <c r="E149" s="49"/>
      <c r="F149" s="49"/>
      <c r="G149" s="49"/>
      <c r="H149" s="49"/>
      <c r="I149" s="49"/>
      <c r="J149" s="49"/>
      <c r="K149" s="49"/>
      <c r="L149" s="49"/>
      <c r="M149" s="49"/>
      <c r="S149" s="49"/>
      <c r="T149" s="49"/>
      <c r="U149" s="49"/>
      <c r="W149" s="49"/>
      <c r="X149" s="49"/>
      <c r="Y149" s="49"/>
      <c r="Z149" s="49"/>
      <c r="AA149" s="49"/>
      <c r="AB149" s="49"/>
      <c r="AC149" s="49"/>
      <c r="AD149" s="49"/>
      <c r="AE149" s="49"/>
      <c r="AF149" s="49"/>
      <c r="AG149" s="49"/>
      <c r="AH149" s="49"/>
      <c r="AI149" s="49"/>
      <c r="AJ149" s="49"/>
      <c r="AK149" s="49"/>
      <c r="AL149" s="49"/>
      <c r="AM149" s="49"/>
      <c r="AN149" s="49"/>
      <c r="AO149" s="49"/>
    </row>
    <row r="150" spans="3:41" ht="12.75" customHeight="1">
      <c r="C150" s="49"/>
      <c r="D150" s="49"/>
      <c r="E150" s="49"/>
      <c r="F150" s="49"/>
      <c r="G150" s="49"/>
      <c r="H150" s="49"/>
      <c r="I150" s="49"/>
      <c r="J150" s="49"/>
      <c r="K150" s="49"/>
      <c r="L150" s="49"/>
      <c r="M150" s="49"/>
      <c r="S150" s="49"/>
      <c r="T150" s="49"/>
      <c r="U150" s="49"/>
      <c r="W150" s="49"/>
      <c r="X150" s="49"/>
      <c r="Y150" s="49"/>
      <c r="Z150" s="49"/>
      <c r="AA150" s="49"/>
      <c r="AB150" s="49"/>
      <c r="AC150" s="49"/>
      <c r="AD150" s="49"/>
      <c r="AE150" s="49"/>
      <c r="AF150" s="49"/>
      <c r="AG150" s="49"/>
      <c r="AH150" s="49"/>
      <c r="AI150" s="49"/>
      <c r="AJ150" s="49"/>
      <c r="AK150" s="49"/>
      <c r="AL150" s="49"/>
      <c r="AM150" s="49"/>
      <c r="AN150" s="49"/>
      <c r="AO150" s="49"/>
    </row>
    <row r="151" spans="3:41" ht="12.75" customHeight="1">
      <c r="C151" s="49"/>
      <c r="D151" s="49"/>
      <c r="E151" s="49"/>
      <c r="F151" s="49"/>
      <c r="G151" s="49"/>
      <c r="H151" s="49"/>
      <c r="I151" s="49"/>
      <c r="J151" s="49"/>
      <c r="K151" s="49"/>
      <c r="L151" s="49"/>
      <c r="M151" s="49"/>
      <c r="S151" s="49"/>
      <c r="T151" s="49"/>
      <c r="U151" s="49"/>
      <c r="W151" s="49"/>
      <c r="X151" s="49"/>
      <c r="Y151" s="49"/>
      <c r="Z151" s="49"/>
      <c r="AA151" s="49"/>
      <c r="AB151" s="49"/>
      <c r="AC151" s="49"/>
      <c r="AD151" s="49"/>
      <c r="AE151" s="49"/>
      <c r="AF151" s="49"/>
      <c r="AG151" s="49"/>
      <c r="AH151" s="49"/>
      <c r="AI151" s="49"/>
      <c r="AJ151" s="49"/>
      <c r="AK151" s="49"/>
      <c r="AL151" s="49"/>
      <c r="AM151" s="49"/>
      <c r="AN151" s="49"/>
      <c r="AO151" s="49"/>
    </row>
    <row r="152" spans="3:41" ht="12.75" customHeight="1">
      <c r="C152" s="49"/>
      <c r="D152" s="49"/>
      <c r="E152" s="49"/>
      <c r="F152" s="49"/>
      <c r="G152" s="49"/>
      <c r="H152" s="49"/>
      <c r="I152" s="49"/>
      <c r="J152" s="49"/>
      <c r="K152" s="49"/>
      <c r="L152" s="49"/>
      <c r="M152" s="49"/>
      <c r="S152" s="49"/>
      <c r="T152" s="49"/>
      <c r="U152" s="49"/>
      <c r="W152" s="49"/>
      <c r="X152" s="49"/>
      <c r="Y152" s="49"/>
      <c r="Z152" s="49"/>
      <c r="AA152" s="49"/>
      <c r="AB152" s="49"/>
      <c r="AC152" s="49"/>
      <c r="AD152" s="49"/>
      <c r="AE152" s="49"/>
      <c r="AF152" s="49"/>
      <c r="AG152" s="49"/>
      <c r="AH152" s="49"/>
      <c r="AI152" s="49"/>
      <c r="AJ152" s="49"/>
      <c r="AK152" s="49"/>
      <c r="AL152" s="49"/>
      <c r="AM152" s="49"/>
      <c r="AN152" s="49"/>
      <c r="AO152" s="49"/>
    </row>
    <row r="153" spans="3:41" ht="12.75" customHeight="1">
      <c r="C153" s="49"/>
      <c r="D153" s="49"/>
      <c r="E153" s="49"/>
      <c r="F153" s="49"/>
      <c r="G153" s="49"/>
      <c r="H153" s="49"/>
      <c r="I153" s="49"/>
      <c r="J153" s="49"/>
      <c r="K153" s="49"/>
      <c r="L153" s="49"/>
      <c r="M153" s="49"/>
      <c r="S153" s="49"/>
      <c r="T153" s="49"/>
      <c r="U153" s="49"/>
      <c r="W153" s="49"/>
      <c r="X153" s="49"/>
      <c r="Y153" s="49"/>
      <c r="Z153" s="49"/>
      <c r="AA153" s="49"/>
      <c r="AB153" s="49"/>
      <c r="AC153" s="49"/>
      <c r="AD153" s="49"/>
      <c r="AE153" s="49"/>
      <c r="AF153" s="49"/>
      <c r="AG153" s="49"/>
      <c r="AH153" s="49"/>
      <c r="AI153" s="49"/>
      <c r="AJ153" s="49"/>
      <c r="AK153" s="49"/>
      <c r="AL153" s="49"/>
      <c r="AM153" s="49"/>
      <c r="AN153" s="49"/>
      <c r="AO153" s="49"/>
    </row>
    <row r="154" spans="3:41" ht="12.75" customHeight="1">
      <c r="C154" s="49"/>
      <c r="D154" s="49"/>
      <c r="E154" s="49"/>
      <c r="F154" s="49"/>
      <c r="G154" s="49"/>
      <c r="H154" s="49"/>
      <c r="I154" s="49"/>
      <c r="J154" s="49"/>
      <c r="K154" s="49"/>
      <c r="L154" s="49"/>
      <c r="M154" s="49"/>
      <c r="S154" s="49"/>
      <c r="T154" s="49"/>
      <c r="U154" s="49"/>
      <c r="W154" s="49"/>
      <c r="X154" s="49"/>
      <c r="Y154" s="49"/>
      <c r="Z154" s="49"/>
      <c r="AA154" s="49"/>
      <c r="AB154" s="49"/>
      <c r="AC154" s="49"/>
      <c r="AD154" s="49"/>
      <c r="AE154" s="49"/>
      <c r="AF154" s="49"/>
      <c r="AG154" s="49"/>
      <c r="AH154" s="49"/>
      <c r="AI154" s="49"/>
      <c r="AJ154" s="49"/>
      <c r="AK154" s="49"/>
      <c r="AL154" s="49"/>
      <c r="AM154" s="49"/>
      <c r="AN154" s="49"/>
      <c r="AO154" s="49"/>
    </row>
    <row r="155" spans="3:41" ht="12.75" customHeight="1">
      <c r="C155" s="49"/>
      <c r="D155" s="49"/>
      <c r="E155" s="49"/>
      <c r="F155" s="49"/>
      <c r="G155" s="49"/>
      <c r="H155" s="49"/>
      <c r="I155" s="49"/>
      <c r="J155" s="49"/>
      <c r="K155" s="49"/>
      <c r="L155" s="49"/>
      <c r="M155" s="49"/>
      <c r="S155" s="49"/>
      <c r="T155" s="49"/>
      <c r="U155" s="49"/>
      <c r="W155" s="49"/>
      <c r="X155" s="49"/>
      <c r="Y155" s="49"/>
      <c r="Z155" s="49"/>
      <c r="AA155" s="49"/>
      <c r="AB155" s="49"/>
      <c r="AC155" s="49"/>
      <c r="AD155" s="49"/>
      <c r="AE155" s="49"/>
      <c r="AF155" s="49"/>
      <c r="AG155" s="49"/>
      <c r="AH155" s="49"/>
      <c r="AI155" s="49"/>
      <c r="AJ155" s="49"/>
      <c r="AK155" s="49"/>
      <c r="AL155" s="49"/>
      <c r="AM155" s="49"/>
      <c r="AN155" s="49"/>
      <c r="AO155" s="49"/>
    </row>
    <row r="156" spans="3:41" ht="12.75" customHeight="1">
      <c r="C156" s="49"/>
      <c r="D156" s="49"/>
      <c r="E156" s="49"/>
      <c r="F156" s="49"/>
      <c r="G156" s="49"/>
      <c r="H156" s="49"/>
      <c r="I156" s="49"/>
      <c r="J156" s="49"/>
      <c r="K156" s="49"/>
      <c r="L156" s="49"/>
      <c r="M156" s="49"/>
      <c r="S156" s="49"/>
      <c r="T156" s="49"/>
      <c r="U156" s="49"/>
      <c r="W156" s="49"/>
      <c r="X156" s="49"/>
      <c r="Y156" s="49"/>
      <c r="Z156" s="49"/>
      <c r="AA156" s="49"/>
      <c r="AB156" s="49"/>
      <c r="AC156" s="49"/>
      <c r="AD156" s="49"/>
      <c r="AE156" s="49"/>
      <c r="AF156" s="49"/>
      <c r="AG156" s="49"/>
      <c r="AH156" s="49"/>
      <c r="AI156" s="49"/>
      <c r="AJ156" s="49"/>
      <c r="AK156" s="49"/>
      <c r="AL156" s="49"/>
      <c r="AM156" s="49"/>
      <c r="AN156" s="49"/>
      <c r="AO156" s="49"/>
    </row>
    <row r="157" spans="3:41" ht="12.75" customHeight="1">
      <c r="C157" s="49"/>
      <c r="D157" s="49"/>
      <c r="E157" s="49"/>
      <c r="F157" s="49"/>
      <c r="G157" s="49"/>
      <c r="H157" s="49"/>
      <c r="I157" s="49"/>
      <c r="J157" s="49"/>
      <c r="K157" s="49"/>
      <c r="L157" s="49"/>
      <c r="M157" s="49"/>
      <c r="S157" s="49"/>
      <c r="T157" s="49"/>
      <c r="U157" s="49"/>
      <c r="W157" s="49"/>
      <c r="X157" s="49"/>
      <c r="Y157" s="49"/>
      <c r="Z157" s="49"/>
      <c r="AA157" s="49"/>
      <c r="AB157" s="49"/>
      <c r="AC157" s="49"/>
      <c r="AD157" s="49"/>
      <c r="AE157" s="49"/>
      <c r="AF157" s="49"/>
      <c r="AG157" s="49"/>
      <c r="AH157" s="49"/>
      <c r="AI157" s="49"/>
      <c r="AJ157" s="49"/>
      <c r="AK157" s="49"/>
      <c r="AL157" s="49"/>
      <c r="AM157" s="49"/>
      <c r="AN157" s="49"/>
      <c r="AO157" s="49"/>
    </row>
    <row r="158" spans="3:41" ht="12.75" customHeight="1">
      <c r="C158" s="49"/>
      <c r="D158" s="49"/>
      <c r="E158" s="49"/>
      <c r="F158" s="49"/>
      <c r="G158" s="49"/>
      <c r="H158" s="49"/>
      <c r="I158" s="49"/>
      <c r="J158" s="49"/>
      <c r="K158" s="49"/>
      <c r="L158" s="49"/>
      <c r="M158" s="49"/>
      <c r="S158" s="49"/>
      <c r="T158" s="49"/>
      <c r="U158" s="49"/>
      <c r="W158" s="49"/>
      <c r="X158" s="49"/>
      <c r="Y158" s="49"/>
      <c r="Z158" s="49"/>
      <c r="AA158" s="49"/>
      <c r="AB158" s="49"/>
      <c r="AC158" s="49"/>
      <c r="AD158" s="49"/>
      <c r="AE158" s="49"/>
      <c r="AF158" s="49"/>
      <c r="AG158" s="49"/>
      <c r="AH158" s="49"/>
      <c r="AI158" s="49"/>
      <c r="AJ158" s="49"/>
      <c r="AK158" s="49"/>
      <c r="AL158" s="49"/>
      <c r="AM158" s="49"/>
      <c r="AN158" s="49"/>
      <c r="AO158" s="49"/>
    </row>
    <row r="159" spans="3:41" ht="12.75" customHeight="1">
      <c r="C159" s="49"/>
      <c r="D159" s="49"/>
      <c r="E159" s="49"/>
      <c r="F159" s="49"/>
      <c r="G159" s="49"/>
      <c r="H159" s="49"/>
      <c r="I159" s="49"/>
      <c r="J159" s="49"/>
      <c r="K159" s="49"/>
      <c r="L159" s="49"/>
      <c r="M159" s="49"/>
      <c r="S159" s="49"/>
      <c r="T159" s="49"/>
      <c r="U159" s="49"/>
      <c r="W159" s="49"/>
      <c r="X159" s="49"/>
      <c r="Y159" s="49"/>
      <c r="Z159" s="49"/>
      <c r="AA159" s="49"/>
      <c r="AB159" s="49"/>
      <c r="AC159" s="49"/>
      <c r="AD159" s="49"/>
      <c r="AE159" s="49"/>
      <c r="AF159" s="49"/>
      <c r="AG159" s="49"/>
      <c r="AH159" s="49"/>
      <c r="AI159" s="49"/>
      <c r="AJ159" s="49"/>
      <c r="AK159" s="49"/>
      <c r="AL159" s="49"/>
      <c r="AM159" s="49"/>
      <c r="AN159" s="49"/>
      <c r="AO159" s="49"/>
    </row>
    <row r="160" spans="3:41" ht="12.75" customHeight="1">
      <c r="C160" s="49"/>
      <c r="D160" s="49"/>
      <c r="E160" s="49"/>
      <c r="F160" s="49"/>
      <c r="G160" s="49"/>
      <c r="H160" s="49"/>
      <c r="I160" s="49"/>
      <c r="J160" s="49"/>
      <c r="K160" s="49"/>
      <c r="L160" s="49"/>
      <c r="M160" s="49"/>
      <c r="S160" s="49"/>
      <c r="T160" s="49"/>
      <c r="U160" s="49"/>
      <c r="W160" s="49"/>
      <c r="X160" s="49"/>
      <c r="Y160" s="49"/>
      <c r="Z160" s="49"/>
      <c r="AA160" s="49"/>
      <c r="AB160" s="49"/>
      <c r="AC160" s="49"/>
      <c r="AD160" s="49"/>
      <c r="AE160" s="49"/>
      <c r="AF160" s="49"/>
      <c r="AG160" s="49"/>
      <c r="AH160" s="49"/>
      <c r="AI160" s="49"/>
      <c r="AJ160" s="49"/>
      <c r="AK160" s="49"/>
      <c r="AL160" s="49"/>
      <c r="AM160" s="49"/>
      <c r="AN160" s="49"/>
      <c r="AO160" s="49"/>
    </row>
    <row r="161" spans="3:41" ht="12.75" customHeight="1">
      <c r="C161" s="49"/>
      <c r="D161" s="49"/>
      <c r="E161" s="49"/>
      <c r="F161" s="49"/>
      <c r="G161" s="49"/>
      <c r="H161" s="49"/>
      <c r="I161" s="49"/>
      <c r="J161" s="49"/>
      <c r="K161" s="49"/>
      <c r="L161" s="49"/>
      <c r="M161" s="49"/>
      <c r="S161" s="49"/>
      <c r="T161" s="49"/>
      <c r="U161" s="49"/>
      <c r="W161" s="49"/>
      <c r="X161" s="49"/>
      <c r="Y161" s="49"/>
      <c r="Z161" s="49"/>
      <c r="AA161" s="49"/>
      <c r="AB161" s="49"/>
      <c r="AC161" s="49"/>
      <c r="AD161" s="49"/>
      <c r="AE161" s="49"/>
      <c r="AF161" s="49"/>
      <c r="AG161" s="49"/>
      <c r="AH161" s="49"/>
      <c r="AI161" s="49"/>
      <c r="AJ161" s="49"/>
      <c r="AK161" s="49"/>
      <c r="AL161" s="49"/>
      <c r="AM161" s="49"/>
      <c r="AN161" s="49"/>
      <c r="AO161" s="49"/>
    </row>
    <row r="162" spans="3:41" ht="12.75" customHeight="1">
      <c r="C162" s="49"/>
      <c r="D162" s="49"/>
      <c r="E162" s="49"/>
      <c r="F162" s="49"/>
      <c r="G162" s="49"/>
      <c r="H162" s="49"/>
      <c r="I162" s="49"/>
      <c r="J162" s="49"/>
      <c r="K162" s="49"/>
      <c r="L162" s="49"/>
      <c r="M162" s="49"/>
      <c r="S162" s="49"/>
      <c r="T162" s="49"/>
      <c r="U162" s="49"/>
      <c r="W162" s="49"/>
      <c r="X162" s="49"/>
      <c r="Y162" s="49"/>
      <c r="Z162" s="49"/>
      <c r="AA162" s="49"/>
      <c r="AB162" s="49"/>
      <c r="AC162" s="49"/>
      <c r="AD162" s="49"/>
      <c r="AE162" s="49"/>
      <c r="AF162" s="49"/>
      <c r="AG162" s="49"/>
      <c r="AH162" s="49"/>
      <c r="AI162" s="49"/>
      <c r="AJ162" s="49"/>
      <c r="AK162" s="49"/>
      <c r="AL162" s="49"/>
      <c r="AM162" s="49"/>
      <c r="AN162" s="49"/>
      <c r="AO162" s="49"/>
    </row>
    <row r="163" spans="3:41" ht="12.75" customHeight="1">
      <c r="C163" s="49"/>
      <c r="D163" s="49"/>
      <c r="E163" s="49"/>
      <c r="F163" s="49"/>
      <c r="G163" s="49"/>
      <c r="H163" s="49"/>
      <c r="I163" s="49"/>
      <c r="J163" s="49"/>
      <c r="K163" s="49"/>
      <c r="L163" s="49"/>
      <c r="M163" s="49"/>
      <c r="S163" s="49"/>
      <c r="T163" s="49"/>
      <c r="U163" s="49"/>
      <c r="W163" s="49"/>
      <c r="X163" s="49"/>
      <c r="Y163" s="49"/>
      <c r="Z163" s="49"/>
      <c r="AA163" s="49"/>
      <c r="AB163" s="49"/>
      <c r="AC163" s="49"/>
      <c r="AD163" s="49"/>
      <c r="AE163" s="49"/>
      <c r="AF163" s="49"/>
      <c r="AG163" s="49"/>
      <c r="AH163" s="49"/>
      <c r="AI163" s="49"/>
      <c r="AJ163" s="49"/>
      <c r="AK163" s="49"/>
      <c r="AL163" s="49"/>
      <c r="AM163" s="49"/>
      <c r="AN163" s="49"/>
      <c r="AO163" s="49"/>
    </row>
    <row r="164" spans="3:41" ht="12.75" customHeight="1">
      <c r="C164" s="49"/>
      <c r="D164" s="49"/>
      <c r="E164" s="49"/>
      <c r="F164" s="49"/>
      <c r="G164" s="49"/>
      <c r="H164" s="49"/>
      <c r="I164" s="49"/>
      <c r="J164" s="49"/>
      <c r="K164" s="49"/>
      <c r="L164" s="49"/>
      <c r="M164" s="49"/>
      <c r="S164" s="49"/>
      <c r="T164" s="49"/>
      <c r="U164" s="49"/>
      <c r="W164" s="49"/>
      <c r="X164" s="49"/>
      <c r="Y164" s="49"/>
      <c r="Z164" s="49"/>
      <c r="AA164" s="49"/>
      <c r="AB164" s="49"/>
      <c r="AC164" s="49"/>
      <c r="AD164" s="49"/>
      <c r="AE164" s="49"/>
      <c r="AF164" s="49"/>
      <c r="AG164" s="49"/>
      <c r="AH164" s="49"/>
      <c r="AI164" s="49"/>
      <c r="AJ164" s="49"/>
      <c r="AK164" s="49"/>
      <c r="AL164" s="49"/>
      <c r="AM164" s="49"/>
      <c r="AN164" s="49"/>
      <c r="AO164" s="49"/>
    </row>
    <row r="165" spans="3:41" ht="12.75" customHeight="1">
      <c r="C165" s="49"/>
      <c r="D165" s="49"/>
      <c r="E165" s="49"/>
      <c r="F165" s="49"/>
      <c r="G165" s="49"/>
      <c r="H165" s="49"/>
      <c r="I165" s="49"/>
      <c r="J165" s="49"/>
      <c r="K165" s="49"/>
      <c r="L165" s="49"/>
      <c r="M165" s="49"/>
      <c r="S165" s="49"/>
      <c r="T165" s="49"/>
      <c r="U165" s="49"/>
      <c r="W165" s="49"/>
      <c r="X165" s="49"/>
      <c r="Y165" s="49"/>
      <c r="Z165" s="49"/>
      <c r="AA165" s="49"/>
      <c r="AB165" s="49"/>
      <c r="AC165" s="49"/>
      <c r="AD165" s="49"/>
      <c r="AE165" s="49"/>
      <c r="AF165" s="49"/>
      <c r="AG165" s="49"/>
      <c r="AH165" s="49"/>
      <c r="AI165" s="49"/>
      <c r="AJ165" s="49"/>
      <c r="AK165" s="49"/>
      <c r="AL165" s="49"/>
      <c r="AM165" s="49"/>
      <c r="AN165" s="49"/>
      <c r="AO165" s="49"/>
    </row>
    <row r="166" spans="3:41" ht="12.75" customHeight="1">
      <c r="C166" s="49"/>
      <c r="D166" s="49"/>
      <c r="E166" s="49"/>
      <c r="F166" s="49"/>
      <c r="G166" s="49"/>
      <c r="H166" s="49"/>
      <c r="I166" s="49"/>
      <c r="J166" s="49"/>
      <c r="K166" s="49"/>
      <c r="L166" s="49"/>
      <c r="M166" s="49"/>
      <c r="S166" s="49"/>
      <c r="T166" s="49"/>
      <c r="U166" s="49"/>
      <c r="W166" s="49"/>
      <c r="X166" s="49"/>
      <c r="Y166" s="49"/>
      <c r="Z166" s="49"/>
      <c r="AA166" s="49"/>
      <c r="AB166" s="49"/>
      <c r="AC166" s="49"/>
      <c r="AD166" s="49"/>
      <c r="AE166" s="49"/>
      <c r="AF166" s="49"/>
      <c r="AG166" s="49"/>
      <c r="AH166" s="49"/>
      <c r="AI166" s="49"/>
      <c r="AJ166" s="49"/>
      <c r="AK166" s="49"/>
      <c r="AL166" s="49"/>
      <c r="AM166" s="49"/>
      <c r="AN166" s="49"/>
      <c r="AO166" s="49"/>
    </row>
    <row r="167" spans="3:41" ht="12.75" customHeight="1">
      <c r="C167" s="49"/>
      <c r="D167" s="49"/>
      <c r="E167" s="49"/>
      <c r="F167" s="49"/>
      <c r="G167" s="49"/>
      <c r="H167" s="49"/>
      <c r="I167" s="49"/>
      <c r="J167" s="49"/>
      <c r="K167" s="49"/>
      <c r="L167" s="49"/>
      <c r="M167" s="49"/>
      <c r="S167" s="49"/>
      <c r="T167" s="49"/>
      <c r="U167" s="49"/>
      <c r="W167" s="49"/>
      <c r="X167" s="49"/>
      <c r="Y167" s="49"/>
      <c r="Z167" s="49"/>
      <c r="AA167" s="49"/>
      <c r="AB167" s="49"/>
      <c r="AC167" s="49"/>
      <c r="AD167" s="49"/>
      <c r="AE167" s="49"/>
      <c r="AF167" s="49"/>
      <c r="AG167" s="49"/>
      <c r="AH167" s="49"/>
      <c r="AI167" s="49"/>
      <c r="AJ167" s="49"/>
      <c r="AK167" s="49"/>
      <c r="AL167" s="49"/>
      <c r="AM167" s="49"/>
      <c r="AN167" s="49"/>
      <c r="AO167" s="49"/>
    </row>
    <row r="168" spans="3:41" ht="12.75" customHeight="1">
      <c r="C168" s="49"/>
      <c r="D168" s="49"/>
      <c r="E168" s="49"/>
      <c r="F168" s="49"/>
      <c r="G168" s="49"/>
      <c r="H168" s="49"/>
      <c r="I168" s="49"/>
      <c r="J168" s="49"/>
      <c r="K168" s="49"/>
      <c r="L168" s="49"/>
      <c r="M168" s="49"/>
      <c r="S168" s="49"/>
      <c r="T168" s="49"/>
      <c r="U168" s="49"/>
      <c r="W168" s="49"/>
      <c r="X168" s="49"/>
      <c r="Y168" s="49"/>
      <c r="Z168" s="49"/>
      <c r="AA168" s="49"/>
      <c r="AB168" s="49"/>
      <c r="AC168" s="49"/>
      <c r="AD168" s="49"/>
      <c r="AE168" s="49"/>
      <c r="AF168" s="49"/>
      <c r="AG168" s="49"/>
      <c r="AH168" s="49"/>
      <c r="AI168" s="49"/>
      <c r="AJ168" s="49"/>
      <c r="AK168" s="49"/>
      <c r="AL168" s="49"/>
      <c r="AM168" s="49"/>
      <c r="AN168" s="49"/>
      <c r="AO168" s="49"/>
    </row>
    <row r="169" spans="3:41" ht="12.75" customHeight="1">
      <c r="C169" s="49"/>
      <c r="D169" s="49"/>
      <c r="E169" s="49"/>
      <c r="F169" s="49"/>
      <c r="G169" s="49"/>
      <c r="H169" s="49"/>
      <c r="I169" s="49"/>
      <c r="J169" s="49"/>
      <c r="K169" s="49"/>
      <c r="L169" s="49"/>
      <c r="M169" s="49"/>
      <c r="S169" s="49"/>
      <c r="T169" s="49"/>
      <c r="U169" s="49"/>
      <c r="W169" s="49"/>
      <c r="X169" s="49"/>
      <c r="Y169" s="49"/>
      <c r="Z169" s="49"/>
      <c r="AA169" s="49"/>
      <c r="AB169" s="49"/>
      <c r="AC169" s="49"/>
      <c r="AD169" s="49"/>
      <c r="AE169" s="49"/>
      <c r="AF169" s="49"/>
      <c r="AG169" s="49"/>
      <c r="AH169" s="49"/>
      <c r="AI169" s="49"/>
      <c r="AJ169" s="49"/>
      <c r="AK169" s="49"/>
      <c r="AL169" s="49"/>
      <c r="AM169" s="49"/>
      <c r="AN169" s="49"/>
      <c r="AO169" s="49"/>
    </row>
    <row r="170" spans="3:41" ht="12.75" customHeight="1">
      <c r="C170" s="49"/>
      <c r="D170" s="49"/>
      <c r="E170" s="49"/>
      <c r="F170" s="49"/>
      <c r="G170" s="49"/>
      <c r="H170" s="49"/>
      <c r="I170" s="49"/>
      <c r="J170" s="49"/>
      <c r="K170" s="49"/>
      <c r="L170" s="49"/>
      <c r="M170" s="49"/>
      <c r="S170" s="49"/>
      <c r="T170" s="49"/>
      <c r="U170" s="49"/>
      <c r="W170" s="49"/>
      <c r="X170" s="49"/>
      <c r="Y170" s="49"/>
      <c r="Z170" s="49"/>
      <c r="AA170" s="49"/>
      <c r="AB170" s="49"/>
      <c r="AC170" s="49"/>
      <c r="AD170" s="49"/>
      <c r="AE170" s="49"/>
      <c r="AF170" s="49"/>
      <c r="AG170" s="49"/>
      <c r="AH170" s="49"/>
      <c r="AI170" s="49"/>
      <c r="AJ170" s="49"/>
      <c r="AK170" s="49"/>
      <c r="AL170" s="49"/>
      <c r="AM170" s="49"/>
      <c r="AN170" s="49"/>
      <c r="AO170" s="49"/>
    </row>
    <row r="171" spans="3:41" ht="12.75" customHeight="1">
      <c r="C171" s="49"/>
      <c r="D171" s="49"/>
      <c r="E171" s="49"/>
      <c r="F171" s="49"/>
      <c r="G171" s="49"/>
      <c r="H171" s="49"/>
      <c r="I171" s="49"/>
      <c r="J171" s="49"/>
      <c r="K171" s="49"/>
      <c r="L171" s="49"/>
      <c r="M171" s="49"/>
      <c r="S171" s="49"/>
      <c r="T171" s="49"/>
      <c r="U171" s="49"/>
      <c r="W171" s="49"/>
      <c r="X171" s="49"/>
      <c r="Y171" s="49"/>
      <c r="Z171" s="49"/>
      <c r="AA171" s="49"/>
      <c r="AB171" s="49"/>
      <c r="AC171" s="49"/>
      <c r="AD171" s="49"/>
      <c r="AE171" s="49"/>
      <c r="AF171" s="49"/>
      <c r="AG171" s="49"/>
      <c r="AH171" s="49"/>
      <c r="AI171" s="49"/>
      <c r="AJ171" s="49"/>
      <c r="AK171" s="49"/>
      <c r="AL171" s="49"/>
      <c r="AM171" s="49"/>
      <c r="AN171" s="49"/>
      <c r="AO171" s="49"/>
    </row>
    <row r="172" spans="3:41" ht="12.75" customHeight="1">
      <c r="C172" s="49"/>
      <c r="D172" s="49"/>
      <c r="E172" s="49"/>
      <c r="F172" s="49"/>
      <c r="G172" s="49"/>
      <c r="H172" s="49"/>
      <c r="I172" s="49"/>
      <c r="J172" s="49"/>
      <c r="K172" s="49"/>
      <c r="L172" s="49"/>
      <c r="M172" s="49"/>
      <c r="S172" s="49"/>
      <c r="T172" s="49"/>
      <c r="U172" s="49"/>
      <c r="W172" s="49"/>
      <c r="X172" s="49"/>
      <c r="Y172" s="49"/>
      <c r="Z172" s="49"/>
      <c r="AA172" s="49"/>
      <c r="AB172" s="49"/>
      <c r="AC172" s="49"/>
      <c r="AD172" s="49"/>
      <c r="AE172" s="49"/>
      <c r="AF172" s="49"/>
      <c r="AG172" s="49"/>
      <c r="AH172" s="49"/>
      <c r="AI172" s="49"/>
      <c r="AJ172" s="49"/>
      <c r="AK172" s="49"/>
      <c r="AL172" s="49"/>
      <c r="AM172" s="49"/>
      <c r="AN172" s="49"/>
      <c r="AO172" s="49"/>
    </row>
    <row r="173" spans="3:41" ht="12.75" customHeight="1">
      <c r="C173" s="49"/>
      <c r="D173" s="49"/>
      <c r="E173" s="49"/>
      <c r="F173" s="49"/>
      <c r="G173" s="49"/>
      <c r="H173" s="49"/>
      <c r="I173" s="49"/>
      <c r="J173" s="49"/>
      <c r="K173" s="49"/>
      <c r="L173" s="49"/>
      <c r="M173" s="49"/>
      <c r="S173" s="49"/>
      <c r="T173" s="49"/>
      <c r="U173" s="49"/>
      <c r="W173" s="49"/>
      <c r="X173" s="49"/>
      <c r="Y173" s="49"/>
      <c r="Z173" s="49"/>
      <c r="AA173" s="49"/>
      <c r="AB173" s="49"/>
      <c r="AC173" s="49"/>
      <c r="AD173" s="49"/>
      <c r="AE173" s="49"/>
      <c r="AF173" s="49"/>
      <c r="AG173" s="49"/>
      <c r="AH173" s="49"/>
      <c r="AI173" s="49"/>
      <c r="AJ173" s="49"/>
      <c r="AK173" s="49"/>
      <c r="AL173" s="49"/>
      <c r="AM173" s="49"/>
      <c r="AN173" s="49"/>
      <c r="AO173" s="49"/>
    </row>
    <row r="174" spans="3:41" ht="12.75" customHeight="1">
      <c r="C174" s="49"/>
      <c r="D174" s="49"/>
      <c r="E174" s="49"/>
      <c r="F174" s="49"/>
      <c r="G174" s="49"/>
      <c r="H174" s="49"/>
      <c r="I174" s="49"/>
      <c r="J174" s="49"/>
      <c r="K174" s="49"/>
      <c r="L174" s="49"/>
      <c r="M174" s="49"/>
      <c r="S174" s="49"/>
      <c r="T174" s="49"/>
      <c r="U174" s="49"/>
      <c r="W174" s="49"/>
      <c r="X174" s="49"/>
      <c r="Y174" s="49"/>
      <c r="Z174" s="49"/>
      <c r="AA174" s="49"/>
      <c r="AB174" s="49"/>
      <c r="AC174" s="49"/>
      <c r="AD174" s="49"/>
      <c r="AE174" s="49"/>
      <c r="AF174" s="49"/>
      <c r="AG174" s="49"/>
      <c r="AH174" s="49"/>
      <c r="AI174" s="49"/>
      <c r="AJ174" s="49"/>
      <c r="AK174" s="49"/>
      <c r="AL174" s="49"/>
      <c r="AM174" s="49"/>
      <c r="AN174" s="49"/>
      <c r="AO174" s="49"/>
    </row>
    <row r="175" spans="3:41" ht="12.75" customHeight="1">
      <c r="C175" s="49"/>
      <c r="D175" s="49"/>
      <c r="E175" s="49"/>
      <c r="F175" s="49"/>
      <c r="G175" s="49"/>
      <c r="H175" s="49"/>
      <c r="I175" s="49"/>
      <c r="J175" s="49"/>
      <c r="K175" s="49"/>
      <c r="L175" s="49"/>
      <c r="M175" s="49"/>
      <c r="S175" s="49"/>
      <c r="T175" s="49"/>
      <c r="U175" s="49"/>
      <c r="W175" s="49"/>
      <c r="X175" s="49"/>
      <c r="Y175" s="49"/>
      <c r="Z175" s="49"/>
      <c r="AA175" s="49"/>
      <c r="AB175" s="49"/>
      <c r="AC175" s="49"/>
      <c r="AD175" s="49"/>
      <c r="AE175" s="49"/>
      <c r="AF175" s="49"/>
      <c r="AG175" s="49"/>
      <c r="AH175" s="49"/>
      <c r="AI175" s="49"/>
      <c r="AJ175" s="49"/>
      <c r="AK175" s="49"/>
      <c r="AL175" s="49"/>
      <c r="AM175" s="49"/>
      <c r="AN175" s="49"/>
      <c r="AO175" s="49"/>
    </row>
    <row r="176" spans="3:41" ht="12.75" customHeight="1">
      <c r="C176" s="49"/>
      <c r="D176" s="49"/>
      <c r="E176" s="49"/>
      <c r="F176" s="49"/>
      <c r="G176" s="49"/>
      <c r="H176" s="49"/>
      <c r="I176" s="49"/>
      <c r="J176" s="49"/>
      <c r="K176" s="49"/>
      <c r="L176" s="49"/>
      <c r="M176" s="49"/>
      <c r="S176" s="49"/>
      <c r="T176" s="49"/>
      <c r="U176" s="49"/>
      <c r="W176" s="49"/>
      <c r="X176" s="49"/>
      <c r="Y176" s="49"/>
      <c r="Z176" s="49"/>
      <c r="AA176" s="49"/>
      <c r="AB176" s="49"/>
      <c r="AC176" s="49"/>
      <c r="AD176" s="49"/>
      <c r="AE176" s="49"/>
      <c r="AF176" s="49"/>
      <c r="AG176" s="49"/>
      <c r="AH176" s="49"/>
      <c r="AI176" s="49"/>
      <c r="AJ176" s="49"/>
      <c r="AK176" s="49"/>
      <c r="AL176" s="49"/>
      <c r="AM176" s="49"/>
      <c r="AN176" s="49"/>
      <c r="AO176" s="49"/>
    </row>
    <row r="177" spans="3:41" ht="12.75" customHeight="1">
      <c r="C177" s="49"/>
      <c r="D177" s="49"/>
      <c r="E177" s="49"/>
      <c r="F177" s="49"/>
      <c r="G177" s="49"/>
      <c r="H177" s="49"/>
      <c r="I177" s="49"/>
      <c r="J177" s="49"/>
      <c r="K177" s="49"/>
      <c r="L177" s="49"/>
      <c r="M177" s="49"/>
      <c r="S177" s="49"/>
      <c r="T177" s="49"/>
      <c r="U177" s="49"/>
      <c r="W177" s="49"/>
      <c r="X177" s="49"/>
      <c r="Y177" s="49"/>
      <c r="Z177" s="49"/>
      <c r="AA177" s="49"/>
      <c r="AB177" s="49"/>
      <c r="AC177" s="49"/>
      <c r="AD177" s="49"/>
      <c r="AE177" s="49"/>
      <c r="AF177" s="49"/>
      <c r="AG177" s="49"/>
      <c r="AH177" s="49"/>
      <c r="AI177" s="49"/>
      <c r="AJ177" s="49"/>
      <c r="AK177" s="49"/>
      <c r="AL177" s="49"/>
      <c r="AM177" s="49"/>
      <c r="AN177" s="49"/>
      <c r="AO177" s="49"/>
    </row>
    <row r="178" spans="3:41" ht="12.75" customHeight="1">
      <c r="C178" s="49"/>
      <c r="D178" s="49"/>
      <c r="E178" s="49"/>
      <c r="F178" s="49"/>
      <c r="G178" s="49"/>
      <c r="H178" s="49"/>
      <c r="I178" s="49"/>
      <c r="J178" s="49"/>
      <c r="K178" s="49"/>
      <c r="L178" s="49"/>
      <c r="M178" s="49"/>
      <c r="S178" s="49"/>
      <c r="T178" s="49"/>
      <c r="U178" s="49"/>
      <c r="W178" s="49"/>
      <c r="X178" s="49"/>
      <c r="Y178" s="49"/>
      <c r="Z178" s="49"/>
      <c r="AA178" s="49"/>
      <c r="AB178" s="49"/>
      <c r="AC178" s="49"/>
      <c r="AD178" s="49"/>
      <c r="AE178" s="49"/>
      <c r="AF178" s="49"/>
      <c r="AG178" s="49"/>
      <c r="AH178" s="49"/>
      <c r="AI178" s="49"/>
      <c r="AJ178" s="49"/>
      <c r="AK178" s="49"/>
      <c r="AL178" s="49"/>
      <c r="AM178" s="49"/>
      <c r="AN178" s="49"/>
      <c r="AO178" s="49"/>
    </row>
    <row r="179" spans="3:41" ht="12.75" customHeight="1">
      <c r="C179" s="49"/>
      <c r="D179" s="49"/>
      <c r="E179" s="49"/>
      <c r="F179" s="49"/>
      <c r="G179" s="49"/>
      <c r="H179" s="49"/>
      <c r="I179" s="49"/>
      <c r="J179" s="49"/>
      <c r="K179" s="49"/>
      <c r="L179" s="49"/>
      <c r="M179" s="49"/>
      <c r="S179" s="49"/>
      <c r="T179" s="49"/>
      <c r="U179" s="49"/>
      <c r="W179" s="49"/>
      <c r="X179" s="49"/>
      <c r="Y179" s="49"/>
      <c r="Z179" s="49"/>
      <c r="AA179" s="49"/>
      <c r="AB179" s="49"/>
      <c r="AC179" s="49"/>
      <c r="AD179" s="49"/>
      <c r="AE179" s="49"/>
      <c r="AF179" s="49"/>
      <c r="AG179" s="49"/>
      <c r="AH179" s="49"/>
      <c r="AI179" s="49"/>
      <c r="AJ179" s="49"/>
      <c r="AK179" s="49"/>
      <c r="AL179" s="49"/>
      <c r="AM179" s="49"/>
      <c r="AN179" s="49"/>
      <c r="AO179" s="49"/>
    </row>
    <row r="180" spans="3:41" ht="12.75" customHeight="1">
      <c r="C180" s="49"/>
      <c r="D180" s="49"/>
      <c r="E180" s="49"/>
      <c r="F180" s="49"/>
      <c r="G180" s="49"/>
      <c r="H180" s="49"/>
      <c r="I180" s="49"/>
      <c r="J180" s="49"/>
      <c r="K180" s="49"/>
      <c r="L180" s="49"/>
      <c r="M180" s="49"/>
      <c r="S180" s="49"/>
      <c r="T180" s="49"/>
      <c r="U180" s="49"/>
      <c r="W180" s="49"/>
      <c r="X180" s="49"/>
      <c r="Y180" s="49"/>
      <c r="Z180" s="49"/>
      <c r="AA180" s="49"/>
      <c r="AB180" s="49"/>
      <c r="AC180" s="49"/>
      <c r="AD180" s="49"/>
      <c r="AE180" s="49"/>
      <c r="AF180" s="49"/>
      <c r="AG180" s="49"/>
      <c r="AH180" s="49"/>
      <c r="AI180" s="49"/>
      <c r="AJ180" s="49"/>
      <c r="AK180" s="49"/>
      <c r="AL180" s="49"/>
      <c r="AM180" s="49"/>
      <c r="AN180" s="49"/>
      <c r="AO180" s="49"/>
    </row>
    <row r="181" spans="3:41" ht="12.75" customHeight="1">
      <c r="C181" s="49"/>
      <c r="D181" s="49"/>
      <c r="E181" s="49"/>
      <c r="F181" s="49"/>
      <c r="G181" s="49"/>
      <c r="H181" s="49"/>
      <c r="I181" s="49"/>
      <c r="J181" s="49"/>
      <c r="K181" s="49"/>
      <c r="L181" s="49"/>
      <c r="M181" s="49"/>
      <c r="S181" s="49"/>
      <c r="T181" s="49"/>
      <c r="U181" s="49"/>
      <c r="W181" s="49"/>
      <c r="X181" s="49"/>
      <c r="Y181" s="49"/>
      <c r="Z181" s="49"/>
      <c r="AA181" s="49"/>
      <c r="AB181" s="49"/>
      <c r="AC181" s="49"/>
      <c r="AD181" s="49"/>
      <c r="AE181" s="49"/>
      <c r="AF181" s="49"/>
      <c r="AG181" s="49"/>
      <c r="AH181" s="49"/>
      <c r="AI181" s="49"/>
      <c r="AJ181" s="49"/>
      <c r="AK181" s="49"/>
      <c r="AL181" s="49"/>
      <c r="AM181" s="49"/>
      <c r="AN181" s="49"/>
      <c r="AO181" s="49"/>
    </row>
    <row r="182" spans="3:41" ht="12.75" customHeight="1">
      <c r="C182" s="49"/>
      <c r="D182" s="49"/>
      <c r="E182" s="49"/>
      <c r="F182" s="49"/>
      <c r="G182" s="49"/>
      <c r="H182" s="49"/>
      <c r="I182" s="49"/>
      <c r="J182" s="49"/>
      <c r="K182" s="49"/>
      <c r="L182" s="49"/>
      <c r="M182" s="49"/>
      <c r="S182" s="49"/>
      <c r="T182" s="49"/>
      <c r="U182" s="49"/>
      <c r="W182" s="49"/>
      <c r="X182" s="49"/>
      <c r="Y182" s="49"/>
      <c r="Z182" s="49"/>
      <c r="AA182" s="49"/>
      <c r="AB182" s="49"/>
      <c r="AC182" s="49"/>
      <c r="AD182" s="49"/>
      <c r="AE182" s="49"/>
      <c r="AF182" s="49"/>
      <c r="AG182" s="49"/>
      <c r="AH182" s="49"/>
      <c r="AI182" s="49"/>
      <c r="AJ182" s="49"/>
      <c r="AK182" s="49"/>
      <c r="AL182" s="49"/>
      <c r="AM182" s="49"/>
      <c r="AN182" s="49"/>
      <c r="AO182" s="49"/>
    </row>
    <row r="183" spans="3:41" ht="12.75" customHeight="1">
      <c r="C183" s="49"/>
      <c r="D183" s="49"/>
      <c r="E183" s="49"/>
      <c r="F183" s="49"/>
      <c r="G183" s="49"/>
      <c r="H183" s="49"/>
      <c r="I183" s="49"/>
      <c r="J183" s="49"/>
      <c r="K183" s="49"/>
      <c r="L183" s="49"/>
      <c r="M183" s="49"/>
      <c r="S183" s="49"/>
      <c r="T183" s="49"/>
      <c r="U183" s="49"/>
      <c r="W183" s="49"/>
      <c r="X183" s="49"/>
      <c r="Y183" s="49"/>
      <c r="Z183" s="49"/>
      <c r="AA183" s="49"/>
      <c r="AB183" s="49"/>
      <c r="AC183" s="49"/>
      <c r="AD183" s="49"/>
      <c r="AE183" s="49"/>
      <c r="AF183" s="49"/>
      <c r="AG183" s="49"/>
      <c r="AH183" s="49"/>
      <c r="AI183" s="49"/>
      <c r="AJ183" s="49"/>
      <c r="AK183" s="49"/>
      <c r="AL183" s="49"/>
      <c r="AM183" s="49"/>
      <c r="AN183" s="49"/>
      <c r="AO183" s="49"/>
    </row>
    <row r="184" spans="3:41" ht="12.75" customHeight="1">
      <c r="C184" s="49"/>
      <c r="D184" s="49"/>
      <c r="E184" s="49"/>
      <c r="F184" s="49"/>
      <c r="G184" s="49"/>
      <c r="H184" s="49"/>
      <c r="I184" s="49"/>
      <c r="J184" s="49"/>
      <c r="K184" s="49"/>
      <c r="L184" s="49"/>
      <c r="M184" s="49"/>
      <c r="S184" s="49"/>
      <c r="T184" s="49"/>
      <c r="U184" s="49"/>
      <c r="W184" s="49"/>
      <c r="X184" s="49"/>
      <c r="Y184" s="49"/>
      <c r="Z184" s="49"/>
      <c r="AA184" s="49"/>
      <c r="AB184" s="49"/>
      <c r="AC184" s="49"/>
      <c r="AD184" s="49"/>
      <c r="AE184" s="49"/>
      <c r="AF184" s="49"/>
      <c r="AG184" s="49"/>
      <c r="AH184" s="49"/>
      <c r="AI184" s="49"/>
      <c r="AJ184" s="49"/>
      <c r="AK184" s="49"/>
      <c r="AL184" s="49"/>
      <c r="AM184" s="49"/>
      <c r="AN184" s="49"/>
      <c r="AO184" s="49"/>
    </row>
    <row r="185" spans="3:41" ht="12.75" customHeight="1">
      <c r="C185" s="49"/>
      <c r="D185" s="49"/>
      <c r="E185" s="49"/>
      <c r="F185" s="49"/>
      <c r="G185" s="49"/>
      <c r="H185" s="49"/>
      <c r="I185" s="49"/>
      <c r="J185" s="49"/>
      <c r="K185" s="49"/>
      <c r="L185" s="49"/>
      <c r="M185" s="49"/>
      <c r="S185" s="49"/>
      <c r="T185" s="49"/>
      <c r="U185" s="49"/>
      <c r="W185" s="49"/>
      <c r="X185" s="49"/>
      <c r="Y185" s="49"/>
      <c r="Z185" s="49"/>
      <c r="AA185" s="49"/>
      <c r="AB185" s="49"/>
      <c r="AC185" s="49"/>
      <c r="AD185" s="49"/>
      <c r="AE185" s="49"/>
      <c r="AF185" s="49"/>
      <c r="AG185" s="49"/>
      <c r="AH185" s="49"/>
      <c r="AI185" s="49"/>
      <c r="AJ185" s="49"/>
      <c r="AK185" s="49"/>
      <c r="AL185" s="49"/>
      <c r="AM185" s="49"/>
      <c r="AN185" s="49"/>
      <c r="AO185" s="49"/>
    </row>
    <row r="186" spans="3:41" ht="12.75" customHeight="1">
      <c r="C186" s="49"/>
      <c r="D186" s="49"/>
      <c r="E186" s="49"/>
      <c r="F186" s="49"/>
      <c r="G186" s="49"/>
      <c r="H186" s="49"/>
      <c r="I186" s="49"/>
      <c r="J186" s="49"/>
      <c r="K186" s="49"/>
      <c r="L186" s="49"/>
      <c r="M186" s="49"/>
      <c r="S186" s="49"/>
      <c r="T186" s="49"/>
      <c r="U186" s="49"/>
      <c r="W186" s="49"/>
      <c r="X186" s="49"/>
      <c r="Y186" s="49"/>
      <c r="Z186" s="49"/>
      <c r="AA186" s="49"/>
      <c r="AB186" s="49"/>
      <c r="AC186" s="49"/>
      <c r="AD186" s="49"/>
      <c r="AE186" s="49"/>
      <c r="AF186" s="49"/>
      <c r="AG186" s="49"/>
      <c r="AH186" s="49"/>
      <c r="AI186" s="49"/>
      <c r="AJ186" s="49"/>
      <c r="AK186" s="49"/>
      <c r="AL186" s="49"/>
      <c r="AM186" s="49"/>
      <c r="AN186" s="49"/>
      <c r="AO186" s="49"/>
    </row>
    <row r="187" spans="3:41" ht="12.75" customHeight="1">
      <c r="C187" s="49"/>
      <c r="D187" s="49"/>
      <c r="E187" s="49"/>
      <c r="F187" s="49"/>
      <c r="G187" s="49"/>
      <c r="H187" s="49"/>
      <c r="I187" s="49"/>
      <c r="J187" s="49"/>
      <c r="K187" s="49"/>
      <c r="L187" s="49"/>
      <c r="M187" s="49"/>
      <c r="S187" s="49"/>
      <c r="T187" s="49"/>
      <c r="U187" s="49"/>
      <c r="W187" s="49"/>
      <c r="X187" s="49"/>
      <c r="Y187" s="49"/>
      <c r="Z187" s="49"/>
      <c r="AA187" s="49"/>
      <c r="AB187" s="49"/>
      <c r="AC187" s="49"/>
      <c r="AD187" s="49"/>
      <c r="AE187" s="49"/>
      <c r="AF187" s="49"/>
      <c r="AG187" s="49"/>
      <c r="AH187" s="49"/>
      <c r="AI187" s="49"/>
      <c r="AJ187" s="49"/>
      <c r="AK187" s="49"/>
      <c r="AL187" s="49"/>
      <c r="AM187" s="49"/>
      <c r="AN187" s="49"/>
      <c r="AO187" s="49"/>
    </row>
    <row r="188" spans="3:41" ht="12.75" customHeight="1">
      <c r="C188" s="49"/>
      <c r="D188" s="49"/>
      <c r="E188" s="49"/>
      <c r="F188" s="49"/>
      <c r="G188" s="49"/>
      <c r="H188" s="49"/>
      <c r="I188" s="49"/>
      <c r="J188" s="49"/>
      <c r="K188" s="49"/>
      <c r="L188" s="49"/>
      <c r="M188" s="49"/>
      <c r="S188" s="49"/>
      <c r="T188" s="49"/>
      <c r="U188" s="49"/>
      <c r="W188" s="49"/>
      <c r="X188" s="49"/>
      <c r="Y188" s="49"/>
      <c r="Z188" s="49"/>
      <c r="AA188" s="49"/>
      <c r="AB188" s="49"/>
      <c r="AC188" s="49"/>
      <c r="AD188" s="49"/>
      <c r="AE188" s="49"/>
      <c r="AF188" s="49"/>
      <c r="AG188" s="49"/>
      <c r="AH188" s="49"/>
      <c r="AI188" s="49"/>
      <c r="AJ188" s="49"/>
      <c r="AK188" s="49"/>
      <c r="AL188" s="49"/>
      <c r="AM188" s="49"/>
      <c r="AN188" s="49"/>
      <c r="AO188" s="49"/>
    </row>
    <row r="189" spans="3:41" ht="12.75" customHeight="1">
      <c r="C189" s="49"/>
      <c r="D189" s="49"/>
      <c r="E189" s="49"/>
      <c r="F189" s="49"/>
      <c r="G189" s="49"/>
      <c r="H189" s="49"/>
      <c r="I189" s="49"/>
      <c r="J189" s="49"/>
      <c r="K189" s="49"/>
      <c r="L189" s="49"/>
      <c r="M189" s="49"/>
      <c r="S189" s="49"/>
      <c r="T189" s="49"/>
      <c r="U189" s="49"/>
      <c r="W189" s="49"/>
      <c r="X189" s="49"/>
      <c r="Y189" s="49"/>
      <c r="Z189" s="49"/>
      <c r="AA189" s="49"/>
      <c r="AB189" s="49"/>
      <c r="AC189" s="49"/>
      <c r="AD189" s="49"/>
      <c r="AE189" s="49"/>
      <c r="AF189" s="49"/>
      <c r="AG189" s="49"/>
      <c r="AH189" s="49"/>
      <c r="AI189" s="49"/>
      <c r="AJ189" s="49"/>
      <c r="AK189" s="49"/>
      <c r="AL189" s="49"/>
      <c r="AM189" s="49"/>
      <c r="AN189" s="49"/>
      <c r="AO189" s="49"/>
    </row>
    <row r="190" spans="3:41" ht="12.75" customHeight="1">
      <c r="C190" s="49"/>
      <c r="D190" s="49"/>
      <c r="E190" s="49"/>
      <c r="F190" s="49"/>
      <c r="G190" s="49"/>
      <c r="H190" s="49"/>
      <c r="I190" s="49"/>
      <c r="J190" s="49"/>
      <c r="K190" s="49"/>
      <c r="L190" s="49"/>
      <c r="M190" s="49"/>
      <c r="S190" s="49"/>
      <c r="T190" s="49"/>
      <c r="U190" s="49"/>
      <c r="W190" s="49"/>
      <c r="X190" s="49"/>
      <c r="Y190" s="49"/>
      <c r="Z190" s="49"/>
      <c r="AA190" s="49"/>
      <c r="AB190" s="49"/>
      <c r="AC190" s="49"/>
      <c r="AD190" s="49"/>
      <c r="AE190" s="49"/>
      <c r="AF190" s="49"/>
      <c r="AG190" s="49"/>
      <c r="AH190" s="49"/>
      <c r="AI190" s="49"/>
      <c r="AJ190" s="49"/>
      <c r="AK190" s="49"/>
      <c r="AL190" s="49"/>
      <c r="AM190" s="49"/>
      <c r="AN190" s="49"/>
      <c r="AO190" s="49"/>
    </row>
    <row r="191" spans="3:41" ht="12.75" customHeight="1">
      <c r="C191" s="49"/>
      <c r="D191" s="49"/>
      <c r="E191" s="49"/>
      <c r="F191" s="49"/>
      <c r="G191" s="49"/>
      <c r="H191" s="49"/>
      <c r="I191" s="49"/>
      <c r="J191" s="49"/>
      <c r="K191" s="49"/>
      <c r="L191" s="49"/>
      <c r="M191" s="49"/>
      <c r="S191" s="49"/>
      <c r="T191" s="49"/>
      <c r="U191" s="49"/>
      <c r="W191" s="49"/>
      <c r="X191" s="49"/>
      <c r="Y191" s="49"/>
      <c r="Z191" s="49"/>
      <c r="AA191" s="49"/>
      <c r="AB191" s="49"/>
      <c r="AC191" s="49"/>
      <c r="AD191" s="49"/>
      <c r="AE191" s="49"/>
      <c r="AF191" s="49"/>
      <c r="AG191" s="49"/>
      <c r="AH191" s="49"/>
      <c r="AI191" s="49"/>
      <c r="AJ191" s="49"/>
      <c r="AK191" s="49"/>
      <c r="AL191" s="49"/>
      <c r="AM191" s="49"/>
      <c r="AN191" s="49"/>
      <c r="AO191" s="49"/>
    </row>
    <row r="192" spans="3:41" ht="12.75" customHeight="1">
      <c r="C192" s="49"/>
      <c r="D192" s="49"/>
      <c r="E192" s="49"/>
      <c r="F192" s="49"/>
      <c r="G192" s="49"/>
      <c r="H192" s="49"/>
      <c r="I192" s="49"/>
      <c r="J192" s="49"/>
      <c r="K192" s="49"/>
      <c r="L192" s="49"/>
      <c r="M192" s="49"/>
      <c r="S192" s="49"/>
      <c r="T192" s="49"/>
      <c r="U192" s="49"/>
      <c r="W192" s="49"/>
      <c r="X192" s="49"/>
      <c r="Y192" s="49"/>
      <c r="Z192" s="49"/>
      <c r="AA192" s="49"/>
      <c r="AB192" s="49"/>
      <c r="AC192" s="49"/>
      <c r="AD192" s="49"/>
      <c r="AE192" s="49"/>
      <c r="AF192" s="49"/>
      <c r="AG192" s="49"/>
      <c r="AH192" s="49"/>
      <c r="AI192" s="49"/>
      <c r="AJ192" s="49"/>
      <c r="AK192" s="49"/>
      <c r="AL192" s="49"/>
      <c r="AM192" s="49"/>
      <c r="AN192" s="49"/>
      <c r="AO192" s="49"/>
    </row>
    <row r="193" spans="3:41" ht="12.75" customHeight="1">
      <c r="C193" s="49"/>
      <c r="D193" s="49"/>
      <c r="E193" s="49"/>
      <c r="F193" s="49"/>
      <c r="G193" s="49"/>
      <c r="H193" s="49"/>
      <c r="I193" s="49"/>
      <c r="J193" s="49"/>
      <c r="K193" s="49"/>
      <c r="L193" s="49"/>
      <c r="M193" s="49"/>
      <c r="S193" s="49"/>
      <c r="T193" s="49"/>
      <c r="U193" s="49"/>
      <c r="W193" s="49"/>
      <c r="X193" s="49"/>
      <c r="Y193" s="49"/>
      <c r="Z193" s="49"/>
      <c r="AA193" s="49"/>
      <c r="AB193" s="49"/>
      <c r="AC193" s="49"/>
      <c r="AD193" s="49"/>
      <c r="AE193" s="49"/>
      <c r="AF193" s="49"/>
      <c r="AG193" s="49"/>
      <c r="AH193" s="49"/>
      <c r="AI193" s="49"/>
      <c r="AJ193" s="49"/>
      <c r="AK193" s="49"/>
      <c r="AL193" s="49"/>
      <c r="AM193" s="49"/>
      <c r="AN193" s="49"/>
      <c r="AO193" s="49"/>
    </row>
    <row r="194" spans="3:41" ht="12.75" customHeight="1">
      <c r="C194" s="49"/>
      <c r="D194" s="49"/>
      <c r="E194" s="49"/>
      <c r="F194" s="49"/>
      <c r="G194" s="49"/>
      <c r="H194" s="49"/>
      <c r="I194" s="49"/>
      <c r="J194" s="49"/>
      <c r="K194" s="49"/>
      <c r="L194" s="49"/>
      <c r="M194" s="49"/>
      <c r="S194" s="49"/>
      <c r="T194" s="49"/>
      <c r="U194" s="49"/>
      <c r="W194" s="49"/>
      <c r="X194" s="49"/>
      <c r="Y194" s="49"/>
      <c r="Z194" s="49"/>
      <c r="AA194" s="49"/>
      <c r="AB194" s="49"/>
      <c r="AC194" s="49"/>
      <c r="AD194" s="49"/>
      <c r="AE194" s="49"/>
      <c r="AF194" s="49"/>
      <c r="AG194" s="49"/>
      <c r="AH194" s="49"/>
      <c r="AI194" s="49"/>
      <c r="AJ194" s="49"/>
      <c r="AK194" s="49"/>
      <c r="AL194" s="49"/>
      <c r="AM194" s="49"/>
      <c r="AN194" s="49"/>
      <c r="AO194" s="49"/>
    </row>
    <row r="195" spans="3:41" ht="12.75" customHeight="1">
      <c r="C195" s="49"/>
      <c r="D195" s="49"/>
      <c r="E195" s="49"/>
      <c r="F195" s="49"/>
      <c r="G195" s="49"/>
      <c r="H195" s="49"/>
      <c r="I195" s="49"/>
      <c r="J195" s="49"/>
      <c r="K195" s="49"/>
      <c r="L195" s="49"/>
      <c r="M195" s="49"/>
      <c r="S195" s="49"/>
      <c r="T195" s="49"/>
      <c r="U195" s="49"/>
      <c r="W195" s="49"/>
      <c r="X195" s="49"/>
      <c r="Y195" s="49"/>
      <c r="Z195" s="49"/>
      <c r="AA195" s="49"/>
      <c r="AB195" s="49"/>
      <c r="AC195" s="49"/>
      <c r="AD195" s="49"/>
      <c r="AE195" s="49"/>
      <c r="AF195" s="49"/>
      <c r="AG195" s="49"/>
      <c r="AH195" s="49"/>
      <c r="AI195" s="49"/>
      <c r="AJ195" s="49"/>
      <c r="AK195" s="49"/>
      <c r="AL195" s="49"/>
      <c r="AM195" s="49"/>
      <c r="AN195" s="49"/>
      <c r="AO195" s="49"/>
    </row>
    <row r="196" spans="3:41" ht="12.75" customHeight="1">
      <c r="C196" s="49"/>
      <c r="D196" s="49"/>
      <c r="E196" s="49"/>
      <c r="F196" s="49"/>
      <c r="G196" s="49"/>
      <c r="H196" s="49"/>
      <c r="I196" s="49"/>
      <c r="J196" s="49"/>
      <c r="K196" s="49"/>
      <c r="L196" s="49"/>
      <c r="M196" s="49"/>
      <c r="S196" s="49"/>
      <c r="T196" s="49"/>
      <c r="U196" s="49"/>
      <c r="W196" s="49"/>
      <c r="X196" s="49"/>
      <c r="Y196" s="49"/>
      <c r="Z196" s="49"/>
      <c r="AA196" s="49"/>
      <c r="AB196" s="49"/>
      <c r="AC196" s="49"/>
      <c r="AD196" s="49"/>
      <c r="AE196" s="49"/>
      <c r="AF196" s="49"/>
      <c r="AG196" s="49"/>
      <c r="AH196" s="49"/>
      <c r="AI196" s="49"/>
      <c r="AJ196" s="49"/>
      <c r="AK196" s="49"/>
      <c r="AL196" s="49"/>
      <c r="AM196" s="49"/>
      <c r="AN196" s="49"/>
      <c r="AO196" s="49"/>
    </row>
    <row r="197" spans="3:41" ht="12.75" customHeight="1">
      <c r="C197" s="49"/>
      <c r="D197" s="49"/>
      <c r="E197" s="49"/>
      <c r="F197" s="49"/>
      <c r="G197" s="49"/>
      <c r="H197" s="49"/>
      <c r="I197" s="49"/>
      <c r="J197" s="49"/>
      <c r="K197" s="49"/>
      <c r="L197" s="49"/>
      <c r="M197" s="49"/>
      <c r="S197" s="49"/>
      <c r="T197" s="49"/>
      <c r="U197" s="49"/>
      <c r="W197" s="49"/>
      <c r="X197" s="49"/>
      <c r="Y197" s="49"/>
      <c r="Z197" s="49"/>
      <c r="AA197" s="49"/>
      <c r="AB197" s="49"/>
      <c r="AC197" s="49"/>
      <c r="AD197" s="49"/>
      <c r="AE197" s="49"/>
      <c r="AF197" s="49"/>
      <c r="AG197" s="49"/>
      <c r="AH197" s="49"/>
      <c r="AI197" s="49"/>
      <c r="AJ197" s="49"/>
      <c r="AK197" s="49"/>
      <c r="AL197" s="49"/>
      <c r="AM197" s="49"/>
      <c r="AN197" s="49"/>
      <c r="AO197" s="49"/>
    </row>
    <row r="198" spans="3:41" ht="12.75" customHeight="1">
      <c r="C198" s="49"/>
      <c r="D198" s="49"/>
      <c r="E198" s="49"/>
      <c r="F198" s="49"/>
      <c r="G198" s="49"/>
      <c r="H198" s="49"/>
      <c r="I198" s="49"/>
      <c r="J198" s="49"/>
      <c r="K198" s="49"/>
      <c r="L198" s="49"/>
      <c r="M198" s="49"/>
      <c r="S198" s="49"/>
      <c r="T198" s="49"/>
      <c r="U198" s="49"/>
      <c r="W198" s="49"/>
      <c r="X198" s="49"/>
      <c r="Y198" s="49"/>
      <c r="Z198" s="49"/>
      <c r="AA198" s="49"/>
      <c r="AB198" s="49"/>
      <c r="AC198" s="49"/>
      <c r="AD198" s="49"/>
      <c r="AE198" s="49"/>
      <c r="AF198" s="49"/>
      <c r="AG198" s="49"/>
      <c r="AH198" s="49"/>
      <c r="AI198" s="49"/>
      <c r="AJ198" s="49"/>
      <c r="AK198" s="49"/>
      <c r="AL198" s="49"/>
      <c r="AM198" s="49"/>
      <c r="AN198" s="49"/>
      <c r="AO198" s="49"/>
    </row>
    <row r="199" spans="3:41" ht="12.75" customHeight="1">
      <c r="C199" s="49"/>
      <c r="D199" s="49"/>
      <c r="E199" s="49"/>
      <c r="F199" s="49"/>
      <c r="G199" s="49"/>
      <c r="H199" s="49"/>
      <c r="I199" s="49"/>
      <c r="J199" s="49"/>
      <c r="K199" s="49"/>
      <c r="L199" s="49"/>
      <c r="M199" s="49"/>
      <c r="S199" s="49"/>
      <c r="T199" s="49"/>
      <c r="U199" s="49"/>
      <c r="W199" s="49"/>
      <c r="X199" s="49"/>
      <c r="Y199" s="49"/>
      <c r="Z199" s="49"/>
      <c r="AA199" s="49"/>
      <c r="AB199" s="49"/>
      <c r="AC199" s="49"/>
      <c r="AD199" s="49"/>
      <c r="AE199" s="49"/>
      <c r="AF199" s="49"/>
      <c r="AG199" s="49"/>
      <c r="AH199" s="49"/>
      <c r="AI199" s="49"/>
      <c r="AJ199" s="49"/>
      <c r="AK199" s="49"/>
      <c r="AL199" s="49"/>
      <c r="AM199" s="49"/>
      <c r="AN199" s="49"/>
      <c r="AO199" s="49"/>
    </row>
    <row r="200" spans="3:41" ht="12.75" customHeight="1">
      <c r="C200" s="49"/>
      <c r="D200" s="49"/>
      <c r="E200" s="49"/>
      <c r="F200" s="49"/>
      <c r="G200" s="49"/>
      <c r="H200" s="49"/>
      <c r="I200" s="49"/>
      <c r="J200" s="49"/>
      <c r="K200" s="49"/>
      <c r="L200" s="49"/>
      <c r="M200" s="49"/>
      <c r="S200" s="49"/>
      <c r="T200" s="49"/>
      <c r="U200" s="49"/>
      <c r="W200" s="49"/>
      <c r="X200" s="49"/>
      <c r="Y200" s="49"/>
      <c r="Z200" s="49"/>
      <c r="AA200" s="49"/>
      <c r="AB200" s="49"/>
      <c r="AC200" s="49"/>
      <c r="AD200" s="49"/>
      <c r="AE200" s="49"/>
      <c r="AF200" s="49"/>
      <c r="AG200" s="49"/>
      <c r="AH200" s="49"/>
      <c r="AI200" s="49"/>
      <c r="AJ200" s="49"/>
      <c r="AK200" s="49"/>
      <c r="AL200" s="49"/>
      <c r="AM200" s="49"/>
      <c r="AN200" s="49"/>
      <c r="AO200" s="49"/>
    </row>
    <row r="201" spans="3:41" ht="12.75" customHeight="1">
      <c r="C201" s="49"/>
      <c r="D201" s="49"/>
      <c r="E201" s="49"/>
      <c r="F201" s="49"/>
      <c r="G201" s="49"/>
      <c r="H201" s="49"/>
      <c r="I201" s="49"/>
      <c r="J201" s="49"/>
      <c r="K201" s="49"/>
      <c r="L201" s="49"/>
      <c r="M201" s="49"/>
      <c r="S201" s="49"/>
      <c r="T201" s="49"/>
      <c r="U201" s="49"/>
      <c r="W201" s="49"/>
      <c r="X201" s="49"/>
      <c r="Y201" s="49"/>
      <c r="Z201" s="49"/>
      <c r="AA201" s="49"/>
      <c r="AB201" s="49"/>
      <c r="AC201" s="49"/>
      <c r="AD201" s="49"/>
      <c r="AE201" s="49"/>
      <c r="AF201" s="49"/>
      <c r="AG201" s="49"/>
      <c r="AH201" s="49"/>
      <c r="AI201" s="49"/>
      <c r="AJ201" s="49"/>
      <c r="AK201" s="49"/>
      <c r="AL201" s="49"/>
      <c r="AM201" s="49"/>
      <c r="AN201" s="49"/>
      <c r="AO201" s="49"/>
    </row>
    <row r="202" spans="3:41" ht="12.75" customHeight="1">
      <c r="C202" s="49"/>
      <c r="D202" s="49"/>
      <c r="E202" s="49"/>
      <c r="F202" s="49"/>
      <c r="G202" s="49"/>
      <c r="H202" s="49"/>
      <c r="I202" s="49"/>
      <c r="J202" s="49"/>
      <c r="K202" s="49"/>
      <c r="L202" s="49"/>
      <c r="M202" s="49"/>
      <c r="S202" s="49"/>
      <c r="T202" s="49"/>
      <c r="U202" s="49"/>
      <c r="W202" s="49"/>
      <c r="X202" s="49"/>
      <c r="Y202" s="49"/>
      <c r="Z202" s="49"/>
      <c r="AA202" s="49"/>
      <c r="AB202" s="49"/>
      <c r="AC202" s="49"/>
      <c r="AD202" s="49"/>
      <c r="AE202" s="49"/>
      <c r="AF202" s="49"/>
      <c r="AG202" s="49"/>
      <c r="AH202" s="49"/>
      <c r="AI202" s="49"/>
      <c r="AJ202" s="49"/>
      <c r="AK202" s="49"/>
      <c r="AL202" s="49"/>
      <c r="AM202" s="49"/>
      <c r="AN202" s="49"/>
      <c r="AO202" s="49"/>
    </row>
    <row r="203" spans="3:41" ht="12.75" customHeight="1">
      <c r="C203" s="49"/>
      <c r="D203" s="49"/>
      <c r="E203" s="49"/>
      <c r="F203" s="49"/>
      <c r="G203" s="49"/>
      <c r="H203" s="49"/>
      <c r="I203" s="49"/>
      <c r="J203" s="49"/>
      <c r="K203" s="49"/>
      <c r="L203" s="49"/>
      <c r="M203" s="49"/>
      <c r="S203" s="49"/>
      <c r="T203" s="49"/>
      <c r="U203" s="49"/>
      <c r="W203" s="49"/>
      <c r="X203" s="49"/>
      <c r="Y203" s="49"/>
      <c r="Z203" s="49"/>
      <c r="AA203" s="49"/>
      <c r="AB203" s="49"/>
      <c r="AC203" s="49"/>
      <c r="AD203" s="49"/>
      <c r="AE203" s="49"/>
      <c r="AF203" s="49"/>
      <c r="AG203" s="49"/>
      <c r="AH203" s="49"/>
      <c r="AI203" s="49"/>
      <c r="AJ203" s="49"/>
      <c r="AK203" s="49"/>
      <c r="AL203" s="49"/>
      <c r="AM203" s="49"/>
      <c r="AN203" s="49"/>
      <c r="AO203" s="49"/>
    </row>
    <row r="204" spans="3:41" ht="12.75" customHeight="1">
      <c r="C204" s="49"/>
      <c r="D204" s="49"/>
      <c r="E204" s="49"/>
      <c r="F204" s="49"/>
      <c r="G204" s="49"/>
      <c r="H204" s="49"/>
      <c r="I204" s="49"/>
      <c r="J204" s="49"/>
      <c r="K204" s="49"/>
      <c r="L204" s="49"/>
      <c r="M204" s="49"/>
      <c r="S204" s="49"/>
      <c r="T204" s="49"/>
      <c r="U204" s="49"/>
      <c r="W204" s="49"/>
      <c r="X204" s="49"/>
      <c r="Y204" s="49"/>
      <c r="Z204" s="49"/>
      <c r="AA204" s="49"/>
      <c r="AB204" s="49"/>
      <c r="AC204" s="49"/>
      <c r="AD204" s="49"/>
      <c r="AE204" s="49"/>
      <c r="AF204" s="49"/>
      <c r="AG204" s="49"/>
      <c r="AH204" s="49"/>
      <c r="AI204" s="49"/>
      <c r="AJ204" s="49"/>
      <c r="AK204" s="49"/>
      <c r="AL204" s="49"/>
      <c r="AM204" s="49"/>
      <c r="AN204" s="49"/>
      <c r="AO204" s="49"/>
    </row>
    <row r="205" spans="3:41" ht="12.75" customHeight="1">
      <c r="C205" s="49"/>
      <c r="D205" s="49"/>
      <c r="E205" s="49"/>
      <c r="F205" s="49"/>
      <c r="G205" s="49"/>
      <c r="H205" s="49"/>
      <c r="I205" s="49"/>
      <c r="J205" s="49"/>
      <c r="K205" s="49"/>
      <c r="L205" s="49"/>
      <c r="M205" s="49"/>
      <c r="S205" s="49"/>
      <c r="T205" s="49"/>
      <c r="U205" s="49"/>
      <c r="W205" s="49"/>
      <c r="X205" s="49"/>
      <c r="Y205" s="49"/>
      <c r="Z205" s="49"/>
      <c r="AA205" s="49"/>
      <c r="AB205" s="49"/>
      <c r="AC205" s="49"/>
      <c r="AD205" s="49"/>
      <c r="AE205" s="49"/>
      <c r="AF205" s="49"/>
      <c r="AG205" s="49"/>
      <c r="AH205" s="49"/>
      <c r="AI205" s="49"/>
      <c r="AJ205" s="49"/>
      <c r="AK205" s="49"/>
      <c r="AL205" s="49"/>
      <c r="AM205" s="49"/>
      <c r="AN205" s="49"/>
      <c r="AO205" s="49"/>
    </row>
    <row r="206" spans="3:41" ht="12.75" customHeight="1">
      <c r="C206" s="49"/>
      <c r="D206" s="49"/>
      <c r="E206" s="49"/>
      <c r="F206" s="49"/>
      <c r="G206" s="49"/>
      <c r="H206" s="49"/>
      <c r="I206" s="49"/>
      <c r="J206" s="49"/>
      <c r="K206" s="49"/>
      <c r="L206" s="49"/>
      <c r="M206" s="49"/>
      <c r="S206" s="49"/>
      <c r="T206" s="49"/>
      <c r="U206" s="49"/>
      <c r="W206" s="49"/>
      <c r="X206" s="49"/>
      <c r="Y206" s="49"/>
      <c r="Z206" s="49"/>
      <c r="AA206" s="49"/>
      <c r="AB206" s="49"/>
      <c r="AC206" s="49"/>
      <c r="AD206" s="49"/>
      <c r="AE206" s="49"/>
      <c r="AF206" s="49"/>
      <c r="AG206" s="49"/>
      <c r="AH206" s="49"/>
      <c r="AI206" s="49"/>
      <c r="AJ206" s="49"/>
      <c r="AK206" s="49"/>
      <c r="AL206" s="49"/>
      <c r="AM206" s="49"/>
      <c r="AN206" s="49"/>
      <c r="AO206" s="49"/>
    </row>
    <row r="207" spans="3:41" ht="12.75" customHeight="1">
      <c r="C207" s="49"/>
      <c r="D207" s="49"/>
      <c r="E207" s="49"/>
      <c r="F207" s="49"/>
      <c r="G207" s="49"/>
      <c r="H207" s="49"/>
      <c r="I207" s="49"/>
      <c r="J207" s="49"/>
      <c r="K207" s="49"/>
      <c r="L207" s="49"/>
      <c r="M207" s="49"/>
      <c r="S207" s="49"/>
      <c r="T207" s="49"/>
      <c r="U207" s="49"/>
      <c r="W207" s="49"/>
      <c r="X207" s="49"/>
      <c r="Y207" s="49"/>
      <c r="Z207" s="49"/>
      <c r="AA207" s="49"/>
      <c r="AB207" s="49"/>
      <c r="AC207" s="49"/>
      <c r="AD207" s="49"/>
      <c r="AE207" s="49"/>
      <c r="AF207" s="49"/>
      <c r="AG207" s="49"/>
      <c r="AH207" s="49"/>
      <c r="AI207" s="49"/>
      <c r="AJ207" s="49"/>
      <c r="AK207" s="49"/>
      <c r="AL207" s="49"/>
      <c r="AM207" s="49"/>
      <c r="AN207" s="49"/>
      <c r="AO207" s="49"/>
    </row>
    <row r="208" spans="3:41" ht="12.75" customHeight="1">
      <c r="C208" s="49"/>
      <c r="D208" s="49"/>
      <c r="E208" s="49"/>
      <c r="F208" s="49"/>
      <c r="G208" s="49"/>
      <c r="H208" s="49"/>
      <c r="I208" s="49"/>
      <c r="J208" s="49"/>
      <c r="K208" s="49"/>
      <c r="L208" s="49"/>
      <c r="M208" s="49"/>
      <c r="S208" s="49"/>
      <c r="T208" s="49"/>
      <c r="U208" s="49"/>
      <c r="W208" s="49"/>
      <c r="X208" s="49"/>
      <c r="Y208" s="49"/>
      <c r="Z208" s="49"/>
      <c r="AA208" s="49"/>
      <c r="AB208" s="49"/>
      <c r="AC208" s="49"/>
      <c r="AD208" s="49"/>
      <c r="AE208" s="49"/>
      <c r="AF208" s="49"/>
      <c r="AG208" s="49"/>
      <c r="AH208" s="49"/>
      <c r="AI208" s="49"/>
      <c r="AJ208" s="49"/>
      <c r="AK208" s="49"/>
      <c r="AL208" s="49"/>
      <c r="AM208" s="49"/>
      <c r="AN208" s="49"/>
      <c r="AO208" s="49"/>
    </row>
    <row r="209" spans="3:41" ht="12.75" customHeight="1">
      <c r="C209" s="49"/>
      <c r="D209" s="49"/>
      <c r="E209" s="49"/>
      <c r="F209" s="49"/>
      <c r="G209" s="49"/>
      <c r="H209" s="49"/>
      <c r="I209" s="49"/>
      <c r="J209" s="49"/>
      <c r="K209" s="49"/>
      <c r="L209" s="49"/>
      <c r="M209" s="49"/>
      <c r="S209" s="49"/>
      <c r="T209" s="49"/>
      <c r="U209" s="49"/>
      <c r="W209" s="49"/>
      <c r="X209" s="49"/>
      <c r="Y209" s="49"/>
      <c r="Z209" s="49"/>
      <c r="AA209" s="49"/>
      <c r="AB209" s="49"/>
      <c r="AC209" s="49"/>
      <c r="AD209" s="49"/>
      <c r="AE209" s="49"/>
      <c r="AF209" s="49"/>
      <c r="AG209" s="49"/>
      <c r="AH209" s="49"/>
      <c r="AI209" s="49"/>
      <c r="AJ209" s="49"/>
      <c r="AK209" s="49"/>
      <c r="AL209" s="49"/>
      <c r="AM209" s="49"/>
      <c r="AN209" s="49"/>
      <c r="AO209" s="49"/>
    </row>
    <row r="210" spans="3:41" ht="12.75" customHeight="1">
      <c r="C210" s="49"/>
      <c r="D210" s="49"/>
      <c r="E210" s="49"/>
      <c r="F210" s="49"/>
      <c r="G210" s="49"/>
      <c r="H210" s="49"/>
      <c r="I210" s="49"/>
      <c r="J210" s="49"/>
      <c r="K210" s="49"/>
      <c r="L210" s="49"/>
      <c r="M210" s="49"/>
      <c r="S210" s="49"/>
      <c r="T210" s="49"/>
      <c r="U210" s="49"/>
      <c r="W210" s="49"/>
      <c r="X210" s="49"/>
      <c r="Y210" s="49"/>
      <c r="Z210" s="49"/>
      <c r="AA210" s="49"/>
      <c r="AB210" s="49"/>
      <c r="AC210" s="49"/>
      <c r="AD210" s="49"/>
      <c r="AE210" s="49"/>
      <c r="AF210" s="49"/>
      <c r="AG210" s="49"/>
      <c r="AH210" s="49"/>
      <c r="AI210" s="49"/>
      <c r="AJ210" s="49"/>
      <c r="AK210" s="49"/>
      <c r="AL210" s="49"/>
      <c r="AM210" s="49"/>
      <c r="AN210" s="49"/>
      <c r="AO210" s="49"/>
    </row>
    <row r="211" spans="3:41" ht="12.75" customHeight="1">
      <c r="C211" s="49"/>
      <c r="D211" s="49"/>
      <c r="E211" s="49"/>
      <c r="F211" s="49"/>
      <c r="G211" s="49"/>
      <c r="H211" s="49"/>
      <c r="I211" s="49"/>
      <c r="J211" s="49"/>
      <c r="K211" s="49"/>
      <c r="L211" s="49"/>
      <c r="M211" s="49"/>
      <c r="S211" s="49"/>
      <c r="T211" s="49"/>
      <c r="U211" s="49"/>
      <c r="W211" s="49"/>
      <c r="X211" s="49"/>
      <c r="Y211" s="49"/>
      <c r="Z211" s="49"/>
      <c r="AA211" s="49"/>
      <c r="AB211" s="49"/>
      <c r="AC211" s="49"/>
      <c r="AD211" s="49"/>
      <c r="AE211" s="49"/>
      <c r="AF211" s="49"/>
      <c r="AG211" s="49"/>
      <c r="AH211" s="49"/>
      <c r="AI211" s="49"/>
      <c r="AJ211" s="49"/>
      <c r="AK211" s="49"/>
      <c r="AL211" s="49"/>
      <c r="AM211" s="49"/>
      <c r="AN211" s="49"/>
      <c r="AO211" s="49"/>
    </row>
    <row r="212" spans="3:41" ht="12.75" customHeight="1">
      <c r="C212" s="49"/>
      <c r="D212" s="49"/>
      <c r="E212" s="49"/>
      <c r="F212" s="49"/>
      <c r="G212" s="49"/>
      <c r="H212" s="49"/>
      <c r="I212" s="49"/>
      <c r="J212" s="49"/>
      <c r="K212" s="49"/>
      <c r="L212" s="49"/>
      <c r="M212" s="49"/>
      <c r="S212" s="49"/>
      <c r="T212" s="49"/>
      <c r="U212" s="49"/>
      <c r="W212" s="49"/>
      <c r="X212" s="49"/>
      <c r="Y212" s="49"/>
      <c r="Z212" s="49"/>
      <c r="AA212" s="49"/>
      <c r="AB212" s="49"/>
      <c r="AC212" s="49"/>
      <c r="AD212" s="49"/>
      <c r="AE212" s="49"/>
      <c r="AF212" s="49"/>
      <c r="AG212" s="49"/>
      <c r="AH212" s="49"/>
      <c r="AI212" s="49"/>
      <c r="AJ212" s="49"/>
      <c r="AK212" s="49"/>
      <c r="AL212" s="49"/>
      <c r="AM212" s="49"/>
      <c r="AN212" s="49"/>
      <c r="AO212" s="49"/>
    </row>
    <row r="213" spans="3:41" ht="12.75" customHeight="1">
      <c r="C213" s="49"/>
      <c r="D213" s="49"/>
      <c r="E213" s="49"/>
      <c r="F213" s="49"/>
      <c r="G213" s="49"/>
      <c r="H213" s="49"/>
      <c r="I213" s="49"/>
      <c r="J213" s="49"/>
      <c r="K213" s="49"/>
      <c r="L213" s="49"/>
      <c r="M213" s="49"/>
      <c r="S213" s="49"/>
      <c r="T213" s="49"/>
      <c r="U213" s="49"/>
      <c r="W213" s="49"/>
      <c r="X213" s="49"/>
      <c r="Y213" s="49"/>
      <c r="Z213" s="49"/>
      <c r="AA213" s="49"/>
      <c r="AB213" s="49"/>
      <c r="AC213" s="49"/>
      <c r="AD213" s="49"/>
      <c r="AE213" s="49"/>
      <c r="AF213" s="49"/>
      <c r="AG213" s="49"/>
      <c r="AH213" s="49"/>
      <c r="AI213" s="49"/>
      <c r="AJ213" s="49"/>
      <c r="AK213" s="49"/>
      <c r="AL213" s="49"/>
      <c r="AM213" s="49"/>
      <c r="AN213" s="49"/>
      <c r="AO213" s="49"/>
    </row>
    <row r="214" spans="3:41" ht="12.75" customHeight="1">
      <c r="C214" s="49"/>
      <c r="D214" s="49"/>
      <c r="E214" s="49"/>
      <c r="F214" s="49"/>
      <c r="G214" s="49"/>
      <c r="H214" s="49"/>
      <c r="I214" s="49"/>
      <c r="J214" s="49"/>
      <c r="K214" s="49"/>
      <c r="L214" s="49"/>
      <c r="M214" s="49"/>
      <c r="S214" s="49"/>
      <c r="T214" s="49"/>
      <c r="U214" s="49"/>
      <c r="W214" s="49"/>
      <c r="X214" s="49"/>
      <c r="Y214" s="49"/>
      <c r="Z214" s="49"/>
      <c r="AA214" s="49"/>
      <c r="AB214" s="49"/>
      <c r="AC214" s="49"/>
      <c r="AD214" s="49"/>
      <c r="AE214" s="49"/>
      <c r="AF214" s="49"/>
      <c r="AG214" s="49"/>
      <c r="AH214" s="49"/>
      <c r="AI214" s="49"/>
      <c r="AJ214" s="49"/>
      <c r="AK214" s="49"/>
      <c r="AL214" s="49"/>
      <c r="AM214" s="49"/>
      <c r="AN214" s="49"/>
      <c r="AO214" s="49"/>
    </row>
    <row r="215" spans="3:41" ht="12.75" customHeight="1">
      <c r="C215" s="49"/>
      <c r="D215" s="49"/>
      <c r="E215" s="49"/>
      <c r="F215" s="49"/>
      <c r="G215" s="49"/>
      <c r="H215" s="49"/>
      <c r="I215" s="49"/>
      <c r="J215" s="49"/>
      <c r="K215" s="49"/>
      <c r="L215" s="49"/>
      <c r="M215" s="49"/>
      <c r="S215" s="49"/>
      <c r="T215" s="49"/>
      <c r="U215" s="49"/>
      <c r="W215" s="49"/>
      <c r="X215" s="49"/>
      <c r="Y215" s="49"/>
      <c r="Z215" s="49"/>
      <c r="AA215" s="49"/>
      <c r="AB215" s="49"/>
      <c r="AC215" s="49"/>
      <c r="AD215" s="49"/>
      <c r="AE215" s="49"/>
      <c r="AF215" s="49"/>
      <c r="AG215" s="49"/>
      <c r="AH215" s="49"/>
      <c r="AI215" s="49"/>
      <c r="AJ215" s="49"/>
      <c r="AK215" s="49"/>
      <c r="AL215" s="49"/>
      <c r="AM215" s="49"/>
      <c r="AN215" s="49"/>
      <c r="AO215" s="49"/>
    </row>
    <row r="216" spans="3:41" ht="12.75" customHeight="1">
      <c r="C216" s="49"/>
      <c r="D216" s="49"/>
      <c r="E216" s="49"/>
      <c r="F216" s="49"/>
      <c r="G216" s="49"/>
      <c r="H216" s="49"/>
      <c r="I216" s="49"/>
      <c r="J216" s="49"/>
      <c r="K216" s="49"/>
      <c r="L216" s="49"/>
      <c r="M216" s="49"/>
      <c r="S216" s="49"/>
      <c r="T216" s="49"/>
      <c r="U216" s="49"/>
      <c r="W216" s="49"/>
      <c r="X216" s="49"/>
      <c r="Y216" s="49"/>
      <c r="Z216" s="49"/>
      <c r="AA216" s="49"/>
      <c r="AB216" s="49"/>
      <c r="AC216" s="49"/>
      <c r="AD216" s="49"/>
      <c r="AE216" s="49"/>
      <c r="AF216" s="49"/>
      <c r="AG216" s="49"/>
      <c r="AH216" s="49"/>
      <c r="AI216" s="49"/>
      <c r="AJ216" s="49"/>
      <c r="AK216" s="49"/>
      <c r="AL216" s="49"/>
      <c r="AM216" s="49"/>
      <c r="AN216" s="49"/>
      <c r="AO216" s="49"/>
    </row>
    <row r="217" spans="3:41" ht="12.75" customHeight="1">
      <c r="C217" s="49"/>
      <c r="D217" s="49"/>
      <c r="E217" s="49"/>
      <c r="F217" s="49"/>
      <c r="G217" s="49"/>
      <c r="H217" s="49"/>
      <c r="I217" s="49"/>
      <c r="J217" s="49"/>
      <c r="K217" s="49"/>
      <c r="L217" s="49"/>
      <c r="M217" s="49"/>
      <c r="S217" s="49"/>
      <c r="T217" s="49"/>
      <c r="U217" s="49"/>
      <c r="W217" s="49"/>
      <c r="X217" s="49"/>
      <c r="Y217" s="49"/>
      <c r="Z217" s="49"/>
      <c r="AA217" s="49"/>
      <c r="AB217" s="49"/>
      <c r="AC217" s="49"/>
      <c r="AD217" s="49"/>
      <c r="AE217" s="49"/>
      <c r="AF217" s="49"/>
      <c r="AG217" s="49"/>
      <c r="AH217" s="49"/>
      <c r="AI217" s="49"/>
      <c r="AJ217" s="49"/>
      <c r="AK217" s="49"/>
      <c r="AL217" s="49"/>
      <c r="AM217" s="49"/>
      <c r="AN217" s="49"/>
      <c r="AO217" s="49"/>
    </row>
    <row r="218" spans="3:41" ht="12.75" customHeight="1">
      <c r="C218" s="49"/>
      <c r="D218" s="49"/>
      <c r="E218" s="49"/>
      <c r="F218" s="49"/>
      <c r="G218" s="49"/>
      <c r="H218" s="49"/>
      <c r="I218" s="49"/>
      <c r="J218" s="49"/>
      <c r="K218" s="49"/>
      <c r="L218" s="49"/>
      <c r="M218" s="49"/>
      <c r="S218" s="49"/>
      <c r="T218" s="49"/>
      <c r="U218" s="49"/>
      <c r="W218" s="49"/>
      <c r="X218" s="49"/>
      <c r="Y218" s="49"/>
      <c r="Z218" s="49"/>
      <c r="AA218" s="49"/>
      <c r="AB218" s="49"/>
      <c r="AC218" s="49"/>
      <c r="AD218" s="49"/>
      <c r="AE218" s="49"/>
      <c r="AF218" s="49"/>
      <c r="AG218" s="49"/>
      <c r="AH218" s="49"/>
      <c r="AI218" s="49"/>
      <c r="AJ218" s="49"/>
      <c r="AK218" s="49"/>
      <c r="AL218" s="49"/>
      <c r="AM218" s="49"/>
      <c r="AN218" s="49"/>
      <c r="AO218" s="49"/>
    </row>
    <row r="219" spans="3:41" ht="12.75" customHeight="1">
      <c r="C219" s="49"/>
      <c r="D219" s="49"/>
      <c r="E219" s="49"/>
      <c r="F219" s="49"/>
      <c r="G219" s="49"/>
      <c r="H219" s="49"/>
      <c r="I219" s="49"/>
      <c r="J219" s="49"/>
      <c r="K219" s="49"/>
      <c r="L219" s="49"/>
      <c r="M219" s="49"/>
      <c r="S219" s="49"/>
      <c r="T219" s="49"/>
      <c r="U219" s="49"/>
      <c r="W219" s="49"/>
      <c r="X219" s="49"/>
      <c r="Y219" s="49"/>
      <c r="Z219" s="49"/>
      <c r="AA219" s="49"/>
      <c r="AB219" s="49"/>
      <c r="AC219" s="49"/>
      <c r="AD219" s="49"/>
      <c r="AE219" s="49"/>
      <c r="AF219" s="49"/>
      <c r="AG219" s="49"/>
      <c r="AH219" s="49"/>
      <c r="AI219" s="49"/>
      <c r="AJ219" s="49"/>
      <c r="AK219" s="49"/>
      <c r="AL219" s="49"/>
      <c r="AM219" s="49"/>
      <c r="AN219" s="49"/>
      <c r="AO219" s="49"/>
    </row>
    <row r="220" spans="3:41" ht="12.75" customHeight="1">
      <c r="C220" s="49"/>
      <c r="D220" s="49"/>
      <c r="E220" s="49"/>
      <c r="F220" s="49"/>
      <c r="G220" s="49"/>
      <c r="H220" s="49"/>
      <c r="I220" s="49"/>
      <c r="J220" s="49"/>
      <c r="K220" s="49"/>
      <c r="L220" s="49"/>
      <c r="M220" s="49"/>
      <c r="S220" s="49"/>
      <c r="T220" s="49"/>
      <c r="U220" s="49"/>
      <c r="W220" s="49"/>
      <c r="X220" s="49"/>
      <c r="Y220" s="49"/>
      <c r="Z220" s="49"/>
      <c r="AA220" s="49"/>
      <c r="AB220" s="49"/>
      <c r="AC220" s="49"/>
      <c r="AD220" s="49"/>
      <c r="AE220" s="49"/>
      <c r="AF220" s="49"/>
      <c r="AG220" s="49"/>
      <c r="AH220" s="49"/>
      <c r="AI220" s="49"/>
      <c r="AJ220" s="49"/>
      <c r="AK220" s="49"/>
      <c r="AL220" s="49"/>
      <c r="AM220" s="49"/>
      <c r="AN220" s="49"/>
      <c r="AO220" s="49"/>
    </row>
    <row r="221" spans="3:41" ht="12.75" customHeight="1">
      <c r="C221" s="49"/>
      <c r="D221" s="49"/>
      <c r="E221" s="49"/>
      <c r="F221" s="49"/>
      <c r="G221" s="49"/>
      <c r="H221" s="49"/>
      <c r="I221" s="49"/>
      <c r="J221" s="49"/>
      <c r="K221" s="49"/>
      <c r="L221" s="49"/>
      <c r="M221" s="49"/>
      <c r="S221" s="49"/>
      <c r="T221" s="49"/>
      <c r="U221" s="49"/>
      <c r="W221" s="49"/>
      <c r="X221" s="49"/>
      <c r="Y221" s="49"/>
      <c r="Z221" s="49"/>
      <c r="AA221" s="49"/>
      <c r="AB221" s="49"/>
      <c r="AC221" s="49"/>
      <c r="AD221" s="49"/>
      <c r="AE221" s="49"/>
      <c r="AF221" s="49"/>
      <c r="AG221" s="49"/>
      <c r="AH221" s="49"/>
      <c r="AI221" s="49"/>
      <c r="AJ221" s="49"/>
      <c r="AK221" s="49"/>
      <c r="AL221" s="49"/>
      <c r="AM221" s="49"/>
      <c r="AN221" s="49"/>
      <c r="AO221" s="49"/>
    </row>
    <row r="222" spans="3:41" ht="12.75" customHeight="1">
      <c r="C222" s="49"/>
      <c r="D222" s="49"/>
      <c r="E222" s="49"/>
      <c r="F222" s="49"/>
      <c r="G222" s="49"/>
      <c r="H222" s="49"/>
      <c r="I222" s="49"/>
      <c r="J222" s="49"/>
      <c r="K222" s="49"/>
      <c r="L222" s="49"/>
      <c r="M222" s="49"/>
      <c r="S222" s="49"/>
      <c r="T222" s="49"/>
      <c r="U222" s="49"/>
      <c r="W222" s="49"/>
      <c r="X222" s="49"/>
      <c r="Y222" s="49"/>
      <c r="Z222" s="49"/>
      <c r="AA222" s="49"/>
      <c r="AB222" s="49"/>
      <c r="AC222" s="49"/>
      <c r="AD222" s="49"/>
      <c r="AE222" s="49"/>
      <c r="AF222" s="49"/>
      <c r="AG222" s="49"/>
      <c r="AH222" s="49"/>
      <c r="AI222" s="49"/>
      <c r="AJ222" s="49"/>
      <c r="AK222" s="49"/>
      <c r="AL222" s="49"/>
      <c r="AM222" s="49"/>
      <c r="AN222" s="49"/>
      <c r="AO222" s="49"/>
    </row>
    <row r="223" spans="3:41" ht="12.75" customHeight="1">
      <c r="C223" s="49"/>
      <c r="D223" s="49"/>
      <c r="E223" s="49"/>
      <c r="F223" s="49"/>
      <c r="G223" s="49"/>
      <c r="H223" s="49"/>
      <c r="I223" s="49"/>
      <c r="J223" s="49"/>
      <c r="K223" s="49"/>
      <c r="L223" s="49"/>
      <c r="M223" s="49"/>
      <c r="S223" s="49"/>
      <c r="T223" s="49"/>
      <c r="U223" s="49"/>
      <c r="W223" s="49"/>
      <c r="X223" s="49"/>
      <c r="Y223" s="49"/>
      <c r="Z223" s="49"/>
      <c r="AA223" s="49"/>
      <c r="AB223" s="49"/>
      <c r="AC223" s="49"/>
      <c r="AD223" s="49"/>
      <c r="AE223" s="49"/>
      <c r="AF223" s="49"/>
      <c r="AG223" s="49"/>
      <c r="AH223" s="49"/>
      <c r="AI223" s="49"/>
      <c r="AJ223" s="49"/>
      <c r="AK223" s="49"/>
      <c r="AL223" s="49"/>
      <c r="AM223" s="49"/>
      <c r="AN223" s="49"/>
      <c r="AO223" s="49"/>
    </row>
    <row r="224" spans="3:41" ht="12.75" customHeight="1">
      <c r="C224" s="49"/>
      <c r="D224" s="49"/>
      <c r="E224" s="49"/>
      <c r="F224" s="49"/>
      <c r="G224" s="49"/>
      <c r="H224" s="49"/>
      <c r="I224" s="49"/>
      <c r="J224" s="49"/>
      <c r="K224" s="49"/>
      <c r="L224" s="49"/>
      <c r="M224" s="49"/>
      <c r="S224" s="49"/>
      <c r="T224" s="49"/>
      <c r="U224" s="49"/>
      <c r="W224" s="49"/>
      <c r="X224" s="49"/>
      <c r="Y224" s="49"/>
      <c r="Z224" s="49"/>
      <c r="AA224" s="49"/>
      <c r="AB224" s="49"/>
      <c r="AC224" s="49"/>
      <c r="AD224" s="49"/>
      <c r="AE224" s="49"/>
      <c r="AF224" s="49"/>
      <c r="AG224" s="49"/>
      <c r="AH224" s="49"/>
      <c r="AI224" s="49"/>
      <c r="AJ224" s="49"/>
      <c r="AK224" s="49"/>
      <c r="AL224" s="49"/>
      <c r="AM224" s="49"/>
      <c r="AN224" s="49"/>
      <c r="AO224" s="49"/>
    </row>
    <row r="225" spans="3:41" ht="12.75" customHeight="1">
      <c r="C225" s="49"/>
      <c r="D225" s="49"/>
      <c r="E225" s="49"/>
      <c r="F225" s="49"/>
      <c r="G225" s="49"/>
      <c r="H225" s="49"/>
      <c r="I225" s="49"/>
      <c r="J225" s="49"/>
      <c r="K225" s="49"/>
      <c r="L225" s="49"/>
      <c r="M225" s="49"/>
      <c r="S225" s="49"/>
      <c r="T225" s="49"/>
      <c r="U225" s="49"/>
      <c r="W225" s="49"/>
      <c r="X225" s="49"/>
      <c r="Y225" s="49"/>
      <c r="Z225" s="49"/>
      <c r="AA225" s="49"/>
      <c r="AB225" s="49"/>
      <c r="AC225" s="49"/>
      <c r="AD225" s="49"/>
      <c r="AE225" s="49"/>
      <c r="AF225" s="49"/>
      <c r="AG225" s="49"/>
      <c r="AH225" s="49"/>
      <c r="AI225" s="49"/>
      <c r="AJ225" s="49"/>
      <c r="AK225" s="49"/>
      <c r="AL225" s="49"/>
      <c r="AM225" s="49"/>
      <c r="AN225" s="49"/>
      <c r="AO225" s="49"/>
    </row>
    <row r="226" spans="3:41" ht="12.75" customHeight="1">
      <c r="C226" s="49"/>
      <c r="D226" s="49"/>
      <c r="E226" s="49"/>
      <c r="F226" s="49"/>
      <c r="G226" s="49"/>
      <c r="H226" s="49"/>
      <c r="I226" s="49"/>
      <c r="J226" s="49"/>
      <c r="K226" s="49"/>
      <c r="L226" s="49"/>
      <c r="M226" s="49"/>
      <c r="S226" s="49"/>
      <c r="T226" s="49"/>
      <c r="U226" s="49"/>
      <c r="W226" s="49"/>
      <c r="X226" s="49"/>
      <c r="Y226" s="49"/>
      <c r="Z226" s="49"/>
      <c r="AA226" s="49"/>
      <c r="AB226" s="49"/>
      <c r="AC226" s="49"/>
      <c r="AD226" s="49"/>
      <c r="AE226" s="49"/>
      <c r="AF226" s="49"/>
      <c r="AG226" s="49"/>
      <c r="AH226" s="49"/>
      <c r="AI226" s="49"/>
      <c r="AJ226" s="49"/>
      <c r="AK226" s="49"/>
      <c r="AL226" s="49"/>
      <c r="AM226" s="49"/>
      <c r="AN226" s="49"/>
      <c r="AO226" s="49"/>
    </row>
    <row r="227" spans="3:41" ht="12.75" customHeight="1">
      <c r="C227" s="49"/>
      <c r="D227" s="49"/>
      <c r="E227" s="49"/>
      <c r="F227" s="49"/>
      <c r="G227" s="49"/>
      <c r="H227" s="49"/>
      <c r="I227" s="49"/>
      <c r="J227" s="49"/>
      <c r="K227" s="49"/>
      <c r="L227" s="49"/>
      <c r="M227" s="49"/>
      <c r="S227" s="49"/>
      <c r="T227" s="49"/>
      <c r="U227" s="49"/>
      <c r="W227" s="49"/>
      <c r="X227" s="49"/>
      <c r="Y227" s="49"/>
      <c r="Z227" s="49"/>
      <c r="AA227" s="49"/>
      <c r="AB227" s="49"/>
      <c r="AC227" s="49"/>
      <c r="AD227" s="49"/>
      <c r="AE227" s="49"/>
      <c r="AF227" s="49"/>
      <c r="AG227" s="49"/>
      <c r="AH227" s="49"/>
      <c r="AI227" s="49"/>
      <c r="AJ227" s="49"/>
      <c r="AK227" s="49"/>
      <c r="AL227" s="49"/>
      <c r="AM227" s="49"/>
      <c r="AN227" s="49"/>
      <c r="AO227" s="49"/>
    </row>
    <row r="228" spans="3:41" ht="12.75" customHeight="1">
      <c r="C228" s="49"/>
      <c r="D228" s="49"/>
      <c r="E228" s="49"/>
      <c r="F228" s="49"/>
      <c r="G228" s="49"/>
      <c r="H228" s="49"/>
      <c r="I228" s="49"/>
      <c r="J228" s="49"/>
      <c r="K228" s="49"/>
      <c r="L228" s="49"/>
      <c r="M228" s="49"/>
      <c r="S228" s="49"/>
      <c r="T228" s="49"/>
      <c r="U228" s="49"/>
      <c r="W228" s="49"/>
      <c r="X228" s="49"/>
      <c r="Y228" s="49"/>
      <c r="Z228" s="49"/>
      <c r="AA228" s="49"/>
      <c r="AB228" s="49"/>
      <c r="AC228" s="49"/>
      <c r="AD228" s="49"/>
      <c r="AE228" s="49"/>
      <c r="AF228" s="49"/>
      <c r="AG228" s="49"/>
      <c r="AH228" s="49"/>
      <c r="AI228" s="49"/>
      <c r="AJ228" s="49"/>
      <c r="AK228" s="49"/>
      <c r="AL228" s="49"/>
      <c r="AM228" s="49"/>
      <c r="AN228" s="49"/>
      <c r="AO228" s="49"/>
    </row>
    <row r="229" spans="3:41" ht="12.75" customHeight="1">
      <c r="C229" s="49"/>
      <c r="D229" s="49"/>
      <c r="E229" s="49"/>
      <c r="F229" s="49"/>
      <c r="G229" s="49"/>
      <c r="H229" s="49"/>
      <c r="I229" s="49"/>
      <c r="J229" s="49"/>
      <c r="K229" s="49"/>
      <c r="L229" s="49"/>
      <c r="M229" s="49"/>
      <c r="S229" s="49"/>
      <c r="T229" s="49"/>
      <c r="U229" s="49"/>
      <c r="W229" s="49"/>
      <c r="X229" s="49"/>
      <c r="Y229" s="49"/>
      <c r="Z229" s="49"/>
      <c r="AA229" s="49"/>
      <c r="AB229" s="49"/>
      <c r="AC229" s="49"/>
      <c r="AD229" s="49"/>
      <c r="AE229" s="49"/>
      <c r="AF229" s="49"/>
      <c r="AG229" s="49"/>
      <c r="AH229" s="49"/>
      <c r="AI229" s="49"/>
      <c r="AJ229" s="49"/>
      <c r="AK229" s="49"/>
      <c r="AL229" s="49"/>
      <c r="AM229" s="49"/>
      <c r="AN229" s="49"/>
      <c r="AO229" s="49"/>
    </row>
    <row r="230" spans="3:41" ht="12.75" customHeight="1">
      <c r="C230" s="49"/>
      <c r="D230" s="49"/>
      <c r="E230" s="49"/>
      <c r="F230" s="49"/>
      <c r="G230" s="49"/>
      <c r="H230" s="49"/>
      <c r="I230" s="49"/>
      <c r="J230" s="49"/>
      <c r="K230" s="49"/>
      <c r="L230" s="49"/>
      <c r="M230" s="49"/>
      <c r="S230" s="49"/>
      <c r="T230" s="49"/>
      <c r="U230" s="49"/>
      <c r="W230" s="49"/>
      <c r="X230" s="49"/>
      <c r="Y230" s="49"/>
      <c r="Z230" s="49"/>
      <c r="AA230" s="49"/>
      <c r="AB230" s="49"/>
      <c r="AC230" s="49"/>
      <c r="AD230" s="49"/>
      <c r="AE230" s="49"/>
      <c r="AF230" s="49"/>
      <c r="AG230" s="49"/>
      <c r="AH230" s="49"/>
      <c r="AI230" s="49"/>
      <c r="AJ230" s="49"/>
      <c r="AK230" s="49"/>
      <c r="AL230" s="49"/>
      <c r="AM230" s="49"/>
      <c r="AN230" s="49"/>
      <c r="AO230" s="49"/>
    </row>
    <row r="231" spans="3:41" ht="12.75" customHeight="1">
      <c r="C231" s="49"/>
      <c r="D231" s="49"/>
      <c r="E231" s="49"/>
      <c r="F231" s="49"/>
      <c r="G231" s="49"/>
      <c r="H231" s="49"/>
      <c r="I231" s="49"/>
      <c r="J231" s="49"/>
      <c r="K231" s="49"/>
      <c r="L231" s="49"/>
      <c r="M231" s="49"/>
      <c r="S231" s="49"/>
      <c r="T231" s="49"/>
      <c r="U231" s="49"/>
      <c r="W231" s="49"/>
      <c r="X231" s="49"/>
      <c r="Y231" s="49"/>
      <c r="Z231" s="49"/>
      <c r="AA231" s="49"/>
      <c r="AB231" s="49"/>
      <c r="AC231" s="49"/>
      <c r="AD231" s="49"/>
      <c r="AE231" s="49"/>
      <c r="AF231" s="49"/>
      <c r="AG231" s="49"/>
      <c r="AH231" s="49"/>
      <c r="AI231" s="49"/>
      <c r="AJ231" s="49"/>
      <c r="AK231" s="49"/>
      <c r="AL231" s="49"/>
      <c r="AM231" s="49"/>
      <c r="AN231" s="49"/>
      <c r="AO231" s="49"/>
    </row>
    <row r="232" spans="3:41" ht="12.75" customHeight="1">
      <c r="C232" s="49"/>
      <c r="D232" s="49"/>
      <c r="E232" s="49"/>
      <c r="F232" s="49"/>
      <c r="G232" s="49"/>
      <c r="H232" s="49"/>
      <c r="I232" s="49"/>
      <c r="J232" s="49"/>
      <c r="K232" s="49"/>
      <c r="L232" s="49"/>
      <c r="M232" s="49"/>
      <c r="S232" s="49"/>
      <c r="T232" s="49"/>
      <c r="U232" s="49"/>
      <c r="W232" s="49"/>
      <c r="X232" s="49"/>
      <c r="Y232" s="49"/>
      <c r="Z232" s="49"/>
      <c r="AA232" s="49"/>
      <c r="AB232" s="49"/>
      <c r="AC232" s="49"/>
      <c r="AD232" s="49"/>
      <c r="AE232" s="49"/>
      <c r="AF232" s="49"/>
      <c r="AG232" s="49"/>
      <c r="AH232" s="49"/>
      <c r="AI232" s="49"/>
      <c r="AJ232" s="49"/>
      <c r="AK232" s="49"/>
      <c r="AL232" s="49"/>
      <c r="AM232" s="49"/>
      <c r="AN232" s="49"/>
      <c r="AO232" s="49"/>
    </row>
    <row r="233" spans="3:41" ht="12.75" customHeight="1">
      <c r="C233" s="49"/>
      <c r="D233" s="49"/>
      <c r="E233" s="49"/>
      <c r="F233" s="49"/>
      <c r="G233" s="49"/>
      <c r="H233" s="49"/>
      <c r="I233" s="49"/>
      <c r="J233" s="49"/>
      <c r="K233" s="49"/>
      <c r="L233" s="49"/>
      <c r="M233" s="49"/>
      <c r="S233" s="49"/>
      <c r="T233" s="49"/>
      <c r="U233" s="49"/>
      <c r="W233" s="49"/>
      <c r="X233" s="49"/>
      <c r="Y233" s="49"/>
      <c r="Z233" s="49"/>
      <c r="AA233" s="49"/>
      <c r="AB233" s="49"/>
      <c r="AC233" s="49"/>
      <c r="AD233" s="49"/>
      <c r="AE233" s="49"/>
      <c r="AF233" s="49"/>
      <c r="AG233" s="49"/>
      <c r="AH233" s="49"/>
      <c r="AI233" s="49"/>
      <c r="AJ233" s="49"/>
      <c r="AK233" s="49"/>
      <c r="AL233" s="49"/>
      <c r="AM233" s="49"/>
      <c r="AN233" s="49"/>
      <c r="AO233" s="49"/>
    </row>
    <row r="234" spans="3:41" ht="12.75" customHeight="1">
      <c r="C234" s="49"/>
      <c r="D234" s="49"/>
      <c r="E234" s="49"/>
      <c r="F234" s="49"/>
      <c r="G234" s="49"/>
      <c r="H234" s="49"/>
      <c r="I234" s="49"/>
      <c r="J234" s="49"/>
      <c r="K234" s="49"/>
      <c r="L234" s="49"/>
      <c r="M234" s="49"/>
      <c r="S234" s="49"/>
      <c r="T234" s="49"/>
      <c r="U234" s="49"/>
      <c r="W234" s="49"/>
      <c r="X234" s="49"/>
      <c r="Y234" s="49"/>
      <c r="Z234" s="49"/>
      <c r="AA234" s="49"/>
      <c r="AB234" s="49"/>
      <c r="AC234" s="49"/>
      <c r="AD234" s="49"/>
      <c r="AE234" s="49"/>
      <c r="AF234" s="49"/>
      <c r="AG234" s="49"/>
      <c r="AH234" s="49"/>
      <c r="AI234" s="49"/>
      <c r="AJ234" s="49"/>
      <c r="AK234" s="49"/>
      <c r="AL234" s="49"/>
      <c r="AM234" s="49"/>
      <c r="AN234" s="49"/>
      <c r="AO234" s="49"/>
    </row>
    <row r="235" spans="3:41" ht="12.75" customHeight="1">
      <c r="C235" s="49"/>
      <c r="D235" s="49"/>
      <c r="E235" s="49"/>
      <c r="F235" s="49"/>
      <c r="G235" s="49"/>
      <c r="H235" s="49"/>
      <c r="I235" s="49"/>
      <c r="J235" s="49"/>
      <c r="K235" s="49"/>
      <c r="L235" s="49"/>
      <c r="M235" s="49"/>
      <c r="S235" s="49"/>
      <c r="T235" s="49"/>
      <c r="U235" s="49"/>
      <c r="W235" s="49"/>
      <c r="X235" s="49"/>
      <c r="Y235" s="49"/>
      <c r="Z235" s="49"/>
      <c r="AA235" s="49"/>
      <c r="AB235" s="49"/>
      <c r="AC235" s="49"/>
      <c r="AD235" s="49"/>
      <c r="AE235" s="49"/>
      <c r="AF235" s="49"/>
      <c r="AG235" s="49"/>
      <c r="AH235" s="49"/>
      <c r="AI235" s="49"/>
      <c r="AJ235" s="49"/>
      <c r="AK235" s="49"/>
      <c r="AL235" s="49"/>
      <c r="AM235" s="49"/>
      <c r="AN235" s="49"/>
      <c r="AO235" s="49"/>
    </row>
    <row r="236" spans="3:41" ht="12.75" customHeight="1">
      <c r="C236" s="49"/>
      <c r="D236" s="49"/>
      <c r="E236" s="49"/>
      <c r="F236" s="49"/>
      <c r="G236" s="49"/>
      <c r="H236" s="49"/>
      <c r="I236" s="49"/>
      <c r="J236" s="49"/>
      <c r="K236" s="49"/>
      <c r="L236" s="49"/>
      <c r="M236" s="49"/>
      <c r="S236" s="49"/>
      <c r="T236" s="49"/>
      <c r="U236" s="49"/>
      <c r="W236" s="49"/>
      <c r="X236" s="49"/>
      <c r="Y236" s="49"/>
      <c r="Z236" s="49"/>
      <c r="AA236" s="49"/>
      <c r="AB236" s="49"/>
      <c r="AC236" s="49"/>
      <c r="AD236" s="49"/>
      <c r="AE236" s="49"/>
      <c r="AF236" s="49"/>
      <c r="AG236" s="49"/>
      <c r="AH236" s="49"/>
      <c r="AI236" s="49"/>
      <c r="AJ236" s="49"/>
      <c r="AK236" s="49"/>
      <c r="AL236" s="49"/>
      <c r="AM236" s="49"/>
      <c r="AN236" s="49"/>
      <c r="AO236" s="49"/>
    </row>
    <row r="237" spans="3:41" ht="12.75" customHeight="1">
      <c r="C237" s="49"/>
      <c r="D237" s="49"/>
      <c r="E237" s="49"/>
      <c r="F237" s="49"/>
      <c r="G237" s="49"/>
      <c r="H237" s="49"/>
      <c r="I237" s="49"/>
      <c r="J237" s="49"/>
      <c r="K237" s="49"/>
      <c r="L237" s="49"/>
      <c r="M237" s="49"/>
      <c r="S237" s="49"/>
      <c r="T237" s="49"/>
      <c r="U237" s="49"/>
      <c r="W237" s="49"/>
      <c r="X237" s="49"/>
      <c r="Y237" s="49"/>
      <c r="Z237" s="49"/>
      <c r="AA237" s="49"/>
      <c r="AB237" s="49"/>
      <c r="AC237" s="49"/>
      <c r="AD237" s="49"/>
      <c r="AE237" s="49"/>
      <c r="AF237" s="49"/>
      <c r="AG237" s="49"/>
      <c r="AH237" s="49"/>
      <c r="AI237" s="49"/>
      <c r="AJ237" s="49"/>
      <c r="AK237" s="49"/>
      <c r="AL237" s="49"/>
      <c r="AM237" s="49"/>
      <c r="AN237" s="49"/>
      <c r="AO237" s="49"/>
    </row>
    <row r="238" spans="3:41" ht="12.75" customHeight="1">
      <c r="C238" s="49"/>
      <c r="D238" s="49"/>
      <c r="E238" s="49"/>
      <c r="F238" s="49"/>
      <c r="G238" s="49"/>
      <c r="H238" s="49"/>
      <c r="I238" s="49"/>
      <c r="J238" s="49"/>
      <c r="K238" s="49"/>
      <c r="L238" s="49"/>
      <c r="M238" s="49"/>
      <c r="S238" s="49"/>
      <c r="T238" s="49"/>
      <c r="U238" s="49"/>
      <c r="W238" s="49"/>
      <c r="X238" s="49"/>
      <c r="Y238" s="49"/>
      <c r="Z238" s="49"/>
      <c r="AA238" s="49"/>
      <c r="AB238" s="49"/>
      <c r="AC238" s="49"/>
      <c r="AD238" s="49"/>
      <c r="AE238" s="49"/>
      <c r="AF238" s="49"/>
      <c r="AG238" s="49"/>
      <c r="AH238" s="49"/>
      <c r="AI238" s="49"/>
      <c r="AJ238" s="49"/>
      <c r="AK238" s="49"/>
      <c r="AL238" s="49"/>
      <c r="AM238" s="49"/>
      <c r="AN238" s="49"/>
      <c r="AO238" s="49"/>
    </row>
    <row r="239" spans="3:41" ht="12.75" customHeight="1">
      <c r="C239" s="49"/>
      <c r="D239" s="49"/>
      <c r="E239" s="49"/>
      <c r="F239" s="49"/>
      <c r="G239" s="49"/>
      <c r="H239" s="49"/>
      <c r="I239" s="49"/>
      <c r="J239" s="49"/>
      <c r="K239" s="49"/>
      <c r="L239" s="49"/>
      <c r="M239" s="49"/>
      <c r="S239" s="49"/>
      <c r="T239" s="49"/>
      <c r="U239" s="49"/>
      <c r="W239" s="49"/>
      <c r="X239" s="49"/>
      <c r="Y239" s="49"/>
      <c r="Z239" s="49"/>
      <c r="AA239" s="49"/>
      <c r="AB239" s="49"/>
      <c r="AC239" s="49"/>
      <c r="AD239" s="49"/>
      <c r="AE239" s="49"/>
      <c r="AF239" s="49"/>
      <c r="AG239" s="49"/>
      <c r="AH239" s="49"/>
      <c r="AI239" s="49"/>
      <c r="AJ239" s="49"/>
      <c r="AK239" s="49"/>
      <c r="AL239" s="49"/>
      <c r="AM239" s="49"/>
      <c r="AN239" s="49"/>
      <c r="AO239" s="49"/>
    </row>
    <row r="240" spans="3:41" ht="12.75" customHeight="1">
      <c r="C240" s="49"/>
      <c r="D240" s="49"/>
      <c r="E240" s="49"/>
      <c r="F240" s="49"/>
      <c r="G240" s="49"/>
      <c r="H240" s="49"/>
      <c r="I240" s="49"/>
      <c r="J240" s="49"/>
      <c r="K240" s="49"/>
      <c r="L240" s="49"/>
      <c r="M240" s="49"/>
      <c r="S240" s="49"/>
      <c r="T240" s="49"/>
      <c r="U240" s="49"/>
      <c r="W240" s="49"/>
      <c r="X240" s="49"/>
      <c r="Y240" s="49"/>
      <c r="Z240" s="49"/>
      <c r="AA240" s="49"/>
      <c r="AB240" s="49"/>
      <c r="AC240" s="49"/>
      <c r="AD240" s="49"/>
      <c r="AE240" s="49"/>
      <c r="AF240" s="49"/>
      <c r="AG240" s="49"/>
      <c r="AH240" s="49"/>
      <c r="AI240" s="49"/>
      <c r="AJ240" s="49"/>
      <c r="AK240" s="49"/>
      <c r="AL240" s="49"/>
      <c r="AM240" s="49"/>
      <c r="AN240" s="49"/>
      <c r="AO240" s="49"/>
    </row>
    <row r="241" spans="3:41" ht="12.75" customHeight="1">
      <c r="C241" s="49"/>
      <c r="D241" s="49"/>
      <c r="E241" s="49"/>
      <c r="F241" s="49"/>
      <c r="G241" s="49"/>
      <c r="H241" s="49"/>
      <c r="I241" s="49"/>
      <c r="J241" s="49"/>
      <c r="K241" s="49"/>
      <c r="L241" s="49"/>
      <c r="M241" s="49"/>
      <c r="S241" s="49"/>
      <c r="T241" s="49"/>
      <c r="U241" s="49"/>
      <c r="W241" s="49"/>
      <c r="X241" s="49"/>
      <c r="Y241" s="49"/>
      <c r="Z241" s="49"/>
      <c r="AA241" s="49"/>
      <c r="AB241" s="49"/>
      <c r="AC241" s="49"/>
      <c r="AD241" s="49"/>
      <c r="AE241" s="49"/>
      <c r="AF241" s="49"/>
      <c r="AG241" s="49"/>
      <c r="AH241" s="49"/>
      <c r="AI241" s="49"/>
      <c r="AJ241" s="49"/>
      <c r="AK241" s="49"/>
      <c r="AL241" s="49"/>
      <c r="AM241" s="49"/>
      <c r="AN241" s="49"/>
      <c r="AO241" s="49"/>
    </row>
    <row r="242" spans="3:41" ht="12.75" customHeight="1">
      <c r="C242" s="49"/>
      <c r="D242" s="49"/>
      <c r="E242" s="49"/>
      <c r="F242" s="49"/>
      <c r="G242" s="49"/>
      <c r="H242" s="49"/>
      <c r="I242" s="49"/>
      <c r="J242" s="49"/>
      <c r="K242" s="49"/>
      <c r="L242" s="49"/>
      <c r="M242" s="49"/>
      <c r="S242" s="49"/>
      <c r="T242" s="49"/>
      <c r="U242" s="49"/>
      <c r="W242" s="49"/>
      <c r="X242" s="49"/>
      <c r="Y242" s="49"/>
      <c r="Z242" s="49"/>
      <c r="AA242" s="49"/>
      <c r="AB242" s="49"/>
      <c r="AC242" s="49"/>
      <c r="AD242" s="49"/>
      <c r="AE242" s="49"/>
      <c r="AF242" s="49"/>
      <c r="AG242" s="49"/>
      <c r="AH242" s="49"/>
      <c r="AI242" s="49"/>
      <c r="AJ242" s="49"/>
      <c r="AK242" s="49"/>
      <c r="AL242" s="49"/>
      <c r="AM242" s="49"/>
      <c r="AN242" s="49"/>
      <c r="AO242" s="49"/>
    </row>
    <row r="243" spans="3:41" ht="12.75" customHeight="1">
      <c r="C243" s="49"/>
      <c r="D243" s="49"/>
      <c r="E243" s="49"/>
      <c r="F243" s="49"/>
      <c r="G243" s="49"/>
      <c r="H243" s="49"/>
      <c r="I243" s="49"/>
      <c r="J243" s="49"/>
      <c r="K243" s="49"/>
      <c r="L243" s="49"/>
      <c r="M243" s="49"/>
      <c r="S243" s="49"/>
      <c r="T243" s="49"/>
      <c r="U243" s="49"/>
      <c r="W243" s="49"/>
      <c r="X243" s="49"/>
      <c r="Y243" s="49"/>
      <c r="Z243" s="49"/>
      <c r="AA243" s="49"/>
      <c r="AB243" s="49"/>
      <c r="AC243" s="49"/>
      <c r="AD243" s="49"/>
      <c r="AE243" s="49"/>
      <c r="AF243" s="49"/>
      <c r="AG243" s="49"/>
      <c r="AH243" s="49"/>
      <c r="AI243" s="49"/>
      <c r="AJ243" s="49"/>
      <c r="AK243" s="49"/>
      <c r="AL243" s="49"/>
      <c r="AM243" s="49"/>
      <c r="AN243" s="49"/>
      <c r="AO243" s="49"/>
    </row>
    <row r="244" spans="3:41" ht="12.75" customHeight="1">
      <c r="C244" s="49"/>
      <c r="D244" s="49"/>
      <c r="E244" s="49"/>
      <c r="F244" s="49"/>
      <c r="G244" s="49"/>
      <c r="H244" s="49"/>
      <c r="I244" s="49"/>
      <c r="J244" s="49"/>
      <c r="K244" s="49"/>
      <c r="L244" s="49"/>
      <c r="M244" s="49"/>
      <c r="S244" s="49"/>
      <c r="T244" s="49"/>
      <c r="U244" s="49"/>
      <c r="W244" s="49"/>
      <c r="X244" s="49"/>
      <c r="Y244" s="49"/>
      <c r="Z244" s="49"/>
      <c r="AA244" s="49"/>
      <c r="AB244" s="49"/>
      <c r="AC244" s="49"/>
      <c r="AD244" s="49"/>
      <c r="AE244" s="49"/>
      <c r="AF244" s="49"/>
      <c r="AG244" s="49"/>
      <c r="AH244" s="49"/>
      <c r="AI244" s="49"/>
      <c r="AJ244" s="49"/>
      <c r="AK244" s="49"/>
      <c r="AL244" s="49"/>
      <c r="AM244" s="49"/>
      <c r="AN244" s="49"/>
      <c r="AO244" s="49"/>
    </row>
    <row r="245" spans="3:41" ht="12.75" customHeight="1">
      <c r="C245" s="49"/>
      <c r="D245" s="49"/>
      <c r="E245" s="49"/>
      <c r="F245" s="49"/>
      <c r="G245" s="49"/>
      <c r="H245" s="49"/>
      <c r="I245" s="49"/>
      <c r="J245" s="49"/>
      <c r="K245" s="49"/>
      <c r="L245" s="49"/>
      <c r="M245" s="49"/>
      <c r="S245" s="49"/>
      <c r="T245" s="49"/>
      <c r="U245" s="49"/>
      <c r="W245" s="49"/>
      <c r="X245" s="49"/>
      <c r="Y245" s="49"/>
      <c r="Z245" s="49"/>
      <c r="AA245" s="49"/>
      <c r="AB245" s="49"/>
      <c r="AC245" s="49"/>
      <c r="AD245" s="49"/>
      <c r="AE245" s="49"/>
      <c r="AF245" s="49"/>
      <c r="AG245" s="49"/>
      <c r="AH245" s="49"/>
      <c r="AI245" s="49"/>
      <c r="AJ245" s="49"/>
      <c r="AK245" s="49"/>
      <c r="AL245" s="49"/>
      <c r="AM245" s="49"/>
      <c r="AN245" s="49"/>
      <c r="AO245" s="49"/>
    </row>
    <row r="246" spans="3:41" ht="12.75" customHeight="1">
      <c r="C246" s="49"/>
      <c r="D246" s="49"/>
      <c r="E246" s="49"/>
      <c r="F246" s="49"/>
      <c r="G246" s="49"/>
      <c r="H246" s="49"/>
      <c r="I246" s="49"/>
      <c r="J246" s="49"/>
      <c r="K246" s="49"/>
      <c r="L246" s="49"/>
      <c r="M246" s="49"/>
      <c r="S246" s="49"/>
      <c r="T246" s="49"/>
      <c r="U246" s="49"/>
      <c r="W246" s="49"/>
      <c r="X246" s="49"/>
      <c r="Y246" s="49"/>
      <c r="Z246" s="49"/>
      <c r="AA246" s="49"/>
      <c r="AB246" s="49"/>
      <c r="AC246" s="49"/>
      <c r="AD246" s="49"/>
      <c r="AE246" s="49"/>
      <c r="AF246" s="49"/>
      <c r="AG246" s="49"/>
      <c r="AH246" s="49"/>
      <c r="AI246" s="49"/>
      <c r="AJ246" s="49"/>
      <c r="AK246" s="49"/>
      <c r="AL246" s="49"/>
      <c r="AM246" s="49"/>
      <c r="AN246" s="49"/>
      <c r="AO246" s="49"/>
    </row>
    <row r="247" spans="3:41" ht="12.75" customHeight="1">
      <c r="C247" s="49"/>
      <c r="D247" s="49"/>
      <c r="E247" s="49"/>
      <c r="F247" s="49"/>
      <c r="G247" s="49"/>
      <c r="H247" s="49"/>
      <c r="I247" s="49"/>
      <c r="J247" s="49"/>
      <c r="K247" s="49"/>
      <c r="L247" s="49"/>
      <c r="M247" s="49"/>
      <c r="S247" s="49"/>
      <c r="T247" s="49"/>
      <c r="U247" s="49"/>
      <c r="W247" s="49"/>
      <c r="X247" s="49"/>
      <c r="Y247" s="49"/>
      <c r="Z247" s="49"/>
      <c r="AA247" s="49"/>
      <c r="AB247" s="49"/>
      <c r="AC247" s="49"/>
      <c r="AD247" s="49"/>
      <c r="AE247" s="49"/>
      <c r="AF247" s="49"/>
      <c r="AG247" s="49"/>
      <c r="AH247" s="49"/>
      <c r="AI247" s="49"/>
      <c r="AJ247" s="49"/>
      <c r="AK247" s="49"/>
      <c r="AL247" s="49"/>
      <c r="AM247" s="49"/>
      <c r="AN247" s="49"/>
      <c r="AO247" s="49"/>
    </row>
    <row r="248" spans="3:41" ht="12.75" customHeight="1">
      <c r="C248" s="49"/>
      <c r="D248" s="49"/>
      <c r="E248" s="49"/>
      <c r="F248" s="49"/>
      <c r="G248" s="49"/>
      <c r="H248" s="49"/>
      <c r="I248" s="49"/>
      <c r="J248" s="49"/>
      <c r="K248" s="49"/>
      <c r="L248" s="49"/>
      <c r="M248" s="49"/>
      <c r="S248" s="49"/>
      <c r="T248" s="49"/>
      <c r="U248" s="49"/>
      <c r="W248" s="49"/>
      <c r="X248" s="49"/>
      <c r="Y248" s="49"/>
      <c r="Z248" s="49"/>
      <c r="AA248" s="49"/>
      <c r="AB248" s="49"/>
      <c r="AC248" s="49"/>
      <c r="AD248" s="49"/>
      <c r="AE248" s="49"/>
      <c r="AF248" s="49"/>
      <c r="AG248" s="49"/>
      <c r="AH248" s="49"/>
      <c r="AI248" s="49"/>
      <c r="AJ248" s="49"/>
      <c r="AK248" s="49"/>
      <c r="AL248" s="49"/>
      <c r="AM248" s="49"/>
      <c r="AN248" s="49"/>
      <c r="AO248" s="49"/>
    </row>
    <row r="249" spans="3:41" ht="12.75" customHeight="1">
      <c r="C249" s="49"/>
      <c r="D249" s="49"/>
      <c r="E249" s="49"/>
      <c r="F249" s="49"/>
      <c r="G249" s="49"/>
      <c r="H249" s="49"/>
      <c r="I249" s="49"/>
      <c r="J249" s="49"/>
      <c r="K249" s="49"/>
      <c r="L249" s="49"/>
      <c r="M249" s="49"/>
      <c r="S249" s="49"/>
      <c r="T249" s="49"/>
      <c r="U249" s="49"/>
      <c r="W249" s="49"/>
      <c r="X249" s="49"/>
      <c r="Y249" s="49"/>
      <c r="Z249" s="49"/>
      <c r="AA249" s="49"/>
      <c r="AB249" s="49"/>
      <c r="AC249" s="49"/>
      <c r="AD249" s="49"/>
      <c r="AE249" s="49"/>
      <c r="AF249" s="49"/>
      <c r="AG249" s="49"/>
      <c r="AH249" s="49"/>
      <c r="AI249" s="49"/>
      <c r="AJ249" s="49"/>
      <c r="AK249" s="49"/>
      <c r="AL249" s="49"/>
      <c r="AM249" s="49"/>
      <c r="AN249" s="49"/>
      <c r="AO249" s="49"/>
    </row>
    <row r="250" spans="3:41" ht="12.75" customHeight="1">
      <c r="C250" s="49"/>
      <c r="D250" s="49"/>
      <c r="E250" s="49"/>
      <c r="F250" s="49"/>
      <c r="G250" s="49"/>
      <c r="H250" s="49"/>
      <c r="I250" s="49"/>
      <c r="J250" s="49"/>
      <c r="K250" s="49"/>
      <c r="L250" s="49"/>
      <c r="M250" s="49"/>
      <c r="S250" s="49"/>
      <c r="T250" s="49"/>
      <c r="U250" s="49"/>
      <c r="W250" s="49"/>
      <c r="X250" s="49"/>
      <c r="Y250" s="49"/>
      <c r="Z250" s="49"/>
      <c r="AA250" s="49"/>
      <c r="AB250" s="49"/>
      <c r="AC250" s="49"/>
      <c r="AD250" s="49"/>
      <c r="AE250" s="49"/>
      <c r="AF250" s="49"/>
      <c r="AG250" s="49"/>
      <c r="AH250" s="49"/>
      <c r="AI250" s="49"/>
      <c r="AJ250" s="49"/>
      <c r="AK250" s="49"/>
      <c r="AL250" s="49"/>
      <c r="AM250" s="49"/>
      <c r="AN250" s="49"/>
      <c r="AO250" s="49"/>
    </row>
    <row r="251" spans="3:41" ht="12.75" customHeight="1">
      <c r="C251" s="49"/>
      <c r="D251" s="49"/>
      <c r="E251" s="49"/>
      <c r="F251" s="49"/>
      <c r="G251" s="49"/>
      <c r="H251" s="49"/>
      <c r="I251" s="49"/>
      <c r="J251" s="49"/>
      <c r="K251" s="49"/>
      <c r="L251" s="49"/>
      <c r="M251" s="49"/>
      <c r="S251" s="49"/>
      <c r="T251" s="49"/>
      <c r="U251" s="49"/>
      <c r="W251" s="49"/>
      <c r="X251" s="49"/>
      <c r="Y251" s="49"/>
      <c r="Z251" s="49"/>
      <c r="AA251" s="49"/>
      <c r="AB251" s="49"/>
      <c r="AC251" s="49"/>
      <c r="AD251" s="49"/>
      <c r="AE251" s="49"/>
      <c r="AF251" s="49"/>
      <c r="AG251" s="49"/>
      <c r="AH251" s="49"/>
      <c r="AI251" s="49"/>
      <c r="AJ251" s="49"/>
      <c r="AK251" s="49"/>
      <c r="AL251" s="49"/>
      <c r="AM251" s="49"/>
      <c r="AN251" s="49"/>
      <c r="AO251" s="49"/>
    </row>
    <row r="252" spans="3:41" ht="12.75" customHeight="1">
      <c r="C252" s="49"/>
      <c r="D252" s="49"/>
      <c r="E252" s="49"/>
      <c r="F252" s="49"/>
      <c r="G252" s="49"/>
      <c r="H252" s="49"/>
      <c r="I252" s="49"/>
      <c r="J252" s="49"/>
      <c r="K252" s="49"/>
      <c r="L252" s="49"/>
      <c r="M252" s="49"/>
      <c r="S252" s="49"/>
      <c r="T252" s="49"/>
      <c r="U252" s="49"/>
      <c r="W252" s="49"/>
      <c r="X252" s="49"/>
      <c r="Y252" s="49"/>
      <c r="Z252" s="49"/>
      <c r="AA252" s="49"/>
      <c r="AB252" s="49"/>
      <c r="AC252" s="49"/>
      <c r="AD252" s="49"/>
      <c r="AE252" s="49"/>
      <c r="AF252" s="49"/>
      <c r="AG252" s="49"/>
      <c r="AH252" s="49"/>
      <c r="AI252" s="49"/>
      <c r="AJ252" s="49"/>
      <c r="AK252" s="49"/>
      <c r="AL252" s="49"/>
      <c r="AM252" s="49"/>
      <c r="AN252" s="49"/>
      <c r="AO252" s="49"/>
    </row>
    <row r="253" spans="3:41" ht="12.75" customHeight="1">
      <c r="C253" s="49"/>
      <c r="D253" s="49"/>
      <c r="E253" s="49"/>
      <c r="F253" s="49"/>
      <c r="G253" s="49"/>
      <c r="H253" s="49"/>
      <c r="I253" s="49"/>
      <c r="J253" s="49"/>
      <c r="K253" s="49"/>
      <c r="L253" s="49"/>
      <c r="M253" s="49"/>
      <c r="S253" s="49"/>
      <c r="T253" s="49"/>
      <c r="U253" s="49"/>
      <c r="W253" s="49"/>
      <c r="X253" s="49"/>
      <c r="Y253" s="49"/>
      <c r="Z253" s="49"/>
      <c r="AA253" s="49"/>
      <c r="AB253" s="49"/>
      <c r="AC253" s="49"/>
      <c r="AD253" s="49"/>
      <c r="AE253" s="49"/>
      <c r="AF253" s="49"/>
      <c r="AG253" s="49"/>
      <c r="AH253" s="49"/>
      <c r="AI253" s="49"/>
      <c r="AJ253" s="49"/>
      <c r="AK253" s="49"/>
      <c r="AL253" s="49"/>
      <c r="AM253" s="49"/>
      <c r="AN253" s="49"/>
      <c r="AO253" s="49"/>
    </row>
    <row r="254" spans="3:41" ht="12.75" customHeight="1">
      <c r="C254" s="49"/>
      <c r="D254" s="49"/>
      <c r="E254" s="49"/>
      <c r="F254" s="49"/>
      <c r="G254" s="49"/>
      <c r="H254" s="49"/>
      <c r="I254" s="49"/>
      <c r="J254" s="49"/>
      <c r="K254" s="49"/>
      <c r="L254" s="49"/>
      <c r="M254" s="49"/>
      <c r="S254" s="49"/>
      <c r="T254" s="49"/>
      <c r="U254" s="49"/>
      <c r="W254" s="49"/>
      <c r="X254" s="49"/>
      <c r="Y254" s="49"/>
      <c r="Z254" s="49"/>
      <c r="AA254" s="49"/>
      <c r="AB254" s="49"/>
      <c r="AC254" s="49"/>
      <c r="AD254" s="49"/>
      <c r="AE254" s="49"/>
      <c r="AF254" s="49"/>
      <c r="AG254" s="49"/>
      <c r="AH254" s="49"/>
      <c r="AI254" s="49"/>
      <c r="AJ254" s="49"/>
      <c r="AK254" s="49"/>
      <c r="AL254" s="49"/>
      <c r="AM254" s="49"/>
      <c r="AN254" s="49"/>
      <c r="AO254" s="49"/>
    </row>
    <row r="255" spans="3:41" ht="12.75" customHeight="1">
      <c r="C255" s="49"/>
      <c r="D255" s="49"/>
      <c r="E255" s="49"/>
      <c r="F255" s="49"/>
      <c r="G255" s="49"/>
      <c r="H255" s="49"/>
      <c r="I255" s="49"/>
      <c r="J255" s="49"/>
      <c r="K255" s="49"/>
      <c r="L255" s="49"/>
      <c r="M255" s="49"/>
      <c r="S255" s="49"/>
      <c r="T255" s="49"/>
      <c r="U255" s="49"/>
      <c r="W255" s="49"/>
      <c r="X255" s="49"/>
      <c r="Y255" s="49"/>
      <c r="Z255" s="49"/>
      <c r="AA255" s="49"/>
      <c r="AB255" s="49"/>
      <c r="AC255" s="49"/>
      <c r="AD255" s="49"/>
      <c r="AE255" s="49"/>
      <c r="AF255" s="49"/>
      <c r="AG255" s="49"/>
      <c r="AH255" s="49"/>
      <c r="AI255" s="49"/>
      <c r="AJ255" s="49"/>
      <c r="AK255" s="49"/>
      <c r="AL255" s="49"/>
      <c r="AM255" s="49"/>
      <c r="AN255" s="49"/>
      <c r="AO255" s="49"/>
    </row>
    <row r="256" spans="3:41" ht="12.75" customHeight="1">
      <c r="C256" s="49"/>
      <c r="D256" s="49"/>
      <c r="E256" s="49"/>
      <c r="F256" s="49"/>
      <c r="G256" s="49"/>
      <c r="H256" s="49"/>
      <c r="I256" s="49"/>
      <c r="J256" s="49"/>
      <c r="K256" s="49"/>
      <c r="L256" s="49"/>
      <c r="M256" s="49"/>
      <c r="S256" s="49"/>
      <c r="T256" s="49"/>
      <c r="U256" s="49"/>
      <c r="W256" s="49"/>
      <c r="X256" s="49"/>
      <c r="Y256" s="49"/>
      <c r="Z256" s="49"/>
      <c r="AA256" s="49"/>
      <c r="AB256" s="49"/>
      <c r="AC256" s="49"/>
      <c r="AD256" s="49"/>
      <c r="AE256" s="49"/>
      <c r="AF256" s="49"/>
      <c r="AG256" s="49"/>
      <c r="AH256" s="49"/>
      <c r="AI256" s="49"/>
      <c r="AJ256" s="49"/>
      <c r="AK256" s="49"/>
      <c r="AL256" s="49"/>
      <c r="AM256" s="49"/>
      <c r="AN256" s="49"/>
      <c r="AO256" s="49"/>
    </row>
    <row r="257" spans="3:41" ht="12.75" customHeight="1">
      <c r="C257" s="49"/>
      <c r="D257" s="49"/>
      <c r="E257" s="49"/>
      <c r="F257" s="49"/>
      <c r="G257" s="49"/>
      <c r="H257" s="49"/>
      <c r="I257" s="49"/>
      <c r="J257" s="49"/>
      <c r="K257" s="49"/>
      <c r="L257" s="49"/>
      <c r="M257" s="49"/>
      <c r="S257" s="49"/>
      <c r="T257" s="49"/>
      <c r="U257" s="49"/>
      <c r="W257" s="49"/>
      <c r="X257" s="49"/>
      <c r="Y257" s="49"/>
      <c r="Z257" s="49"/>
      <c r="AA257" s="49"/>
      <c r="AB257" s="49"/>
      <c r="AC257" s="49"/>
      <c r="AD257" s="49"/>
      <c r="AE257" s="49"/>
      <c r="AF257" s="49"/>
      <c r="AG257" s="49"/>
      <c r="AH257" s="49"/>
      <c r="AI257" s="49"/>
      <c r="AJ257" s="49"/>
      <c r="AK257" s="49"/>
      <c r="AL257" s="49"/>
      <c r="AM257" s="49"/>
      <c r="AN257" s="49"/>
      <c r="AO257" s="49"/>
    </row>
    <row r="258" spans="3:41" ht="12.75" customHeight="1">
      <c r="C258" s="49"/>
      <c r="D258" s="49"/>
      <c r="E258" s="49"/>
      <c r="F258" s="49"/>
      <c r="G258" s="49"/>
      <c r="H258" s="49"/>
      <c r="I258" s="49"/>
      <c r="J258" s="49"/>
      <c r="K258" s="49"/>
      <c r="L258" s="49"/>
      <c r="M258" s="49"/>
      <c r="S258" s="49"/>
      <c r="T258" s="49"/>
      <c r="U258" s="49"/>
      <c r="W258" s="49"/>
      <c r="X258" s="49"/>
      <c r="Y258" s="49"/>
      <c r="Z258" s="49"/>
      <c r="AA258" s="49"/>
      <c r="AB258" s="49"/>
      <c r="AC258" s="49"/>
      <c r="AD258" s="49"/>
      <c r="AE258" s="49"/>
      <c r="AF258" s="49"/>
      <c r="AG258" s="49"/>
      <c r="AH258" s="49"/>
      <c r="AI258" s="49"/>
      <c r="AJ258" s="49"/>
      <c r="AK258" s="49"/>
      <c r="AL258" s="49"/>
      <c r="AM258" s="49"/>
      <c r="AN258" s="49"/>
      <c r="AO258" s="49"/>
    </row>
    <row r="259" spans="3:41" ht="12.75" customHeight="1">
      <c r="C259" s="49"/>
      <c r="D259" s="49"/>
      <c r="E259" s="49"/>
      <c r="F259" s="49"/>
      <c r="G259" s="49"/>
      <c r="H259" s="49"/>
      <c r="I259" s="49"/>
      <c r="J259" s="49"/>
      <c r="K259" s="49"/>
      <c r="L259" s="49"/>
      <c r="M259" s="49"/>
      <c r="S259" s="49"/>
      <c r="T259" s="49"/>
      <c r="U259" s="49"/>
      <c r="W259" s="49"/>
      <c r="X259" s="49"/>
      <c r="Y259" s="49"/>
      <c r="Z259" s="49"/>
      <c r="AA259" s="49"/>
      <c r="AB259" s="49"/>
      <c r="AC259" s="49"/>
      <c r="AD259" s="49"/>
      <c r="AE259" s="49"/>
      <c r="AF259" s="49"/>
      <c r="AG259" s="49"/>
      <c r="AH259" s="49"/>
      <c r="AI259" s="49"/>
      <c r="AJ259" s="49"/>
      <c r="AK259" s="49"/>
      <c r="AL259" s="49"/>
      <c r="AM259" s="49"/>
      <c r="AN259" s="49"/>
      <c r="AO259" s="49"/>
    </row>
    <row r="260" spans="3:41" ht="12.75" customHeight="1">
      <c r="C260" s="49"/>
      <c r="D260" s="49"/>
      <c r="E260" s="49"/>
      <c r="F260" s="49"/>
      <c r="G260" s="49"/>
      <c r="H260" s="49"/>
      <c r="I260" s="49"/>
      <c r="J260" s="49"/>
      <c r="K260" s="49"/>
      <c r="L260" s="49"/>
      <c r="M260" s="49"/>
      <c r="S260" s="49"/>
      <c r="T260" s="49"/>
      <c r="U260" s="49"/>
      <c r="W260" s="49"/>
      <c r="X260" s="49"/>
      <c r="Y260" s="49"/>
      <c r="Z260" s="49"/>
      <c r="AA260" s="49"/>
      <c r="AB260" s="49"/>
      <c r="AC260" s="49"/>
      <c r="AD260" s="49"/>
      <c r="AE260" s="49"/>
      <c r="AF260" s="49"/>
      <c r="AG260" s="49"/>
      <c r="AH260" s="49"/>
      <c r="AI260" s="49"/>
      <c r="AJ260" s="49"/>
      <c r="AK260" s="49"/>
      <c r="AL260" s="49"/>
      <c r="AM260" s="49"/>
      <c r="AN260" s="49"/>
      <c r="AO260" s="49"/>
    </row>
    <row r="261" spans="3:41" ht="12.75" customHeight="1">
      <c r="C261" s="49"/>
      <c r="D261" s="49"/>
      <c r="E261" s="49"/>
      <c r="F261" s="49"/>
      <c r="G261" s="49"/>
      <c r="H261" s="49"/>
      <c r="I261" s="49"/>
      <c r="J261" s="49"/>
      <c r="K261" s="49"/>
      <c r="L261" s="49"/>
      <c r="M261" s="49"/>
      <c r="S261" s="49"/>
      <c r="T261" s="49"/>
      <c r="U261" s="49"/>
      <c r="W261" s="49"/>
      <c r="X261" s="49"/>
      <c r="Y261" s="49"/>
      <c r="Z261" s="49"/>
      <c r="AA261" s="49"/>
      <c r="AB261" s="49"/>
      <c r="AC261" s="49"/>
      <c r="AD261" s="49"/>
      <c r="AE261" s="49"/>
      <c r="AF261" s="49"/>
      <c r="AG261" s="49"/>
      <c r="AH261" s="49"/>
      <c r="AI261" s="49"/>
      <c r="AJ261" s="49"/>
      <c r="AK261" s="49"/>
      <c r="AL261" s="49"/>
      <c r="AM261" s="49"/>
      <c r="AN261" s="49"/>
      <c r="AO261" s="49"/>
    </row>
    <row r="262" spans="3:41" ht="12.75" customHeight="1">
      <c r="C262" s="49"/>
      <c r="D262" s="49"/>
      <c r="E262" s="49"/>
      <c r="F262" s="49"/>
      <c r="G262" s="49"/>
      <c r="H262" s="49"/>
      <c r="I262" s="49"/>
      <c r="J262" s="49"/>
      <c r="K262" s="49"/>
      <c r="L262" s="49"/>
      <c r="M262" s="49"/>
      <c r="S262" s="49"/>
      <c r="T262" s="49"/>
      <c r="U262" s="49"/>
      <c r="W262" s="49"/>
      <c r="X262" s="49"/>
      <c r="Y262" s="49"/>
      <c r="Z262" s="49"/>
      <c r="AA262" s="49"/>
      <c r="AB262" s="49"/>
      <c r="AC262" s="49"/>
      <c r="AD262" s="49"/>
      <c r="AE262" s="49"/>
      <c r="AF262" s="49"/>
      <c r="AG262" s="49"/>
      <c r="AH262" s="49"/>
      <c r="AI262" s="49"/>
      <c r="AJ262" s="49"/>
      <c r="AK262" s="49"/>
      <c r="AL262" s="49"/>
      <c r="AM262" s="49"/>
      <c r="AN262" s="49"/>
      <c r="AO262" s="49"/>
    </row>
    <row r="263" spans="3:41" ht="12.75" customHeight="1">
      <c r="C263" s="49"/>
      <c r="D263" s="49"/>
      <c r="E263" s="49"/>
      <c r="F263" s="49"/>
      <c r="G263" s="49"/>
      <c r="H263" s="49"/>
      <c r="I263" s="49"/>
      <c r="J263" s="49"/>
      <c r="K263" s="49"/>
      <c r="L263" s="49"/>
      <c r="M263" s="49"/>
      <c r="S263" s="49"/>
      <c r="T263" s="49"/>
      <c r="U263" s="49"/>
      <c r="W263" s="49"/>
      <c r="X263" s="49"/>
      <c r="Y263" s="49"/>
      <c r="Z263" s="49"/>
      <c r="AA263" s="49"/>
      <c r="AB263" s="49"/>
      <c r="AC263" s="49"/>
      <c r="AD263" s="49"/>
      <c r="AE263" s="49"/>
      <c r="AF263" s="49"/>
      <c r="AG263" s="49"/>
      <c r="AH263" s="49"/>
      <c r="AI263" s="49"/>
      <c r="AJ263" s="49"/>
      <c r="AK263" s="49"/>
      <c r="AL263" s="49"/>
      <c r="AM263" s="49"/>
      <c r="AN263" s="49"/>
      <c r="AO263" s="49"/>
    </row>
    <row r="264" spans="3:41" ht="12.75" customHeight="1">
      <c r="C264" s="49"/>
      <c r="D264" s="49"/>
      <c r="E264" s="49"/>
      <c r="F264" s="49"/>
      <c r="G264" s="49"/>
      <c r="H264" s="49"/>
      <c r="I264" s="49"/>
      <c r="J264" s="49"/>
      <c r="K264" s="49"/>
      <c r="L264" s="49"/>
      <c r="M264" s="49"/>
      <c r="S264" s="49"/>
      <c r="T264" s="49"/>
      <c r="U264" s="49"/>
      <c r="W264" s="49"/>
      <c r="X264" s="49"/>
      <c r="Y264" s="49"/>
      <c r="Z264" s="49"/>
      <c r="AA264" s="49"/>
      <c r="AB264" s="49"/>
      <c r="AC264" s="49"/>
      <c r="AD264" s="49"/>
      <c r="AE264" s="49"/>
      <c r="AF264" s="49"/>
      <c r="AG264" s="49"/>
      <c r="AH264" s="49"/>
      <c r="AI264" s="49"/>
      <c r="AJ264" s="49"/>
      <c r="AK264" s="49"/>
      <c r="AL264" s="49"/>
      <c r="AM264" s="49"/>
      <c r="AN264" s="49"/>
      <c r="AO264" s="49"/>
    </row>
    <row r="265" spans="3:41" ht="12.75" customHeight="1">
      <c r="C265" s="49"/>
      <c r="D265" s="49"/>
      <c r="E265" s="49"/>
      <c r="F265" s="49"/>
      <c r="G265" s="49"/>
      <c r="H265" s="49"/>
      <c r="I265" s="49"/>
      <c r="J265" s="49"/>
      <c r="K265" s="49"/>
      <c r="L265" s="49"/>
      <c r="M265" s="49"/>
      <c r="S265" s="49"/>
      <c r="T265" s="49"/>
      <c r="U265" s="49"/>
      <c r="W265" s="49"/>
      <c r="X265" s="49"/>
      <c r="Y265" s="49"/>
      <c r="Z265" s="49"/>
      <c r="AA265" s="49"/>
      <c r="AB265" s="49"/>
      <c r="AC265" s="49"/>
      <c r="AD265" s="49"/>
      <c r="AE265" s="49"/>
      <c r="AF265" s="49"/>
      <c r="AG265" s="49"/>
      <c r="AH265" s="49"/>
      <c r="AI265" s="49"/>
      <c r="AJ265" s="49"/>
      <c r="AK265" s="49"/>
      <c r="AL265" s="49"/>
      <c r="AM265" s="49"/>
      <c r="AN265" s="49"/>
      <c r="AO265" s="49"/>
    </row>
    <row r="266" spans="3:41" ht="12.75" customHeight="1">
      <c r="C266" s="49"/>
      <c r="D266" s="49"/>
      <c r="E266" s="49"/>
      <c r="F266" s="49"/>
      <c r="G266" s="49"/>
      <c r="H266" s="49"/>
      <c r="I266" s="49"/>
      <c r="J266" s="49"/>
      <c r="K266" s="49"/>
      <c r="L266" s="49"/>
      <c r="M266" s="49"/>
      <c r="S266" s="49"/>
      <c r="T266" s="49"/>
      <c r="U266" s="49"/>
      <c r="W266" s="49"/>
      <c r="X266" s="49"/>
      <c r="Y266" s="49"/>
      <c r="Z266" s="49"/>
      <c r="AA266" s="49"/>
      <c r="AB266" s="49"/>
      <c r="AC266" s="49"/>
      <c r="AD266" s="49"/>
      <c r="AE266" s="49"/>
      <c r="AF266" s="49"/>
      <c r="AG266" s="49"/>
      <c r="AH266" s="49"/>
      <c r="AI266" s="49"/>
      <c r="AJ266" s="49"/>
      <c r="AK266" s="49"/>
      <c r="AL266" s="49"/>
      <c r="AM266" s="49"/>
      <c r="AN266" s="49"/>
      <c r="AO266" s="49"/>
    </row>
    <row r="267" spans="3:41" ht="12.75" customHeight="1">
      <c r="C267" s="49"/>
      <c r="D267" s="49"/>
      <c r="E267" s="49"/>
      <c r="F267" s="49"/>
      <c r="G267" s="49"/>
      <c r="H267" s="49"/>
      <c r="I267" s="49"/>
      <c r="J267" s="49"/>
      <c r="K267" s="49"/>
      <c r="L267" s="49"/>
      <c r="M267" s="49"/>
      <c r="S267" s="49"/>
      <c r="T267" s="49"/>
      <c r="U267" s="49"/>
      <c r="W267" s="49"/>
      <c r="X267" s="49"/>
      <c r="Y267" s="49"/>
      <c r="Z267" s="49"/>
      <c r="AA267" s="49"/>
      <c r="AB267" s="49"/>
      <c r="AC267" s="49"/>
      <c r="AD267" s="49"/>
      <c r="AE267" s="49"/>
      <c r="AF267" s="49"/>
      <c r="AG267" s="49"/>
      <c r="AH267" s="49"/>
      <c r="AI267" s="49"/>
      <c r="AJ267" s="49"/>
      <c r="AK267" s="49"/>
      <c r="AL267" s="49"/>
      <c r="AM267" s="49"/>
      <c r="AN267" s="49"/>
      <c r="AO267" s="49"/>
    </row>
    <row r="268" spans="3:41" ht="12.75" customHeight="1">
      <c r="C268" s="49"/>
      <c r="D268" s="49"/>
      <c r="E268" s="49"/>
      <c r="F268" s="49"/>
      <c r="G268" s="49"/>
      <c r="H268" s="49"/>
      <c r="I268" s="49"/>
      <c r="J268" s="49"/>
      <c r="K268" s="49"/>
      <c r="L268" s="49"/>
      <c r="M268" s="49"/>
      <c r="S268" s="49"/>
      <c r="T268" s="49"/>
      <c r="U268" s="49"/>
      <c r="W268" s="49"/>
      <c r="X268" s="49"/>
      <c r="Y268" s="49"/>
      <c r="Z268" s="49"/>
      <c r="AA268" s="49"/>
      <c r="AB268" s="49"/>
      <c r="AC268" s="49"/>
      <c r="AD268" s="49"/>
      <c r="AE268" s="49"/>
      <c r="AF268" s="49"/>
      <c r="AG268" s="49"/>
      <c r="AH268" s="49"/>
      <c r="AI268" s="49"/>
      <c r="AJ268" s="49"/>
      <c r="AK268" s="49"/>
      <c r="AL268" s="49"/>
      <c r="AM268" s="49"/>
      <c r="AN268" s="49"/>
      <c r="AO268" s="49"/>
    </row>
    <row r="269" spans="3:41" ht="12.75" customHeight="1">
      <c r="C269" s="49"/>
      <c r="D269" s="49"/>
      <c r="E269" s="49"/>
      <c r="F269" s="49"/>
      <c r="G269" s="49"/>
      <c r="H269" s="49"/>
      <c r="I269" s="49"/>
      <c r="J269" s="49"/>
      <c r="K269" s="49"/>
      <c r="L269" s="49"/>
      <c r="M269" s="49"/>
      <c r="S269" s="49"/>
      <c r="T269" s="49"/>
      <c r="U269" s="49"/>
      <c r="W269" s="49"/>
      <c r="X269" s="49"/>
      <c r="Y269" s="49"/>
      <c r="Z269" s="49"/>
      <c r="AA269" s="49"/>
      <c r="AB269" s="49"/>
      <c r="AC269" s="49"/>
      <c r="AD269" s="49"/>
      <c r="AE269" s="49"/>
      <c r="AF269" s="49"/>
      <c r="AG269" s="49"/>
      <c r="AH269" s="49"/>
      <c r="AI269" s="49"/>
      <c r="AJ269" s="49"/>
      <c r="AK269" s="49"/>
      <c r="AL269" s="49"/>
      <c r="AM269" s="49"/>
      <c r="AN269" s="49"/>
      <c r="AO269" s="49"/>
    </row>
    <row r="270" spans="3:41" ht="12.75" customHeight="1">
      <c r="C270" s="49"/>
      <c r="D270" s="49"/>
      <c r="E270" s="49"/>
      <c r="F270" s="49"/>
      <c r="G270" s="49"/>
      <c r="H270" s="49"/>
      <c r="I270" s="49"/>
      <c r="J270" s="49"/>
      <c r="K270" s="49"/>
      <c r="L270" s="49"/>
      <c r="M270" s="49"/>
      <c r="S270" s="49"/>
      <c r="T270" s="49"/>
      <c r="U270" s="49"/>
      <c r="W270" s="49"/>
      <c r="X270" s="49"/>
      <c r="Y270" s="49"/>
      <c r="Z270" s="49"/>
      <c r="AA270" s="49"/>
      <c r="AB270" s="49"/>
      <c r="AC270" s="49"/>
      <c r="AD270" s="49"/>
      <c r="AE270" s="49"/>
      <c r="AF270" s="49"/>
      <c r="AG270" s="49"/>
      <c r="AH270" s="49"/>
      <c r="AI270" s="49"/>
      <c r="AJ270" s="49"/>
      <c r="AK270" s="49"/>
      <c r="AL270" s="49"/>
      <c r="AM270" s="49"/>
      <c r="AN270" s="49"/>
      <c r="AO270" s="49"/>
    </row>
    <row r="271" spans="3:41" ht="12.75" customHeight="1">
      <c r="C271" s="49"/>
      <c r="D271" s="49"/>
      <c r="E271" s="49"/>
      <c r="F271" s="49"/>
      <c r="G271" s="49"/>
      <c r="H271" s="49"/>
      <c r="I271" s="49"/>
      <c r="J271" s="49"/>
      <c r="K271" s="49"/>
      <c r="L271" s="49"/>
      <c r="M271" s="49"/>
      <c r="S271" s="49"/>
      <c r="T271" s="49"/>
      <c r="U271" s="49"/>
      <c r="W271" s="49"/>
      <c r="X271" s="49"/>
      <c r="Y271" s="49"/>
      <c r="Z271" s="49"/>
      <c r="AA271" s="49"/>
      <c r="AB271" s="49"/>
      <c r="AC271" s="49"/>
      <c r="AD271" s="49"/>
      <c r="AE271" s="49"/>
      <c r="AF271" s="49"/>
      <c r="AG271" s="49"/>
      <c r="AH271" s="49"/>
      <c r="AI271" s="49"/>
      <c r="AJ271" s="49"/>
      <c r="AK271" s="49"/>
      <c r="AL271" s="49"/>
      <c r="AM271" s="49"/>
      <c r="AN271" s="49"/>
      <c r="AO271" s="49"/>
    </row>
    <row r="272" spans="3:41" ht="12.75" customHeight="1">
      <c r="C272" s="49"/>
      <c r="D272" s="49"/>
      <c r="E272" s="49"/>
      <c r="F272" s="49"/>
      <c r="G272" s="49"/>
      <c r="H272" s="49"/>
      <c r="I272" s="49"/>
      <c r="J272" s="49"/>
      <c r="K272" s="49"/>
      <c r="L272" s="49"/>
      <c r="M272" s="49"/>
      <c r="S272" s="49"/>
      <c r="T272" s="49"/>
      <c r="U272" s="49"/>
      <c r="W272" s="49"/>
      <c r="X272" s="49"/>
      <c r="Y272" s="49"/>
      <c r="Z272" s="49"/>
      <c r="AA272" s="49"/>
      <c r="AB272" s="49"/>
      <c r="AC272" s="49"/>
      <c r="AD272" s="49"/>
      <c r="AE272" s="49"/>
      <c r="AF272" s="49"/>
      <c r="AG272" s="49"/>
      <c r="AH272" s="49"/>
      <c r="AI272" s="49"/>
      <c r="AJ272" s="49"/>
      <c r="AK272" s="49"/>
      <c r="AL272" s="49"/>
      <c r="AM272" s="49"/>
      <c r="AN272" s="49"/>
      <c r="AO272" s="49"/>
    </row>
    <row r="273" spans="3:41" ht="12.75" customHeight="1">
      <c r="C273" s="49"/>
      <c r="D273" s="49"/>
      <c r="E273" s="49"/>
      <c r="F273" s="49"/>
      <c r="G273" s="49"/>
      <c r="H273" s="49"/>
      <c r="I273" s="49"/>
      <c r="J273" s="49"/>
      <c r="K273" s="49"/>
      <c r="L273" s="49"/>
      <c r="M273" s="49"/>
      <c r="S273" s="49"/>
      <c r="T273" s="49"/>
      <c r="U273" s="49"/>
      <c r="W273" s="49"/>
      <c r="X273" s="49"/>
      <c r="Y273" s="49"/>
      <c r="Z273" s="49"/>
      <c r="AA273" s="49"/>
      <c r="AB273" s="49"/>
      <c r="AC273" s="49"/>
      <c r="AD273" s="49"/>
      <c r="AE273" s="49"/>
      <c r="AF273" s="49"/>
      <c r="AG273" s="49"/>
      <c r="AH273" s="49"/>
      <c r="AI273" s="49"/>
      <c r="AJ273" s="49"/>
      <c r="AK273" s="49"/>
      <c r="AL273" s="49"/>
      <c r="AM273" s="49"/>
      <c r="AN273" s="49"/>
      <c r="AO273" s="49"/>
    </row>
    <row r="274" spans="3:41" ht="12.75" customHeight="1">
      <c r="C274" s="49"/>
      <c r="D274" s="49"/>
      <c r="E274" s="49"/>
      <c r="F274" s="49"/>
      <c r="G274" s="49"/>
      <c r="H274" s="49"/>
      <c r="I274" s="49"/>
      <c r="J274" s="49"/>
      <c r="K274" s="49"/>
      <c r="L274" s="49"/>
      <c r="M274" s="49"/>
      <c r="S274" s="49"/>
      <c r="T274" s="49"/>
      <c r="U274" s="49"/>
      <c r="W274" s="49"/>
      <c r="X274" s="49"/>
      <c r="Y274" s="49"/>
      <c r="Z274" s="49"/>
      <c r="AA274" s="49"/>
      <c r="AB274" s="49"/>
      <c r="AC274" s="49"/>
      <c r="AD274" s="49"/>
      <c r="AE274" s="49"/>
      <c r="AF274" s="49"/>
      <c r="AG274" s="49"/>
      <c r="AH274" s="49"/>
      <c r="AI274" s="49"/>
      <c r="AJ274" s="49"/>
      <c r="AK274" s="49"/>
      <c r="AL274" s="49"/>
      <c r="AM274" s="49"/>
      <c r="AN274" s="49"/>
      <c r="AO274" s="49"/>
    </row>
    <row r="275" spans="3:41" ht="12.75" customHeight="1">
      <c r="C275" s="49"/>
      <c r="D275" s="49"/>
      <c r="E275" s="49"/>
      <c r="F275" s="49"/>
      <c r="G275" s="49"/>
      <c r="H275" s="49"/>
      <c r="I275" s="49"/>
      <c r="J275" s="49"/>
      <c r="K275" s="49"/>
      <c r="L275" s="49"/>
      <c r="M275" s="49"/>
      <c r="S275" s="49"/>
      <c r="T275" s="49"/>
      <c r="U275" s="49"/>
      <c r="W275" s="49"/>
      <c r="X275" s="49"/>
      <c r="Y275" s="49"/>
      <c r="Z275" s="49"/>
      <c r="AA275" s="49"/>
      <c r="AB275" s="49"/>
      <c r="AC275" s="49"/>
      <c r="AD275" s="49"/>
      <c r="AE275" s="49"/>
      <c r="AF275" s="49"/>
      <c r="AG275" s="49"/>
      <c r="AH275" s="49"/>
      <c r="AI275" s="49"/>
      <c r="AJ275" s="49"/>
      <c r="AK275" s="49"/>
      <c r="AL275" s="49"/>
      <c r="AM275" s="49"/>
      <c r="AN275" s="49"/>
      <c r="AO275" s="49"/>
    </row>
    <row r="276" spans="3:41" ht="12.75" customHeight="1">
      <c r="C276" s="49"/>
      <c r="D276" s="49"/>
      <c r="E276" s="49"/>
      <c r="F276" s="49"/>
      <c r="G276" s="49"/>
      <c r="H276" s="49"/>
      <c r="I276" s="49"/>
      <c r="J276" s="49"/>
      <c r="K276" s="49"/>
      <c r="L276" s="49"/>
      <c r="M276" s="49"/>
      <c r="S276" s="49"/>
      <c r="T276" s="49"/>
      <c r="U276" s="49"/>
      <c r="W276" s="49"/>
      <c r="X276" s="49"/>
      <c r="Y276" s="49"/>
      <c r="Z276" s="49"/>
      <c r="AA276" s="49"/>
      <c r="AB276" s="49"/>
      <c r="AC276" s="49"/>
      <c r="AD276" s="49"/>
      <c r="AE276" s="49"/>
      <c r="AF276" s="49"/>
      <c r="AG276" s="49"/>
      <c r="AH276" s="49"/>
      <c r="AI276" s="49"/>
      <c r="AJ276" s="49"/>
      <c r="AK276" s="49"/>
      <c r="AL276" s="49"/>
      <c r="AM276" s="49"/>
      <c r="AN276" s="49"/>
      <c r="AO276" s="49"/>
    </row>
    <row r="277" spans="3:41" ht="12.75" customHeight="1">
      <c r="C277" s="49"/>
      <c r="D277" s="49"/>
      <c r="E277" s="49"/>
      <c r="F277" s="49"/>
      <c r="G277" s="49"/>
      <c r="H277" s="49"/>
      <c r="I277" s="49"/>
      <c r="J277" s="49"/>
      <c r="K277" s="49"/>
      <c r="L277" s="49"/>
      <c r="M277" s="49"/>
      <c r="S277" s="49"/>
      <c r="T277" s="49"/>
      <c r="U277" s="49"/>
      <c r="W277" s="49"/>
      <c r="X277" s="49"/>
      <c r="Y277" s="49"/>
      <c r="Z277" s="49"/>
      <c r="AA277" s="49"/>
      <c r="AB277" s="49"/>
      <c r="AC277" s="49"/>
      <c r="AD277" s="49"/>
      <c r="AE277" s="49"/>
      <c r="AF277" s="49"/>
      <c r="AG277" s="49"/>
      <c r="AH277" s="49"/>
      <c r="AI277" s="49"/>
      <c r="AJ277" s="49"/>
      <c r="AK277" s="49"/>
      <c r="AL277" s="49"/>
      <c r="AM277" s="49"/>
      <c r="AN277" s="49"/>
      <c r="AO277" s="49"/>
    </row>
    <row r="278" spans="3:41" ht="12.75" customHeight="1">
      <c r="C278" s="49"/>
      <c r="D278" s="49"/>
      <c r="E278" s="49"/>
      <c r="F278" s="49"/>
      <c r="G278" s="49"/>
      <c r="H278" s="49"/>
      <c r="I278" s="49"/>
      <c r="J278" s="49"/>
      <c r="K278" s="49"/>
      <c r="L278" s="49"/>
      <c r="M278" s="49"/>
      <c r="S278" s="49"/>
      <c r="T278" s="49"/>
      <c r="U278" s="49"/>
      <c r="W278" s="49"/>
      <c r="X278" s="49"/>
      <c r="Y278" s="49"/>
      <c r="Z278" s="49"/>
      <c r="AA278" s="49"/>
      <c r="AB278" s="49"/>
      <c r="AC278" s="49"/>
      <c r="AD278" s="49"/>
      <c r="AE278" s="49"/>
      <c r="AF278" s="49"/>
      <c r="AG278" s="49"/>
      <c r="AH278" s="49"/>
      <c r="AI278" s="49"/>
      <c r="AJ278" s="49"/>
      <c r="AK278" s="49"/>
      <c r="AL278" s="49"/>
      <c r="AM278" s="49"/>
      <c r="AN278" s="49"/>
      <c r="AO278" s="49"/>
    </row>
    <row r="279" spans="3:41" ht="12.75" customHeight="1">
      <c r="C279" s="49"/>
      <c r="D279" s="49"/>
      <c r="E279" s="49"/>
      <c r="F279" s="49"/>
      <c r="G279" s="49"/>
      <c r="H279" s="49"/>
      <c r="I279" s="49"/>
      <c r="J279" s="49"/>
      <c r="K279" s="49"/>
      <c r="L279" s="49"/>
      <c r="M279" s="49"/>
      <c r="S279" s="49"/>
      <c r="T279" s="49"/>
      <c r="U279" s="49"/>
      <c r="W279" s="49"/>
      <c r="X279" s="49"/>
      <c r="Y279" s="49"/>
      <c r="Z279" s="49"/>
      <c r="AA279" s="49"/>
      <c r="AB279" s="49"/>
      <c r="AC279" s="49"/>
      <c r="AD279" s="49"/>
      <c r="AE279" s="49"/>
      <c r="AF279" s="49"/>
      <c r="AG279" s="49"/>
      <c r="AH279" s="49"/>
      <c r="AI279" s="49"/>
      <c r="AJ279" s="49"/>
      <c r="AK279" s="49"/>
      <c r="AL279" s="49"/>
      <c r="AM279" s="49"/>
      <c r="AN279" s="49"/>
      <c r="AO279" s="49"/>
    </row>
    <row r="280" spans="3:41" ht="12.75" customHeight="1">
      <c r="C280" s="49"/>
      <c r="D280" s="49"/>
      <c r="E280" s="49"/>
      <c r="F280" s="49"/>
      <c r="G280" s="49"/>
      <c r="H280" s="49"/>
      <c r="I280" s="49"/>
      <c r="J280" s="49"/>
      <c r="K280" s="49"/>
      <c r="L280" s="49"/>
      <c r="M280" s="49"/>
      <c r="S280" s="49"/>
      <c r="T280" s="49"/>
      <c r="U280" s="49"/>
      <c r="W280" s="49"/>
      <c r="X280" s="49"/>
      <c r="Y280" s="49"/>
      <c r="Z280" s="49"/>
      <c r="AA280" s="49"/>
      <c r="AB280" s="49"/>
      <c r="AC280" s="49"/>
      <c r="AD280" s="49"/>
      <c r="AE280" s="49"/>
      <c r="AF280" s="49"/>
      <c r="AG280" s="49"/>
      <c r="AH280" s="49"/>
      <c r="AI280" s="49"/>
      <c r="AJ280" s="49"/>
      <c r="AK280" s="49"/>
      <c r="AL280" s="49"/>
      <c r="AM280" s="49"/>
      <c r="AN280" s="49"/>
      <c r="AO280" s="49"/>
    </row>
    <row r="281" spans="3:41" ht="12.75" customHeight="1">
      <c r="C281" s="49"/>
      <c r="D281" s="49"/>
      <c r="E281" s="49"/>
      <c r="F281" s="49"/>
      <c r="G281" s="49"/>
      <c r="H281" s="49"/>
      <c r="I281" s="49"/>
      <c r="J281" s="49"/>
      <c r="K281" s="49"/>
      <c r="L281" s="49"/>
      <c r="M281" s="49"/>
      <c r="S281" s="49"/>
      <c r="T281" s="49"/>
      <c r="U281" s="49"/>
      <c r="W281" s="49"/>
      <c r="X281" s="49"/>
      <c r="Y281" s="49"/>
      <c r="Z281" s="49"/>
      <c r="AA281" s="49"/>
      <c r="AB281" s="49"/>
      <c r="AC281" s="49"/>
      <c r="AD281" s="49"/>
      <c r="AE281" s="49"/>
      <c r="AF281" s="49"/>
      <c r="AG281" s="49"/>
      <c r="AH281" s="49"/>
      <c r="AI281" s="49"/>
      <c r="AJ281" s="49"/>
      <c r="AK281" s="49"/>
      <c r="AL281" s="49"/>
      <c r="AM281" s="49"/>
      <c r="AN281" s="49"/>
      <c r="AO281" s="49"/>
    </row>
    <row r="282" spans="3:41" ht="12.75" customHeight="1">
      <c r="C282" s="49"/>
      <c r="D282" s="49"/>
      <c r="E282" s="49"/>
      <c r="F282" s="49"/>
      <c r="G282" s="49"/>
      <c r="H282" s="49"/>
      <c r="I282" s="49"/>
      <c r="J282" s="49"/>
      <c r="K282" s="49"/>
      <c r="L282" s="49"/>
      <c r="M282" s="49"/>
      <c r="S282" s="49"/>
      <c r="T282" s="49"/>
      <c r="U282" s="49"/>
      <c r="W282" s="49"/>
      <c r="X282" s="49"/>
      <c r="Y282" s="49"/>
      <c r="Z282" s="49"/>
      <c r="AA282" s="49"/>
      <c r="AB282" s="49"/>
      <c r="AC282" s="49"/>
      <c r="AD282" s="49"/>
      <c r="AE282" s="49"/>
      <c r="AF282" s="49"/>
      <c r="AG282" s="49"/>
      <c r="AH282" s="49"/>
      <c r="AI282" s="49"/>
      <c r="AJ282" s="49"/>
      <c r="AK282" s="49"/>
      <c r="AL282" s="49"/>
      <c r="AM282" s="49"/>
      <c r="AN282" s="49"/>
      <c r="AO282" s="49"/>
    </row>
    <row r="283" spans="3:41" ht="12.75" customHeight="1">
      <c r="C283" s="49"/>
      <c r="D283" s="49"/>
      <c r="E283" s="49"/>
      <c r="F283" s="49"/>
      <c r="G283" s="49"/>
      <c r="H283" s="49"/>
      <c r="I283" s="49"/>
      <c r="J283" s="49"/>
      <c r="K283" s="49"/>
      <c r="L283" s="49"/>
      <c r="M283" s="49"/>
      <c r="S283" s="49"/>
      <c r="T283" s="49"/>
      <c r="U283" s="49"/>
      <c r="W283" s="49"/>
      <c r="X283" s="49"/>
      <c r="Y283" s="49"/>
      <c r="Z283" s="49"/>
      <c r="AA283" s="49"/>
      <c r="AB283" s="49"/>
      <c r="AC283" s="49"/>
      <c r="AD283" s="49"/>
      <c r="AE283" s="49"/>
      <c r="AF283" s="49"/>
      <c r="AG283" s="49"/>
      <c r="AH283" s="49"/>
      <c r="AI283" s="49"/>
      <c r="AJ283" s="49"/>
      <c r="AK283" s="49"/>
      <c r="AL283" s="49"/>
      <c r="AM283" s="49"/>
      <c r="AN283" s="49"/>
      <c r="AO283" s="49"/>
    </row>
    <row r="284" spans="3:41" ht="12.75" customHeight="1">
      <c r="C284" s="49"/>
      <c r="D284" s="49"/>
      <c r="E284" s="49"/>
      <c r="F284" s="49"/>
      <c r="G284" s="49"/>
      <c r="H284" s="49"/>
      <c r="I284" s="49"/>
      <c r="J284" s="49"/>
      <c r="K284" s="49"/>
      <c r="L284" s="49"/>
      <c r="M284" s="49"/>
      <c r="S284" s="49"/>
      <c r="T284" s="49"/>
      <c r="U284" s="49"/>
      <c r="W284" s="49"/>
      <c r="X284" s="49"/>
      <c r="Y284" s="49"/>
      <c r="Z284" s="49"/>
      <c r="AA284" s="49"/>
      <c r="AB284" s="49"/>
      <c r="AC284" s="49"/>
      <c r="AD284" s="49"/>
      <c r="AE284" s="49"/>
      <c r="AF284" s="49"/>
      <c r="AG284" s="49"/>
      <c r="AH284" s="49"/>
      <c r="AI284" s="49"/>
      <c r="AJ284" s="49"/>
      <c r="AK284" s="49"/>
      <c r="AL284" s="49"/>
      <c r="AM284" s="49"/>
      <c r="AN284" s="49"/>
      <c r="AO284" s="49"/>
    </row>
    <row r="285" spans="3:41" ht="12.75" customHeight="1">
      <c r="C285" s="49"/>
      <c r="D285" s="49"/>
      <c r="E285" s="49"/>
      <c r="F285" s="49"/>
      <c r="G285" s="49"/>
      <c r="H285" s="49"/>
      <c r="I285" s="49"/>
      <c r="J285" s="49"/>
      <c r="K285" s="49"/>
      <c r="L285" s="49"/>
      <c r="M285" s="49"/>
      <c r="S285" s="49"/>
      <c r="T285" s="49"/>
      <c r="U285" s="49"/>
      <c r="W285" s="49"/>
      <c r="X285" s="49"/>
      <c r="Y285" s="49"/>
      <c r="Z285" s="49"/>
      <c r="AA285" s="49"/>
      <c r="AB285" s="49"/>
      <c r="AC285" s="49"/>
      <c r="AD285" s="49"/>
      <c r="AE285" s="49"/>
      <c r="AF285" s="49"/>
      <c r="AG285" s="49"/>
      <c r="AH285" s="49"/>
      <c r="AI285" s="49"/>
      <c r="AJ285" s="49"/>
      <c r="AK285" s="49"/>
      <c r="AL285" s="49"/>
      <c r="AM285" s="49"/>
      <c r="AN285" s="49"/>
      <c r="AO285" s="49"/>
    </row>
    <row r="286" spans="3:41" ht="12.75" customHeight="1">
      <c r="C286" s="49"/>
      <c r="D286" s="49"/>
      <c r="E286" s="49"/>
      <c r="F286" s="49"/>
      <c r="G286" s="49"/>
      <c r="H286" s="49"/>
      <c r="I286" s="49"/>
      <c r="J286" s="49"/>
      <c r="K286" s="49"/>
      <c r="L286" s="49"/>
      <c r="M286" s="49"/>
      <c r="S286" s="49"/>
      <c r="T286" s="49"/>
      <c r="U286" s="49"/>
      <c r="W286" s="49"/>
      <c r="X286" s="49"/>
      <c r="Y286" s="49"/>
      <c r="Z286" s="49"/>
      <c r="AA286" s="49"/>
      <c r="AB286" s="49"/>
      <c r="AC286" s="49"/>
      <c r="AD286" s="49"/>
      <c r="AE286" s="49"/>
      <c r="AF286" s="49"/>
      <c r="AG286" s="49"/>
      <c r="AH286" s="49"/>
      <c r="AI286" s="49"/>
      <c r="AJ286" s="49"/>
      <c r="AK286" s="49"/>
      <c r="AL286" s="49"/>
      <c r="AM286" s="49"/>
      <c r="AN286" s="49"/>
      <c r="AO286" s="49"/>
    </row>
    <row r="287" spans="3:41" ht="12.75" customHeight="1">
      <c r="C287" s="49"/>
      <c r="D287" s="49"/>
      <c r="E287" s="49"/>
      <c r="F287" s="49"/>
      <c r="G287" s="49"/>
      <c r="H287" s="49"/>
      <c r="I287" s="49"/>
      <c r="J287" s="49"/>
      <c r="K287" s="49"/>
      <c r="L287" s="49"/>
      <c r="M287" s="49"/>
      <c r="S287" s="49"/>
      <c r="T287" s="49"/>
      <c r="U287" s="49"/>
      <c r="W287" s="49"/>
      <c r="X287" s="49"/>
      <c r="Y287" s="49"/>
      <c r="Z287" s="49"/>
      <c r="AA287" s="49"/>
      <c r="AB287" s="49"/>
      <c r="AC287" s="49"/>
      <c r="AD287" s="49"/>
      <c r="AE287" s="49"/>
      <c r="AF287" s="49"/>
      <c r="AG287" s="49"/>
      <c r="AH287" s="49"/>
      <c r="AI287" s="49"/>
      <c r="AJ287" s="49"/>
      <c r="AK287" s="49"/>
      <c r="AL287" s="49"/>
      <c r="AM287" s="49"/>
      <c r="AN287" s="49"/>
      <c r="AO287" s="49"/>
    </row>
    <row r="288" spans="3:41" ht="12.75" customHeight="1">
      <c r="C288" s="49"/>
      <c r="D288" s="49"/>
      <c r="E288" s="49"/>
      <c r="F288" s="49"/>
      <c r="G288" s="49"/>
      <c r="H288" s="49"/>
      <c r="I288" s="49"/>
      <c r="J288" s="49"/>
      <c r="K288" s="49"/>
      <c r="L288" s="49"/>
      <c r="M288" s="49"/>
      <c r="S288" s="49"/>
      <c r="T288" s="49"/>
      <c r="U288" s="49"/>
      <c r="W288" s="49"/>
      <c r="X288" s="49"/>
      <c r="Y288" s="49"/>
      <c r="Z288" s="49"/>
      <c r="AA288" s="49"/>
      <c r="AB288" s="49"/>
      <c r="AC288" s="49"/>
      <c r="AD288" s="49"/>
      <c r="AE288" s="49"/>
      <c r="AF288" s="49"/>
      <c r="AG288" s="49"/>
      <c r="AH288" s="49"/>
      <c r="AI288" s="49"/>
      <c r="AJ288" s="49"/>
      <c r="AK288" s="49"/>
      <c r="AL288" s="49"/>
      <c r="AM288" s="49"/>
      <c r="AN288" s="49"/>
      <c r="AO288" s="49"/>
    </row>
    <row r="289" spans="3:41" ht="12.75" customHeight="1">
      <c r="C289" s="49"/>
      <c r="D289" s="49"/>
      <c r="E289" s="49"/>
      <c r="F289" s="49"/>
      <c r="G289" s="49"/>
      <c r="H289" s="49"/>
      <c r="I289" s="49"/>
      <c r="J289" s="49"/>
      <c r="K289" s="49"/>
      <c r="L289" s="49"/>
      <c r="M289" s="49"/>
      <c r="S289" s="49"/>
      <c r="T289" s="49"/>
      <c r="U289" s="49"/>
      <c r="W289" s="49"/>
      <c r="X289" s="49"/>
      <c r="Y289" s="49"/>
      <c r="Z289" s="49"/>
      <c r="AA289" s="49"/>
      <c r="AB289" s="49"/>
      <c r="AC289" s="49"/>
      <c r="AD289" s="49"/>
      <c r="AE289" s="49"/>
      <c r="AF289" s="49"/>
      <c r="AG289" s="49"/>
      <c r="AH289" s="49"/>
      <c r="AI289" s="49"/>
      <c r="AJ289" s="49"/>
      <c r="AK289" s="49"/>
      <c r="AL289" s="49"/>
      <c r="AM289" s="49"/>
      <c r="AN289" s="49"/>
      <c r="AO289" s="49"/>
    </row>
    <row r="290" spans="3:41" ht="12.75" customHeight="1">
      <c r="C290" s="49"/>
      <c r="D290" s="49"/>
      <c r="E290" s="49"/>
      <c r="F290" s="49"/>
      <c r="G290" s="49"/>
      <c r="H290" s="49"/>
      <c r="I290" s="49"/>
      <c r="J290" s="49"/>
      <c r="K290" s="49"/>
      <c r="L290" s="49"/>
      <c r="M290" s="49"/>
      <c r="S290" s="49"/>
      <c r="T290" s="49"/>
      <c r="U290" s="49"/>
      <c r="W290" s="49"/>
      <c r="X290" s="49"/>
      <c r="Y290" s="49"/>
      <c r="Z290" s="49"/>
      <c r="AA290" s="49"/>
      <c r="AB290" s="49"/>
      <c r="AC290" s="49"/>
      <c r="AD290" s="49"/>
      <c r="AE290" s="49"/>
      <c r="AF290" s="49"/>
      <c r="AG290" s="49"/>
      <c r="AH290" s="49"/>
      <c r="AI290" s="49"/>
      <c r="AJ290" s="49"/>
      <c r="AK290" s="49"/>
      <c r="AL290" s="49"/>
      <c r="AM290" s="49"/>
      <c r="AN290" s="49"/>
      <c r="AO290" s="49"/>
    </row>
    <row r="291" spans="3:41" ht="12.75" customHeight="1">
      <c r="C291" s="49"/>
      <c r="D291" s="49"/>
      <c r="E291" s="49"/>
      <c r="F291" s="49"/>
      <c r="G291" s="49"/>
      <c r="H291" s="49"/>
      <c r="I291" s="49"/>
      <c r="J291" s="49"/>
      <c r="K291" s="49"/>
      <c r="L291" s="49"/>
      <c r="M291" s="49"/>
      <c r="S291" s="49"/>
      <c r="T291" s="49"/>
      <c r="U291" s="49"/>
      <c r="W291" s="49"/>
      <c r="X291" s="49"/>
      <c r="Y291" s="49"/>
      <c r="Z291" s="49"/>
      <c r="AA291" s="49"/>
      <c r="AB291" s="49"/>
      <c r="AC291" s="49"/>
      <c r="AD291" s="49"/>
      <c r="AE291" s="49"/>
      <c r="AF291" s="49"/>
      <c r="AG291" s="49"/>
      <c r="AH291" s="49"/>
      <c r="AI291" s="49"/>
      <c r="AJ291" s="49"/>
      <c r="AK291" s="49"/>
      <c r="AL291" s="49"/>
      <c r="AM291" s="49"/>
      <c r="AN291" s="49"/>
      <c r="AO291" s="49"/>
    </row>
    <row r="292" spans="3:41" ht="12.75" customHeight="1">
      <c r="C292" s="49"/>
      <c r="D292" s="49"/>
      <c r="E292" s="49"/>
      <c r="F292" s="49"/>
      <c r="G292" s="49"/>
      <c r="H292" s="49"/>
      <c r="I292" s="49"/>
      <c r="J292" s="49"/>
      <c r="K292" s="49"/>
      <c r="L292" s="49"/>
      <c r="M292" s="49"/>
      <c r="S292" s="49"/>
      <c r="T292" s="49"/>
      <c r="U292" s="49"/>
      <c r="W292" s="49"/>
      <c r="X292" s="49"/>
      <c r="Y292" s="49"/>
      <c r="Z292" s="49"/>
      <c r="AA292" s="49"/>
      <c r="AB292" s="49"/>
      <c r="AC292" s="49"/>
      <c r="AD292" s="49"/>
      <c r="AE292" s="49"/>
      <c r="AF292" s="49"/>
      <c r="AG292" s="49"/>
      <c r="AH292" s="49"/>
      <c r="AI292" s="49"/>
      <c r="AJ292" s="49"/>
      <c r="AK292" s="49"/>
      <c r="AL292" s="49"/>
      <c r="AM292" s="49"/>
      <c r="AN292" s="49"/>
      <c r="AO292" s="49"/>
    </row>
    <row r="293" spans="3:41" ht="12.75" customHeight="1">
      <c r="C293" s="49"/>
      <c r="D293" s="49"/>
      <c r="E293" s="49"/>
      <c r="F293" s="49"/>
      <c r="G293" s="49"/>
      <c r="H293" s="49"/>
      <c r="I293" s="49"/>
      <c r="J293" s="49"/>
      <c r="K293" s="49"/>
      <c r="L293" s="49"/>
      <c r="M293" s="49"/>
      <c r="S293" s="49"/>
      <c r="T293" s="49"/>
      <c r="U293" s="49"/>
      <c r="W293" s="49"/>
      <c r="X293" s="49"/>
      <c r="Y293" s="49"/>
      <c r="Z293" s="49"/>
      <c r="AA293" s="49"/>
      <c r="AB293" s="49"/>
      <c r="AC293" s="49"/>
      <c r="AD293" s="49"/>
      <c r="AE293" s="49"/>
      <c r="AF293" s="49"/>
      <c r="AG293" s="49"/>
      <c r="AH293" s="49"/>
      <c r="AI293" s="49"/>
      <c r="AJ293" s="49"/>
      <c r="AK293" s="49"/>
      <c r="AL293" s="49"/>
      <c r="AM293" s="49"/>
      <c r="AN293" s="49"/>
      <c r="AO293" s="49"/>
    </row>
    <row r="294" spans="3:41" ht="12.75" customHeight="1">
      <c r="C294" s="49"/>
      <c r="D294" s="49"/>
      <c r="E294" s="49"/>
      <c r="F294" s="49"/>
      <c r="G294" s="49"/>
      <c r="H294" s="49"/>
      <c r="I294" s="49"/>
      <c r="J294" s="49"/>
      <c r="K294" s="49"/>
      <c r="L294" s="49"/>
      <c r="M294" s="49"/>
      <c r="S294" s="49"/>
      <c r="T294" s="49"/>
      <c r="U294" s="49"/>
      <c r="W294" s="49"/>
      <c r="X294" s="49"/>
      <c r="Y294" s="49"/>
      <c r="Z294" s="49"/>
      <c r="AA294" s="49"/>
      <c r="AB294" s="49"/>
      <c r="AC294" s="49"/>
      <c r="AD294" s="49"/>
      <c r="AE294" s="49"/>
      <c r="AF294" s="49"/>
      <c r="AG294" s="49"/>
      <c r="AH294" s="49"/>
      <c r="AI294" s="49"/>
      <c r="AJ294" s="49"/>
      <c r="AK294" s="49"/>
      <c r="AL294" s="49"/>
      <c r="AM294" s="49"/>
      <c r="AN294" s="49"/>
      <c r="AO294" s="49"/>
    </row>
    <row r="295" spans="3:41" ht="12.75" customHeight="1">
      <c r="C295" s="49"/>
      <c r="D295" s="49"/>
      <c r="E295" s="49"/>
      <c r="F295" s="49"/>
      <c r="G295" s="49"/>
      <c r="H295" s="49"/>
      <c r="I295" s="49"/>
      <c r="J295" s="49"/>
      <c r="K295" s="49"/>
      <c r="L295" s="49"/>
      <c r="M295" s="49"/>
      <c r="S295" s="49"/>
      <c r="T295" s="49"/>
      <c r="U295" s="49"/>
      <c r="W295" s="49"/>
      <c r="X295" s="49"/>
      <c r="Y295" s="49"/>
      <c r="Z295" s="49"/>
      <c r="AA295" s="49"/>
      <c r="AB295" s="49"/>
      <c r="AC295" s="49"/>
      <c r="AD295" s="49"/>
      <c r="AE295" s="49"/>
      <c r="AF295" s="49"/>
      <c r="AG295" s="49"/>
      <c r="AH295" s="49"/>
      <c r="AI295" s="49"/>
      <c r="AJ295" s="49"/>
      <c r="AK295" s="49"/>
      <c r="AL295" s="49"/>
      <c r="AM295" s="49"/>
      <c r="AN295" s="49"/>
      <c r="AO295" s="49"/>
    </row>
    <row r="296" spans="3:41" ht="12.75" customHeight="1">
      <c r="C296" s="49"/>
      <c r="D296" s="49"/>
      <c r="E296" s="49"/>
      <c r="F296" s="49"/>
      <c r="G296" s="49"/>
      <c r="H296" s="49"/>
      <c r="I296" s="49"/>
      <c r="J296" s="49"/>
      <c r="K296" s="49"/>
      <c r="L296" s="49"/>
      <c r="M296" s="49"/>
      <c r="S296" s="49"/>
      <c r="T296" s="49"/>
      <c r="U296" s="49"/>
      <c r="W296" s="49"/>
      <c r="X296" s="49"/>
      <c r="Y296" s="49"/>
      <c r="Z296" s="49"/>
      <c r="AA296" s="49"/>
      <c r="AB296" s="49"/>
      <c r="AC296" s="49"/>
      <c r="AD296" s="49"/>
      <c r="AE296" s="49"/>
      <c r="AF296" s="49"/>
      <c r="AG296" s="49"/>
      <c r="AH296" s="49"/>
      <c r="AI296" s="49"/>
      <c r="AJ296" s="49"/>
      <c r="AK296" s="49"/>
      <c r="AL296" s="49"/>
      <c r="AM296" s="49"/>
      <c r="AN296" s="49"/>
      <c r="AO296" s="49"/>
    </row>
    <row r="297" spans="3:41" ht="12.75" customHeight="1">
      <c r="C297" s="49"/>
      <c r="D297" s="49"/>
      <c r="E297" s="49"/>
      <c r="F297" s="49"/>
      <c r="G297" s="49"/>
      <c r="H297" s="49"/>
      <c r="I297" s="49"/>
      <c r="J297" s="49"/>
      <c r="K297" s="49"/>
      <c r="L297" s="49"/>
      <c r="M297" s="49"/>
      <c r="S297" s="49"/>
      <c r="T297" s="49"/>
      <c r="U297" s="49"/>
      <c r="W297" s="49"/>
      <c r="X297" s="49"/>
      <c r="Y297" s="49"/>
      <c r="Z297" s="49"/>
      <c r="AA297" s="49"/>
      <c r="AB297" s="49"/>
      <c r="AC297" s="49"/>
      <c r="AD297" s="49"/>
      <c r="AE297" s="49"/>
      <c r="AF297" s="49"/>
      <c r="AG297" s="49"/>
      <c r="AH297" s="49"/>
      <c r="AI297" s="49"/>
      <c r="AJ297" s="49"/>
      <c r="AK297" s="49"/>
      <c r="AL297" s="49"/>
      <c r="AM297" s="49"/>
      <c r="AN297" s="49"/>
      <c r="AO297" s="49"/>
    </row>
    <row r="298" spans="3:41" ht="12.75" customHeight="1">
      <c r="C298" s="49"/>
      <c r="D298" s="49"/>
      <c r="E298" s="49"/>
      <c r="F298" s="49"/>
      <c r="G298" s="49"/>
      <c r="H298" s="49"/>
      <c r="I298" s="49"/>
      <c r="J298" s="49"/>
      <c r="K298" s="49"/>
      <c r="L298" s="49"/>
      <c r="M298" s="49"/>
      <c r="S298" s="49"/>
      <c r="T298" s="49"/>
      <c r="U298" s="49"/>
      <c r="W298" s="49"/>
      <c r="X298" s="49"/>
      <c r="Y298" s="49"/>
      <c r="Z298" s="49"/>
      <c r="AA298" s="49"/>
      <c r="AB298" s="49"/>
      <c r="AC298" s="49"/>
      <c r="AD298" s="49"/>
      <c r="AE298" s="49"/>
      <c r="AF298" s="49"/>
      <c r="AG298" s="49"/>
      <c r="AH298" s="49"/>
      <c r="AI298" s="49"/>
      <c r="AJ298" s="49"/>
      <c r="AK298" s="49"/>
      <c r="AL298" s="49"/>
      <c r="AM298" s="49"/>
      <c r="AN298" s="49"/>
      <c r="AO298" s="49"/>
    </row>
    <row r="299" spans="3:41" ht="12.75" customHeight="1">
      <c r="C299" s="49"/>
      <c r="D299" s="49"/>
      <c r="E299" s="49"/>
      <c r="F299" s="49"/>
      <c r="G299" s="49"/>
      <c r="H299" s="49"/>
      <c r="I299" s="49"/>
      <c r="J299" s="49"/>
      <c r="K299" s="49"/>
      <c r="L299" s="49"/>
      <c r="M299" s="49"/>
      <c r="S299" s="49"/>
      <c r="T299" s="49"/>
      <c r="U299" s="49"/>
      <c r="W299" s="49"/>
      <c r="X299" s="49"/>
      <c r="Y299" s="49"/>
      <c r="Z299" s="49"/>
      <c r="AA299" s="49"/>
      <c r="AB299" s="49"/>
      <c r="AC299" s="49"/>
      <c r="AD299" s="49"/>
      <c r="AE299" s="49"/>
      <c r="AF299" s="49"/>
      <c r="AG299" s="49"/>
      <c r="AH299" s="49"/>
      <c r="AI299" s="49"/>
      <c r="AJ299" s="49"/>
      <c r="AK299" s="49"/>
      <c r="AL299" s="49"/>
      <c r="AM299" s="49"/>
      <c r="AN299" s="49"/>
      <c r="AO299" s="49"/>
    </row>
    <row r="300" spans="3:41" ht="12.75" customHeight="1">
      <c r="C300" s="49"/>
      <c r="D300" s="49"/>
      <c r="E300" s="49"/>
      <c r="F300" s="49"/>
      <c r="G300" s="49"/>
      <c r="H300" s="49"/>
      <c r="I300" s="49"/>
      <c r="J300" s="49"/>
      <c r="K300" s="49"/>
      <c r="L300" s="49"/>
      <c r="M300" s="49"/>
      <c r="S300" s="49"/>
      <c r="T300" s="49"/>
      <c r="U300" s="49"/>
      <c r="W300" s="49"/>
      <c r="X300" s="49"/>
      <c r="Y300" s="49"/>
      <c r="Z300" s="49"/>
      <c r="AA300" s="49"/>
      <c r="AB300" s="49"/>
      <c r="AC300" s="49"/>
      <c r="AD300" s="49"/>
      <c r="AE300" s="49"/>
      <c r="AF300" s="49"/>
      <c r="AG300" s="49"/>
      <c r="AH300" s="49"/>
      <c r="AI300" s="49"/>
      <c r="AJ300" s="49"/>
      <c r="AK300" s="49"/>
      <c r="AL300" s="49"/>
      <c r="AM300" s="49"/>
      <c r="AN300" s="49"/>
      <c r="AO300" s="49"/>
    </row>
    <row r="301" spans="3:41" ht="12.75" customHeight="1">
      <c r="C301" s="49"/>
      <c r="D301" s="49"/>
      <c r="E301" s="49"/>
      <c r="F301" s="49"/>
      <c r="G301" s="49"/>
      <c r="H301" s="49"/>
      <c r="I301" s="49"/>
      <c r="J301" s="49"/>
      <c r="K301" s="49"/>
      <c r="L301" s="49"/>
      <c r="M301" s="49"/>
      <c r="S301" s="49"/>
      <c r="T301" s="49"/>
      <c r="U301" s="49"/>
      <c r="W301" s="49"/>
      <c r="X301" s="49"/>
      <c r="Y301" s="49"/>
      <c r="Z301" s="49"/>
      <c r="AA301" s="49"/>
      <c r="AB301" s="49"/>
      <c r="AC301" s="49"/>
      <c r="AD301" s="49"/>
      <c r="AE301" s="49"/>
      <c r="AF301" s="49"/>
      <c r="AG301" s="49"/>
      <c r="AH301" s="49"/>
      <c r="AI301" s="49"/>
      <c r="AJ301" s="49"/>
      <c r="AK301" s="49"/>
      <c r="AL301" s="49"/>
      <c r="AM301" s="49"/>
      <c r="AN301" s="49"/>
      <c r="AO301" s="49"/>
    </row>
    <row r="302" spans="3:41" ht="12.75" customHeight="1">
      <c r="C302" s="49"/>
      <c r="D302" s="49"/>
      <c r="E302" s="49"/>
      <c r="F302" s="49"/>
      <c r="G302" s="49"/>
      <c r="H302" s="49"/>
      <c r="I302" s="49"/>
      <c r="J302" s="49"/>
      <c r="K302" s="49"/>
      <c r="L302" s="49"/>
      <c r="M302" s="49"/>
      <c r="S302" s="49"/>
      <c r="T302" s="49"/>
      <c r="U302" s="49"/>
      <c r="W302" s="49"/>
      <c r="X302" s="49"/>
      <c r="Y302" s="49"/>
      <c r="Z302" s="49"/>
      <c r="AA302" s="49"/>
      <c r="AB302" s="49"/>
      <c r="AC302" s="49"/>
      <c r="AD302" s="49"/>
      <c r="AE302" s="49"/>
      <c r="AF302" s="49"/>
      <c r="AG302" s="49"/>
      <c r="AH302" s="49"/>
      <c r="AI302" s="49"/>
      <c r="AJ302" s="49"/>
      <c r="AK302" s="49"/>
      <c r="AL302" s="49"/>
      <c r="AM302" s="49"/>
      <c r="AN302" s="49"/>
      <c r="AO302" s="49"/>
    </row>
    <row r="303" spans="3:41" ht="12.75" customHeight="1">
      <c r="C303" s="49"/>
      <c r="D303" s="49"/>
      <c r="E303" s="49"/>
      <c r="F303" s="49"/>
      <c r="G303" s="49"/>
      <c r="H303" s="49"/>
      <c r="I303" s="49"/>
      <c r="J303" s="49"/>
      <c r="K303" s="49"/>
      <c r="L303" s="49"/>
      <c r="M303" s="49"/>
      <c r="S303" s="49"/>
      <c r="T303" s="49"/>
      <c r="U303" s="49"/>
      <c r="W303" s="49"/>
      <c r="X303" s="49"/>
      <c r="Y303" s="49"/>
      <c r="Z303" s="49"/>
      <c r="AA303" s="49"/>
      <c r="AB303" s="49"/>
      <c r="AC303" s="49"/>
      <c r="AD303" s="49"/>
      <c r="AE303" s="49"/>
      <c r="AF303" s="49"/>
      <c r="AG303" s="49"/>
      <c r="AH303" s="49"/>
      <c r="AI303" s="49"/>
      <c r="AJ303" s="49"/>
      <c r="AK303" s="49"/>
      <c r="AL303" s="49"/>
      <c r="AM303" s="49"/>
      <c r="AN303" s="49"/>
      <c r="AO303" s="49"/>
    </row>
    <row r="304" spans="3:41" ht="12.75" customHeight="1">
      <c r="C304" s="49"/>
      <c r="D304" s="49"/>
      <c r="E304" s="49"/>
      <c r="F304" s="49"/>
      <c r="G304" s="49"/>
      <c r="H304" s="49"/>
      <c r="I304" s="49"/>
      <c r="J304" s="49"/>
      <c r="K304" s="49"/>
      <c r="L304" s="49"/>
      <c r="M304" s="49"/>
      <c r="S304" s="49"/>
      <c r="T304" s="49"/>
      <c r="U304" s="49"/>
      <c r="W304" s="49"/>
      <c r="X304" s="49"/>
      <c r="Y304" s="49"/>
      <c r="Z304" s="49"/>
      <c r="AA304" s="49"/>
      <c r="AB304" s="49"/>
      <c r="AC304" s="49"/>
      <c r="AD304" s="49"/>
      <c r="AE304" s="49"/>
      <c r="AF304" s="49"/>
      <c r="AG304" s="49"/>
      <c r="AH304" s="49"/>
      <c r="AI304" s="49"/>
      <c r="AJ304" s="49"/>
      <c r="AK304" s="49"/>
      <c r="AL304" s="49"/>
      <c r="AM304" s="49"/>
      <c r="AN304" s="49"/>
      <c r="AO304" s="49"/>
    </row>
    <row r="305" spans="3:41" ht="12.75" customHeight="1">
      <c r="C305" s="49"/>
      <c r="D305" s="49"/>
      <c r="E305" s="49"/>
      <c r="F305" s="49"/>
      <c r="G305" s="49"/>
      <c r="H305" s="49"/>
      <c r="I305" s="49"/>
      <c r="J305" s="49"/>
      <c r="K305" s="49"/>
      <c r="L305" s="49"/>
      <c r="M305" s="49"/>
      <c r="S305" s="49"/>
      <c r="T305" s="49"/>
      <c r="U305" s="49"/>
      <c r="W305" s="49"/>
      <c r="X305" s="49"/>
      <c r="Y305" s="49"/>
      <c r="Z305" s="49"/>
      <c r="AA305" s="49"/>
      <c r="AB305" s="49"/>
      <c r="AC305" s="49"/>
      <c r="AD305" s="49"/>
      <c r="AE305" s="49"/>
      <c r="AF305" s="49"/>
      <c r="AG305" s="49"/>
      <c r="AH305" s="49"/>
      <c r="AI305" s="49"/>
      <c r="AJ305" s="49"/>
      <c r="AK305" s="49"/>
      <c r="AL305" s="49"/>
      <c r="AM305" s="49"/>
      <c r="AN305" s="49"/>
      <c r="AO305" s="49"/>
    </row>
    <row r="306" spans="3:41" ht="12.75" customHeight="1">
      <c r="C306" s="49"/>
      <c r="D306" s="49"/>
      <c r="E306" s="49"/>
      <c r="F306" s="49"/>
      <c r="G306" s="49"/>
      <c r="H306" s="49"/>
      <c r="I306" s="49"/>
      <c r="J306" s="49"/>
      <c r="K306" s="49"/>
      <c r="L306" s="49"/>
      <c r="M306" s="49"/>
      <c r="S306" s="49"/>
      <c r="T306" s="49"/>
      <c r="U306" s="49"/>
      <c r="W306" s="49"/>
      <c r="X306" s="49"/>
      <c r="Y306" s="49"/>
      <c r="Z306" s="49"/>
      <c r="AA306" s="49"/>
      <c r="AB306" s="49"/>
      <c r="AC306" s="49"/>
      <c r="AD306" s="49"/>
      <c r="AE306" s="49"/>
      <c r="AF306" s="49"/>
      <c r="AG306" s="49"/>
      <c r="AH306" s="49"/>
      <c r="AI306" s="49"/>
      <c r="AJ306" s="49"/>
      <c r="AK306" s="49"/>
      <c r="AL306" s="49"/>
      <c r="AM306" s="49"/>
      <c r="AN306" s="49"/>
      <c r="AO306" s="49"/>
    </row>
    <row r="307" spans="3:41" ht="12.75" customHeight="1">
      <c r="C307" s="49"/>
      <c r="D307" s="49"/>
      <c r="E307" s="49"/>
      <c r="F307" s="49"/>
      <c r="G307" s="49"/>
      <c r="H307" s="49"/>
      <c r="I307" s="49"/>
      <c r="J307" s="49"/>
      <c r="K307" s="49"/>
      <c r="L307" s="49"/>
      <c r="M307" s="49"/>
      <c r="S307" s="49"/>
      <c r="T307" s="49"/>
      <c r="U307" s="49"/>
      <c r="W307" s="49"/>
      <c r="X307" s="49"/>
      <c r="Y307" s="49"/>
      <c r="Z307" s="49"/>
      <c r="AA307" s="49"/>
      <c r="AB307" s="49"/>
      <c r="AC307" s="49"/>
      <c r="AD307" s="49"/>
      <c r="AE307" s="49"/>
      <c r="AF307" s="49"/>
      <c r="AG307" s="49"/>
      <c r="AH307" s="49"/>
      <c r="AI307" s="49"/>
      <c r="AJ307" s="49"/>
      <c r="AK307" s="49"/>
      <c r="AL307" s="49"/>
      <c r="AM307" s="49"/>
      <c r="AN307" s="49"/>
      <c r="AO307" s="49"/>
    </row>
    <row r="308" spans="3:41" ht="12.75" customHeight="1">
      <c r="C308" s="49"/>
      <c r="D308" s="49"/>
      <c r="E308" s="49"/>
      <c r="F308" s="49"/>
      <c r="G308" s="49"/>
      <c r="H308" s="49"/>
      <c r="I308" s="49"/>
      <c r="J308" s="49"/>
      <c r="K308" s="49"/>
      <c r="L308" s="49"/>
      <c r="M308" s="49"/>
      <c r="S308" s="49"/>
      <c r="T308" s="49"/>
      <c r="U308" s="49"/>
      <c r="W308" s="49"/>
      <c r="X308" s="49"/>
      <c r="Y308" s="49"/>
      <c r="Z308" s="49"/>
      <c r="AA308" s="49"/>
      <c r="AB308" s="49"/>
      <c r="AC308" s="49"/>
      <c r="AD308" s="49"/>
      <c r="AE308" s="49"/>
      <c r="AF308" s="49"/>
      <c r="AG308" s="49"/>
      <c r="AH308" s="49"/>
      <c r="AI308" s="49"/>
      <c r="AJ308" s="49"/>
      <c r="AK308" s="49"/>
      <c r="AL308" s="49"/>
      <c r="AM308" s="49"/>
      <c r="AN308" s="49"/>
      <c r="AO308" s="49"/>
    </row>
    <row r="309" spans="3:41" ht="12.75" customHeight="1">
      <c r="C309" s="49"/>
      <c r="D309" s="49"/>
      <c r="E309" s="49"/>
      <c r="F309" s="49"/>
      <c r="G309" s="49"/>
      <c r="H309" s="49"/>
      <c r="I309" s="49"/>
      <c r="J309" s="49"/>
      <c r="K309" s="49"/>
      <c r="L309" s="49"/>
      <c r="M309" s="49"/>
      <c r="S309" s="49"/>
      <c r="T309" s="49"/>
      <c r="U309" s="49"/>
      <c r="W309" s="49"/>
      <c r="X309" s="49"/>
      <c r="Y309" s="49"/>
      <c r="Z309" s="49"/>
      <c r="AA309" s="49"/>
      <c r="AB309" s="49"/>
      <c r="AC309" s="49"/>
      <c r="AD309" s="49"/>
      <c r="AE309" s="49"/>
      <c r="AF309" s="49"/>
      <c r="AG309" s="49"/>
      <c r="AH309" s="49"/>
      <c r="AI309" s="49"/>
      <c r="AJ309" s="49"/>
      <c r="AK309" s="49"/>
      <c r="AL309" s="49"/>
      <c r="AM309" s="49"/>
      <c r="AN309" s="49"/>
      <c r="AO309" s="49"/>
    </row>
    <row r="310" spans="3:41" ht="12.75" customHeight="1">
      <c r="C310" s="49"/>
      <c r="D310" s="49"/>
      <c r="E310" s="49"/>
      <c r="F310" s="49"/>
      <c r="G310" s="49"/>
      <c r="H310" s="49"/>
      <c r="I310" s="49"/>
      <c r="J310" s="49"/>
      <c r="K310" s="49"/>
      <c r="L310" s="49"/>
      <c r="M310" s="49"/>
      <c r="S310" s="49"/>
      <c r="T310" s="49"/>
      <c r="U310" s="49"/>
      <c r="W310" s="49"/>
      <c r="X310" s="49"/>
      <c r="Y310" s="49"/>
      <c r="Z310" s="49"/>
      <c r="AA310" s="49"/>
      <c r="AB310" s="49"/>
      <c r="AC310" s="49"/>
      <c r="AD310" s="49"/>
      <c r="AE310" s="49"/>
      <c r="AF310" s="49"/>
      <c r="AG310" s="49"/>
      <c r="AH310" s="49"/>
      <c r="AI310" s="49"/>
      <c r="AJ310" s="49"/>
      <c r="AK310" s="49"/>
      <c r="AL310" s="49"/>
      <c r="AM310" s="49"/>
      <c r="AN310" s="49"/>
      <c r="AO310" s="49"/>
    </row>
    <row r="311" spans="3:41" ht="12.75" customHeight="1">
      <c r="C311" s="49"/>
      <c r="D311" s="49"/>
      <c r="E311" s="49"/>
      <c r="F311" s="49"/>
      <c r="G311" s="49"/>
      <c r="H311" s="49"/>
      <c r="I311" s="49"/>
      <c r="J311" s="49"/>
      <c r="K311" s="49"/>
      <c r="L311" s="49"/>
      <c r="M311" s="49"/>
      <c r="S311" s="49"/>
      <c r="T311" s="49"/>
      <c r="U311" s="49"/>
      <c r="W311" s="49"/>
      <c r="X311" s="49"/>
      <c r="Y311" s="49"/>
      <c r="Z311" s="49"/>
      <c r="AA311" s="49"/>
      <c r="AB311" s="49"/>
      <c r="AC311" s="49"/>
      <c r="AD311" s="49"/>
      <c r="AE311" s="49"/>
      <c r="AF311" s="49"/>
      <c r="AG311" s="49"/>
      <c r="AH311" s="49"/>
      <c r="AI311" s="49"/>
      <c r="AJ311" s="49"/>
      <c r="AK311" s="49"/>
      <c r="AL311" s="49"/>
      <c r="AM311" s="49"/>
      <c r="AN311" s="49"/>
      <c r="AO311" s="49"/>
    </row>
    <row r="312" spans="3:41" ht="12.75" customHeight="1">
      <c r="C312" s="49"/>
      <c r="D312" s="49"/>
      <c r="E312" s="49"/>
      <c r="F312" s="49"/>
      <c r="G312" s="49"/>
      <c r="H312" s="49"/>
      <c r="I312" s="49"/>
      <c r="J312" s="49"/>
      <c r="K312" s="49"/>
      <c r="L312" s="49"/>
      <c r="M312" s="49"/>
      <c r="S312" s="49"/>
      <c r="T312" s="49"/>
      <c r="U312" s="49"/>
      <c r="W312" s="49"/>
      <c r="X312" s="49"/>
      <c r="Y312" s="49"/>
      <c r="Z312" s="49"/>
      <c r="AA312" s="49"/>
      <c r="AB312" s="49"/>
      <c r="AC312" s="49"/>
      <c r="AD312" s="49"/>
      <c r="AE312" s="49"/>
      <c r="AF312" s="49"/>
      <c r="AG312" s="49"/>
      <c r="AH312" s="49"/>
      <c r="AI312" s="49"/>
      <c r="AJ312" s="49"/>
      <c r="AK312" s="49"/>
      <c r="AL312" s="49"/>
      <c r="AM312" s="49"/>
      <c r="AN312" s="49"/>
      <c r="AO312" s="49"/>
    </row>
    <row r="313" spans="3:41" ht="12.75" customHeight="1">
      <c r="C313" s="49"/>
      <c r="D313" s="49"/>
      <c r="E313" s="49"/>
      <c r="F313" s="49"/>
      <c r="G313" s="49"/>
      <c r="H313" s="49"/>
      <c r="I313" s="49"/>
      <c r="J313" s="49"/>
      <c r="K313" s="49"/>
      <c r="L313" s="49"/>
      <c r="M313" s="49"/>
      <c r="S313" s="49"/>
      <c r="T313" s="49"/>
      <c r="U313" s="49"/>
      <c r="W313" s="49"/>
      <c r="X313" s="49"/>
      <c r="Y313" s="49"/>
      <c r="Z313" s="49"/>
      <c r="AA313" s="49"/>
      <c r="AB313" s="49"/>
      <c r="AC313" s="49"/>
      <c r="AD313" s="49"/>
      <c r="AE313" s="49"/>
      <c r="AF313" s="49"/>
      <c r="AG313" s="49"/>
      <c r="AH313" s="49"/>
      <c r="AI313" s="49"/>
      <c r="AJ313" s="49"/>
      <c r="AK313" s="49"/>
      <c r="AL313" s="49"/>
      <c r="AM313" s="49"/>
      <c r="AN313" s="49"/>
      <c r="AO313" s="49"/>
    </row>
    <row r="314" spans="3:41" ht="12.75" customHeight="1">
      <c r="C314" s="49"/>
      <c r="D314" s="49"/>
      <c r="E314" s="49"/>
      <c r="F314" s="49"/>
      <c r="G314" s="49"/>
      <c r="H314" s="49"/>
      <c r="I314" s="49"/>
      <c r="J314" s="49"/>
      <c r="K314" s="49"/>
      <c r="L314" s="49"/>
      <c r="M314" s="49"/>
      <c r="S314" s="49"/>
      <c r="T314" s="49"/>
      <c r="U314" s="49"/>
      <c r="W314" s="49"/>
      <c r="X314" s="49"/>
      <c r="Y314" s="49"/>
      <c r="Z314" s="49"/>
      <c r="AA314" s="49"/>
      <c r="AB314" s="49"/>
      <c r="AC314" s="49"/>
      <c r="AD314" s="49"/>
      <c r="AE314" s="49"/>
      <c r="AF314" s="49"/>
      <c r="AG314" s="49"/>
      <c r="AH314" s="49"/>
      <c r="AI314" s="49"/>
      <c r="AJ314" s="49"/>
      <c r="AK314" s="49"/>
      <c r="AL314" s="49"/>
      <c r="AM314" s="49"/>
      <c r="AN314" s="49"/>
      <c r="AO314" s="49"/>
    </row>
    <row r="315" spans="3:41" ht="12.75" customHeight="1">
      <c r="C315" s="49"/>
      <c r="D315" s="49"/>
      <c r="E315" s="49"/>
      <c r="F315" s="49"/>
      <c r="G315" s="49"/>
      <c r="H315" s="49"/>
      <c r="I315" s="49"/>
      <c r="J315" s="49"/>
      <c r="K315" s="49"/>
      <c r="L315" s="49"/>
      <c r="M315" s="49"/>
      <c r="S315" s="49"/>
      <c r="T315" s="49"/>
      <c r="U315" s="49"/>
      <c r="W315" s="49"/>
      <c r="X315" s="49"/>
      <c r="Y315" s="49"/>
      <c r="Z315" s="49"/>
      <c r="AA315" s="49"/>
      <c r="AB315" s="49"/>
      <c r="AC315" s="49"/>
      <c r="AD315" s="49"/>
      <c r="AE315" s="49"/>
      <c r="AF315" s="49"/>
      <c r="AG315" s="49"/>
      <c r="AH315" s="49"/>
      <c r="AI315" s="49"/>
      <c r="AJ315" s="49"/>
      <c r="AK315" s="49"/>
      <c r="AL315" s="49"/>
      <c r="AM315" s="49"/>
      <c r="AN315" s="49"/>
      <c r="AO315" s="49"/>
    </row>
    <row r="316" spans="3:41" ht="12.75" customHeight="1">
      <c r="C316" s="49"/>
      <c r="D316" s="49"/>
      <c r="E316" s="49"/>
      <c r="F316" s="49"/>
      <c r="G316" s="49"/>
      <c r="H316" s="49"/>
      <c r="I316" s="49"/>
      <c r="J316" s="49"/>
      <c r="K316" s="49"/>
      <c r="L316" s="49"/>
      <c r="M316" s="49"/>
      <c r="S316" s="49"/>
      <c r="T316" s="49"/>
      <c r="U316" s="49"/>
      <c r="W316" s="49"/>
      <c r="X316" s="49"/>
      <c r="Y316" s="49"/>
      <c r="Z316" s="49"/>
      <c r="AA316" s="49"/>
      <c r="AB316" s="49"/>
      <c r="AC316" s="49"/>
      <c r="AD316" s="49"/>
      <c r="AE316" s="49"/>
      <c r="AF316" s="49"/>
      <c r="AG316" s="49"/>
      <c r="AH316" s="49"/>
      <c r="AI316" s="49"/>
      <c r="AJ316" s="49"/>
      <c r="AK316" s="49"/>
      <c r="AL316" s="49"/>
      <c r="AM316" s="49"/>
      <c r="AN316" s="49"/>
      <c r="AO316" s="49"/>
    </row>
    <row r="317" spans="3:41" ht="12.75" customHeight="1">
      <c r="C317" s="49"/>
      <c r="D317" s="49"/>
      <c r="E317" s="49"/>
      <c r="F317" s="49"/>
      <c r="G317" s="49"/>
      <c r="H317" s="49"/>
      <c r="I317" s="49"/>
      <c r="J317" s="49"/>
      <c r="K317" s="49"/>
      <c r="L317" s="49"/>
      <c r="M317" s="49"/>
      <c r="S317" s="49"/>
      <c r="T317" s="49"/>
      <c r="U317" s="49"/>
      <c r="W317" s="49"/>
      <c r="X317" s="49"/>
      <c r="Y317" s="49"/>
      <c r="Z317" s="49"/>
      <c r="AA317" s="49"/>
      <c r="AB317" s="49"/>
      <c r="AC317" s="49"/>
      <c r="AD317" s="49"/>
      <c r="AE317" s="49"/>
      <c r="AF317" s="49"/>
      <c r="AG317" s="49"/>
      <c r="AH317" s="49"/>
      <c r="AI317" s="49"/>
      <c r="AJ317" s="49"/>
      <c r="AK317" s="49"/>
      <c r="AL317" s="49"/>
      <c r="AM317" s="49"/>
      <c r="AN317" s="49"/>
      <c r="AO317" s="49"/>
    </row>
    <row r="318" spans="3:41" ht="12.75" customHeight="1">
      <c r="C318" s="49"/>
      <c r="D318" s="49"/>
      <c r="E318" s="49"/>
      <c r="F318" s="49"/>
      <c r="G318" s="49"/>
      <c r="H318" s="49"/>
      <c r="I318" s="49"/>
      <c r="J318" s="49"/>
      <c r="K318" s="49"/>
      <c r="L318" s="49"/>
      <c r="M318" s="49"/>
      <c r="S318" s="49"/>
      <c r="T318" s="49"/>
      <c r="U318" s="49"/>
      <c r="W318" s="49"/>
      <c r="X318" s="49"/>
      <c r="Y318" s="49"/>
      <c r="Z318" s="49"/>
      <c r="AA318" s="49"/>
      <c r="AB318" s="49"/>
      <c r="AC318" s="49"/>
      <c r="AD318" s="49"/>
      <c r="AE318" s="49"/>
      <c r="AF318" s="49"/>
      <c r="AG318" s="49"/>
      <c r="AH318" s="49"/>
      <c r="AI318" s="49"/>
      <c r="AJ318" s="49"/>
      <c r="AK318" s="49"/>
      <c r="AL318" s="49"/>
      <c r="AM318" s="49"/>
      <c r="AN318" s="49"/>
      <c r="AO318" s="49"/>
    </row>
    <row r="319" spans="3:41" ht="12.75" customHeight="1">
      <c r="C319" s="49"/>
      <c r="D319" s="49"/>
      <c r="E319" s="49"/>
      <c r="F319" s="49"/>
      <c r="G319" s="49"/>
      <c r="H319" s="49"/>
      <c r="I319" s="49"/>
      <c r="J319" s="49"/>
      <c r="K319" s="49"/>
      <c r="L319" s="49"/>
      <c r="M319" s="49"/>
      <c r="S319" s="49"/>
      <c r="T319" s="49"/>
      <c r="U319" s="49"/>
      <c r="W319" s="49"/>
      <c r="X319" s="49"/>
      <c r="Y319" s="49"/>
      <c r="Z319" s="49"/>
      <c r="AA319" s="49"/>
      <c r="AB319" s="49"/>
      <c r="AC319" s="49"/>
      <c r="AD319" s="49"/>
      <c r="AE319" s="49"/>
      <c r="AF319" s="49"/>
      <c r="AG319" s="49"/>
      <c r="AH319" s="49"/>
      <c r="AI319" s="49"/>
      <c r="AJ319" s="49"/>
      <c r="AK319" s="49"/>
      <c r="AL319" s="49"/>
      <c r="AM319" s="49"/>
      <c r="AN319" s="49"/>
      <c r="AO319" s="49"/>
    </row>
    <row r="320" spans="3:41" ht="12.75" customHeight="1">
      <c r="C320" s="49"/>
      <c r="D320" s="49"/>
      <c r="E320" s="49"/>
      <c r="F320" s="49"/>
      <c r="G320" s="49"/>
      <c r="H320" s="49"/>
      <c r="I320" s="49"/>
      <c r="J320" s="49"/>
      <c r="K320" s="49"/>
      <c r="L320" s="49"/>
      <c r="M320" s="49"/>
      <c r="S320" s="49"/>
      <c r="T320" s="49"/>
      <c r="U320" s="49"/>
      <c r="W320" s="49"/>
      <c r="X320" s="49"/>
      <c r="Y320" s="49"/>
      <c r="Z320" s="49"/>
      <c r="AA320" s="49"/>
      <c r="AB320" s="49"/>
      <c r="AC320" s="49"/>
      <c r="AD320" s="49"/>
      <c r="AE320" s="49"/>
      <c r="AF320" s="49"/>
      <c r="AG320" s="49"/>
      <c r="AH320" s="49"/>
      <c r="AI320" s="49"/>
      <c r="AJ320" s="49"/>
      <c r="AK320" s="49"/>
      <c r="AL320" s="49"/>
      <c r="AM320" s="49"/>
      <c r="AN320" s="49"/>
      <c r="AO320" s="49"/>
    </row>
    <row r="321" spans="3:41" ht="12.75" customHeight="1">
      <c r="C321" s="49"/>
      <c r="D321" s="49"/>
      <c r="E321" s="49"/>
      <c r="F321" s="49"/>
      <c r="G321" s="49"/>
      <c r="H321" s="49"/>
      <c r="I321" s="49"/>
      <c r="J321" s="49"/>
      <c r="K321" s="49"/>
      <c r="L321" s="49"/>
      <c r="M321" s="49"/>
      <c r="S321" s="49"/>
      <c r="T321" s="49"/>
      <c r="U321" s="49"/>
      <c r="W321" s="49"/>
      <c r="X321" s="49"/>
      <c r="Y321" s="49"/>
      <c r="Z321" s="49"/>
      <c r="AA321" s="49"/>
      <c r="AB321" s="49"/>
      <c r="AC321" s="49"/>
      <c r="AD321" s="49"/>
      <c r="AE321" s="49"/>
      <c r="AF321" s="49"/>
      <c r="AG321" s="49"/>
      <c r="AH321" s="49"/>
      <c r="AI321" s="49"/>
      <c r="AJ321" s="49"/>
      <c r="AK321" s="49"/>
      <c r="AL321" s="49"/>
      <c r="AM321" s="49"/>
      <c r="AN321" s="49"/>
      <c r="AO321" s="49"/>
    </row>
    <row r="322" spans="3:41" ht="12.75" customHeight="1">
      <c r="C322" s="49"/>
      <c r="D322" s="49"/>
      <c r="E322" s="49"/>
      <c r="F322" s="49"/>
      <c r="G322" s="49"/>
      <c r="H322" s="49"/>
      <c r="I322" s="49"/>
      <c r="J322" s="49"/>
      <c r="K322" s="49"/>
      <c r="L322" s="49"/>
      <c r="M322" s="49"/>
      <c r="S322" s="49"/>
      <c r="T322" s="49"/>
      <c r="U322" s="49"/>
      <c r="W322" s="49"/>
      <c r="X322" s="49"/>
      <c r="Y322" s="49"/>
      <c r="Z322" s="49"/>
      <c r="AA322" s="49"/>
      <c r="AB322" s="49"/>
      <c r="AC322" s="49"/>
      <c r="AD322" s="49"/>
      <c r="AE322" s="49"/>
      <c r="AF322" s="49"/>
      <c r="AG322" s="49"/>
      <c r="AH322" s="49"/>
      <c r="AI322" s="49"/>
      <c r="AJ322" s="49"/>
      <c r="AK322" s="49"/>
      <c r="AL322" s="49"/>
      <c r="AM322" s="49"/>
      <c r="AN322" s="49"/>
      <c r="AO322" s="49"/>
    </row>
    <row r="323" spans="3:41" ht="12.75" customHeight="1">
      <c r="C323" s="49"/>
      <c r="D323" s="49"/>
      <c r="E323" s="49"/>
      <c r="F323" s="49"/>
      <c r="G323" s="49"/>
      <c r="H323" s="49"/>
      <c r="I323" s="49"/>
      <c r="J323" s="49"/>
      <c r="K323" s="49"/>
      <c r="L323" s="49"/>
      <c r="M323" s="49"/>
      <c r="S323" s="49"/>
      <c r="T323" s="49"/>
      <c r="U323" s="49"/>
      <c r="W323" s="49"/>
      <c r="X323" s="49"/>
      <c r="Y323" s="49"/>
      <c r="Z323" s="49"/>
      <c r="AA323" s="49"/>
      <c r="AB323" s="49"/>
      <c r="AC323" s="49"/>
      <c r="AD323" s="49"/>
      <c r="AE323" s="49"/>
      <c r="AF323" s="49"/>
      <c r="AG323" s="49"/>
      <c r="AH323" s="49"/>
      <c r="AI323" s="49"/>
      <c r="AJ323" s="49"/>
      <c r="AK323" s="49"/>
      <c r="AL323" s="49"/>
      <c r="AM323" s="49"/>
      <c r="AN323" s="49"/>
      <c r="AO323" s="49"/>
    </row>
    <row r="324" spans="3:41" ht="12.75" customHeight="1">
      <c r="C324" s="49"/>
      <c r="D324" s="49"/>
      <c r="E324" s="49"/>
      <c r="F324" s="49"/>
      <c r="G324" s="49"/>
      <c r="H324" s="49"/>
      <c r="I324" s="49"/>
      <c r="J324" s="49"/>
      <c r="K324" s="49"/>
      <c r="L324" s="49"/>
      <c r="M324" s="49"/>
      <c r="S324" s="49"/>
      <c r="T324" s="49"/>
      <c r="U324" s="49"/>
      <c r="W324" s="49"/>
      <c r="X324" s="49"/>
      <c r="Y324" s="49"/>
      <c r="Z324" s="49"/>
      <c r="AA324" s="49"/>
      <c r="AB324" s="49"/>
      <c r="AC324" s="49"/>
      <c r="AD324" s="49"/>
      <c r="AE324" s="49"/>
      <c r="AF324" s="49"/>
      <c r="AG324" s="49"/>
      <c r="AH324" s="49"/>
      <c r="AI324" s="49"/>
      <c r="AJ324" s="49"/>
      <c r="AK324" s="49"/>
      <c r="AL324" s="49"/>
      <c r="AM324" s="49"/>
      <c r="AN324" s="49"/>
      <c r="AO324" s="49"/>
    </row>
    <row r="325" spans="3:41" ht="12.75" customHeight="1">
      <c r="C325" s="49"/>
      <c r="D325" s="49"/>
      <c r="E325" s="49"/>
      <c r="F325" s="49"/>
      <c r="G325" s="49"/>
      <c r="H325" s="49"/>
      <c r="I325" s="49"/>
      <c r="J325" s="49"/>
      <c r="K325" s="49"/>
      <c r="L325" s="49"/>
      <c r="M325" s="49"/>
      <c r="S325" s="49"/>
      <c r="T325" s="49"/>
      <c r="U325" s="49"/>
      <c r="W325" s="49"/>
      <c r="X325" s="49"/>
      <c r="Y325" s="49"/>
      <c r="Z325" s="49"/>
      <c r="AA325" s="49"/>
      <c r="AB325" s="49"/>
      <c r="AC325" s="49"/>
      <c r="AD325" s="49"/>
      <c r="AE325" s="49"/>
      <c r="AF325" s="49"/>
      <c r="AG325" s="49"/>
      <c r="AH325" s="49"/>
      <c r="AI325" s="49"/>
      <c r="AJ325" s="49"/>
      <c r="AK325" s="49"/>
      <c r="AL325" s="49"/>
      <c r="AM325" s="49"/>
      <c r="AN325" s="49"/>
      <c r="AO325" s="49"/>
    </row>
    <row r="326" spans="3:41" ht="12.75" customHeight="1">
      <c r="C326" s="49"/>
      <c r="D326" s="49"/>
      <c r="E326" s="49"/>
      <c r="F326" s="49"/>
      <c r="G326" s="49"/>
      <c r="H326" s="49"/>
      <c r="I326" s="49"/>
      <c r="J326" s="49"/>
      <c r="K326" s="49"/>
      <c r="L326" s="49"/>
      <c r="M326" s="49"/>
      <c r="S326" s="49"/>
      <c r="T326" s="49"/>
      <c r="U326" s="49"/>
      <c r="W326" s="49"/>
      <c r="X326" s="49"/>
      <c r="Y326" s="49"/>
      <c r="Z326" s="49"/>
      <c r="AA326" s="49"/>
      <c r="AB326" s="49"/>
      <c r="AC326" s="49"/>
      <c r="AD326" s="49"/>
      <c r="AE326" s="49"/>
      <c r="AF326" s="49"/>
      <c r="AG326" s="49"/>
      <c r="AH326" s="49"/>
      <c r="AI326" s="49"/>
      <c r="AJ326" s="49"/>
      <c r="AK326" s="49"/>
      <c r="AL326" s="49"/>
      <c r="AM326" s="49"/>
      <c r="AN326" s="49"/>
      <c r="AO326" s="49"/>
    </row>
    <row r="327" spans="3:41" ht="12.75" customHeight="1">
      <c r="C327" s="49"/>
      <c r="D327" s="49"/>
      <c r="E327" s="49"/>
      <c r="F327" s="49"/>
      <c r="G327" s="49"/>
      <c r="H327" s="49"/>
      <c r="I327" s="49"/>
      <c r="J327" s="49"/>
      <c r="K327" s="49"/>
      <c r="L327" s="49"/>
      <c r="M327" s="49"/>
      <c r="S327" s="49"/>
      <c r="T327" s="49"/>
      <c r="U327" s="49"/>
      <c r="W327" s="49"/>
      <c r="X327" s="49"/>
      <c r="Y327" s="49"/>
      <c r="Z327" s="49"/>
      <c r="AA327" s="49"/>
      <c r="AB327" s="49"/>
      <c r="AC327" s="49"/>
      <c r="AD327" s="49"/>
      <c r="AE327" s="49"/>
      <c r="AF327" s="49"/>
      <c r="AG327" s="49"/>
      <c r="AH327" s="49"/>
      <c r="AI327" s="49"/>
      <c r="AJ327" s="49"/>
      <c r="AK327" s="49"/>
      <c r="AL327" s="49"/>
      <c r="AM327" s="49"/>
      <c r="AN327" s="49"/>
      <c r="AO327" s="49"/>
    </row>
    <row r="328" spans="3:41" ht="12.75" customHeight="1">
      <c r="C328" s="49"/>
      <c r="D328" s="49"/>
      <c r="E328" s="49"/>
      <c r="F328" s="49"/>
      <c r="G328" s="49"/>
      <c r="H328" s="49"/>
      <c r="I328" s="49"/>
      <c r="J328" s="49"/>
      <c r="K328" s="49"/>
      <c r="L328" s="49"/>
      <c r="M328" s="49"/>
      <c r="S328" s="49"/>
      <c r="T328" s="49"/>
      <c r="U328" s="49"/>
      <c r="W328" s="49"/>
      <c r="X328" s="49"/>
      <c r="Y328" s="49"/>
      <c r="Z328" s="49"/>
      <c r="AA328" s="49"/>
      <c r="AB328" s="49"/>
      <c r="AC328" s="49"/>
      <c r="AD328" s="49"/>
      <c r="AE328" s="49"/>
      <c r="AF328" s="49"/>
      <c r="AG328" s="49"/>
      <c r="AH328" s="49"/>
      <c r="AI328" s="49"/>
      <c r="AJ328" s="49"/>
      <c r="AK328" s="49"/>
      <c r="AL328" s="49"/>
      <c r="AM328" s="49"/>
      <c r="AN328" s="49"/>
      <c r="AO328" s="49"/>
    </row>
    <row r="329" spans="3:41" ht="12.75" customHeight="1">
      <c r="C329" s="49"/>
      <c r="D329" s="49"/>
      <c r="E329" s="49"/>
      <c r="F329" s="49"/>
      <c r="G329" s="49"/>
      <c r="H329" s="49"/>
      <c r="I329" s="49"/>
      <c r="J329" s="49"/>
      <c r="K329" s="49"/>
      <c r="L329" s="49"/>
      <c r="M329" s="49"/>
      <c r="S329" s="49"/>
      <c r="T329" s="49"/>
      <c r="U329" s="49"/>
      <c r="W329" s="49"/>
      <c r="X329" s="49"/>
      <c r="Y329" s="49"/>
      <c r="Z329" s="49"/>
      <c r="AA329" s="49"/>
      <c r="AB329" s="49"/>
      <c r="AC329" s="49"/>
      <c r="AD329" s="49"/>
      <c r="AE329" s="49"/>
      <c r="AF329" s="49"/>
      <c r="AG329" s="49"/>
      <c r="AH329" s="49"/>
      <c r="AI329" s="49"/>
      <c r="AJ329" s="49"/>
      <c r="AK329" s="49"/>
      <c r="AL329" s="49"/>
      <c r="AM329" s="49"/>
      <c r="AN329" s="49"/>
      <c r="AO329" s="49"/>
    </row>
    <row r="330" spans="3:41" ht="12.75" customHeight="1">
      <c r="C330" s="49"/>
      <c r="D330" s="49"/>
      <c r="E330" s="49"/>
      <c r="F330" s="49"/>
      <c r="G330" s="49"/>
      <c r="H330" s="49"/>
      <c r="I330" s="49"/>
      <c r="J330" s="49"/>
      <c r="K330" s="49"/>
      <c r="L330" s="49"/>
      <c r="M330" s="49"/>
      <c r="S330" s="49"/>
      <c r="T330" s="49"/>
      <c r="U330" s="49"/>
      <c r="W330" s="49"/>
      <c r="X330" s="49"/>
      <c r="Y330" s="49"/>
      <c r="Z330" s="49"/>
      <c r="AA330" s="49"/>
      <c r="AB330" s="49"/>
      <c r="AC330" s="49"/>
      <c r="AD330" s="49"/>
      <c r="AE330" s="49"/>
      <c r="AF330" s="49"/>
      <c r="AG330" s="49"/>
      <c r="AH330" s="49"/>
      <c r="AI330" s="49"/>
      <c r="AJ330" s="49"/>
      <c r="AK330" s="49"/>
      <c r="AL330" s="49"/>
      <c r="AM330" s="49"/>
      <c r="AN330" s="49"/>
      <c r="AO330" s="49"/>
    </row>
    <row r="331" spans="3:41" ht="12.75" customHeight="1">
      <c r="C331" s="49"/>
      <c r="D331" s="49"/>
      <c r="E331" s="49"/>
      <c r="F331" s="49"/>
      <c r="G331" s="49"/>
      <c r="H331" s="49"/>
      <c r="I331" s="49"/>
      <c r="J331" s="49"/>
      <c r="K331" s="49"/>
      <c r="L331" s="49"/>
      <c r="M331" s="49"/>
      <c r="S331" s="49"/>
      <c r="T331" s="49"/>
      <c r="U331" s="49"/>
      <c r="W331" s="49"/>
      <c r="X331" s="49"/>
      <c r="Y331" s="49"/>
      <c r="Z331" s="49"/>
      <c r="AA331" s="49"/>
      <c r="AB331" s="49"/>
      <c r="AC331" s="49"/>
      <c r="AD331" s="49"/>
      <c r="AE331" s="49"/>
      <c r="AF331" s="49"/>
      <c r="AG331" s="49"/>
      <c r="AH331" s="49"/>
      <c r="AI331" s="49"/>
      <c r="AJ331" s="49"/>
      <c r="AK331" s="49"/>
      <c r="AL331" s="49"/>
      <c r="AM331" s="49"/>
      <c r="AN331" s="49"/>
      <c r="AO331" s="49"/>
    </row>
    <row r="332" spans="3:41" ht="12.75" customHeight="1">
      <c r="C332" s="49"/>
      <c r="D332" s="49"/>
      <c r="E332" s="49"/>
      <c r="F332" s="49"/>
      <c r="G332" s="49"/>
      <c r="H332" s="49"/>
      <c r="I332" s="49"/>
      <c r="J332" s="49"/>
      <c r="K332" s="49"/>
      <c r="L332" s="49"/>
      <c r="M332" s="49"/>
      <c r="S332" s="49"/>
      <c r="T332" s="49"/>
      <c r="U332" s="49"/>
      <c r="W332" s="49"/>
      <c r="X332" s="49"/>
      <c r="Y332" s="49"/>
      <c r="Z332" s="49"/>
      <c r="AA332" s="49"/>
      <c r="AB332" s="49"/>
      <c r="AC332" s="49"/>
      <c r="AD332" s="49"/>
      <c r="AE332" s="49"/>
      <c r="AF332" s="49"/>
      <c r="AG332" s="49"/>
      <c r="AH332" s="49"/>
      <c r="AI332" s="49"/>
      <c r="AJ332" s="49"/>
      <c r="AK332" s="49"/>
      <c r="AL332" s="49"/>
      <c r="AM332" s="49"/>
      <c r="AN332" s="49"/>
      <c r="AO332" s="49"/>
    </row>
    <row r="333" spans="3:41" ht="12.75" customHeight="1">
      <c r="C333" s="49"/>
      <c r="D333" s="49"/>
      <c r="E333" s="49"/>
      <c r="F333" s="49"/>
      <c r="G333" s="49"/>
      <c r="H333" s="49"/>
      <c r="I333" s="49"/>
      <c r="J333" s="49"/>
      <c r="K333" s="49"/>
      <c r="L333" s="49"/>
      <c r="M333" s="49"/>
      <c r="S333" s="49"/>
      <c r="T333" s="49"/>
      <c r="U333" s="49"/>
      <c r="W333" s="49"/>
      <c r="X333" s="49"/>
      <c r="Y333" s="49"/>
      <c r="Z333" s="49"/>
      <c r="AA333" s="49"/>
      <c r="AB333" s="49"/>
      <c r="AC333" s="49"/>
      <c r="AD333" s="49"/>
      <c r="AE333" s="49"/>
      <c r="AF333" s="49"/>
      <c r="AG333" s="49"/>
      <c r="AH333" s="49"/>
      <c r="AI333" s="49"/>
      <c r="AJ333" s="49"/>
      <c r="AK333" s="49"/>
      <c r="AL333" s="49"/>
      <c r="AM333" s="49"/>
      <c r="AN333" s="49"/>
      <c r="AO333" s="49"/>
    </row>
    <row r="334" spans="3:41" ht="12.75" customHeight="1">
      <c r="C334" s="49"/>
      <c r="D334" s="49"/>
      <c r="E334" s="49"/>
      <c r="F334" s="49"/>
      <c r="G334" s="49"/>
      <c r="H334" s="49"/>
      <c r="I334" s="49"/>
      <c r="J334" s="49"/>
      <c r="K334" s="49"/>
      <c r="L334" s="49"/>
      <c r="M334" s="49"/>
      <c r="S334" s="49"/>
      <c r="T334" s="49"/>
      <c r="U334" s="49"/>
      <c r="W334" s="49"/>
      <c r="X334" s="49"/>
      <c r="Y334" s="49"/>
      <c r="Z334" s="49"/>
      <c r="AA334" s="49"/>
      <c r="AB334" s="49"/>
      <c r="AC334" s="49"/>
      <c r="AD334" s="49"/>
      <c r="AE334" s="49"/>
      <c r="AF334" s="49"/>
      <c r="AG334" s="49"/>
      <c r="AH334" s="49"/>
      <c r="AI334" s="49"/>
      <c r="AJ334" s="49"/>
      <c r="AK334" s="49"/>
      <c r="AL334" s="49"/>
      <c r="AM334" s="49"/>
      <c r="AN334" s="49"/>
      <c r="AO334" s="49"/>
    </row>
    <row r="335" spans="3:41" ht="12.75" customHeight="1">
      <c r="C335" s="49"/>
      <c r="D335" s="49"/>
      <c r="E335" s="49"/>
      <c r="F335" s="49"/>
      <c r="G335" s="49"/>
      <c r="H335" s="49"/>
      <c r="I335" s="49"/>
      <c r="J335" s="49"/>
      <c r="K335" s="49"/>
      <c r="L335" s="49"/>
      <c r="M335" s="49"/>
      <c r="S335" s="49"/>
      <c r="T335" s="49"/>
      <c r="U335" s="49"/>
      <c r="W335" s="49"/>
      <c r="X335" s="49"/>
      <c r="Y335" s="49"/>
      <c r="Z335" s="49"/>
      <c r="AA335" s="49"/>
      <c r="AB335" s="49"/>
      <c r="AC335" s="49"/>
      <c r="AD335" s="49"/>
      <c r="AE335" s="49"/>
      <c r="AF335" s="49"/>
      <c r="AG335" s="49"/>
      <c r="AH335" s="49"/>
      <c r="AI335" s="49"/>
      <c r="AJ335" s="49"/>
      <c r="AK335" s="49"/>
      <c r="AL335" s="49"/>
      <c r="AM335" s="49"/>
      <c r="AN335" s="49"/>
      <c r="AO335" s="49"/>
    </row>
    <row r="336" spans="3:41" ht="12.75" customHeight="1">
      <c r="C336" s="49"/>
      <c r="D336" s="49"/>
      <c r="E336" s="49"/>
      <c r="F336" s="49"/>
      <c r="G336" s="49"/>
      <c r="H336" s="49"/>
      <c r="I336" s="49"/>
      <c r="J336" s="49"/>
      <c r="K336" s="49"/>
      <c r="L336" s="49"/>
      <c r="M336" s="49"/>
      <c r="S336" s="49"/>
      <c r="T336" s="49"/>
      <c r="U336" s="49"/>
      <c r="W336" s="49"/>
      <c r="X336" s="49"/>
      <c r="Y336" s="49"/>
      <c r="Z336" s="49"/>
      <c r="AA336" s="49"/>
      <c r="AB336" s="49"/>
      <c r="AC336" s="49"/>
      <c r="AD336" s="49"/>
      <c r="AE336" s="49"/>
      <c r="AF336" s="49"/>
      <c r="AG336" s="49"/>
      <c r="AH336" s="49"/>
      <c r="AI336" s="49"/>
      <c r="AJ336" s="49"/>
      <c r="AK336" s="49"/>
      <c r="AL336" s="49"/>
      <c r="AM336" s="49"/>
      <c r="AN336" s="49"/>
      <c r="AO336" s="49"/>
    </row>
    <row r="337" spans="3:41" ht="12.75" customHeight="1">
      <c r="C337" s="49"/>
      <c r="D337" s="49"/>
      <c r="E337" s="49"/>
      <c r="F337" s="49"/>
      <c r="G337" s="49"/>
      <c r="H337" s="49"/>
      <c r="I337" s="49"/>
      <c r="J337" s="49"/>
      <c r="K337" s="49"/>
      <c r="L337" s="49"/>
      <c r="M337" s="49"/>
      <c r="S337" s="49"/>
      <c r="T337" s="49"/>
      <c r="U337" s="49"/>
      <c r="W337" s="49"/>
      <c r="X337" s="49"/>
      <c r="Y337" s="49"/>
      <c r="Z337" s="49"/>
      <c r="AA337" s="49"/>
      <c r="AB337" s="49"/>
      <c r="AC337" s="49"/>
      <c r="AD337" s="49"/>
      <c r="AE337" s="49"/>
      <c r="AF337" s="49"/>
      <c r="AG337" s="49"/>
      <c r="AH337" s="49"/>
      <c r="AI337" s="49"/>
      <c r="AJ337" s="49"/>
      <c r="AK337" s="49"/>
      <c r="AL337" s="49"/>
      <c r="AM337" s="49"/>
      <c r="AN337" s="49"/>
      <c r="AO337" s="49"/>
    </row>
    <row r="338" spans="3:41" ht="12.75" customHeight="1">
      <c r="C338" s="49"/>
      <c r="D338" s="49"/>
      <c r="E338" s="49"/>
      <c r="F338" s="49"/>
      <c r="G338" s="49"/>
      <c r="H338" s="49"/>
      <c r="I338" s="49"/>
      <c r="J338" s="49"/>
      <c r="K338" s="49"/>
      <c r="L338" s="49"/>
      <c r="M338" s="49"/>
      <c r="S338" s="49"/>
      <c r="T338" s="49"/>
      <c r="U338" s="49"/>
      <c r="W338" s="49"/>
      <c r="X338" s="49"/>
      <c r="Y338" s="49"/>
      <c r="Z338" s="49"/>
      <c r="AA338" s="49"/>
      <c r="AB338" s="49"/>
      <c r="AC338" s="49"/>
      <c r="AD338" s="49"/>
      <c r="AE338" s="49"/>
      <c r="AF338" s="49"/>
      <c r="AG338" s="49"/>
      <c r="AH338" s="49"/>
      <c r="AI338" s="49"/>
      <c r="AJ338" s="49"/>
      <c r="AK338" s="49"/>
      <c r="AL338" s="49"/>
      <c r="AM338" s="49"/>
      <c r="AN338" s="49"/>
      <c r="AO338" s="49"/>
    </row>
    <row r="339" spans="3:41" ht="12.75" customHeight="1">
      <c r="C339" s="49"/>
      <c r="D339" s="49"/>
      <c r="E339" s="49"/>
      <c r="F339" s="49"/>
      <c r="G339" s="49"/>
      <c r="H339" s="49"/>
      <c r="I339" s="49"/>
      <c r="J339" s="49"/>
      <c r="K339" s="49"/>
      <c r="L339" s="49"/>
      <c r="M339" s="49"/>
      <c r="S339" s="49"/>
      <c r="T339" s="49"/>
      <c r="U339" s="49"/>
      <c r="W339" s="49"/>
      <c r="X339" s="49"/>
      <c r="Y339" s="49"/>
      <c r="Z339" s="49"/>
      <c r="AA339" s="49"/>
      <c r="AB339" s="49"/>
      <c r="AC339" s="49"/>
      <c r="AD339" s="49"/>
      <c r="AE339" s="49"/>
      <c r="AF339" s="49"/>
      <c r="AG339" s="49"/>
      <c r="AH339" s="49"/>
      <c r="AI339" s="49"/>
      <c r="AJ339" s="49"/>
      <c r="AK339" s="49"/>
      <c r="AL339" s="49"/>
      <c r="AM339" s="49"/>
      <c r="AN339" s="49"/>
      <c r="AO339" s="49"/>
    </row>
    <row r="340" spans="3:41" ht="12.75" customHeight="1">
      <c r="C340" s="49"/>
      <c r="D340" s="49"/>
      <c r="E340" s="49"/>
      <c r="F340" s="49"/>
      <c r="G340" s="49"/>
      <c r="H340" s="49"/>
      <c r="I340" s="49"/>
      <c r="J340" s="49"/>
      <c r="K340" s="49"/>
      <c r="L340" s="49"/>
      <c r="M340" s="49"/>
      <c r="S340" s="49"/>
      <c r="T340" s="49"/>
      <c r="U340" s="49"/>
      <c r="W340" s="49"/>
      <c r="X340" s="49"/>
      <c r="Y340" s="49"/>
      <c r="Z340" s="49"/>
      <c r="AA340" s="49"/>
      <c r="AB340" s="49"/>
      <c r="AC340" s="49"/>
      <c r="AD340" s="49"/>
      <c r="AE340" s="49"/>
      <c r="AF340" s="49"/>
      <c r="AG340" s="49"/>
      <c r="AH340" s="49"/>
      <c r="AI340" s="49"/>
      <c r="AJ340" s="49"/>
      <c r="AK340" s="49"/>
      <c r="AL340" s="49"/>
      <c r="AM340" s="49"/>
      <c r="AN340" s="49"/>
      <c r="AO340" s="49"/>
    </row>
    <row r="341" spans="3:41" ht="12.75" customHeight="1">
      <c r="C341" s="49"/>
      <c r="D341" s="49"/>
      <c r="E341" s="49"/>
      <c r="F341" s="49"/>
      <c r="G341" s="49"/>
      <c r="H341" s="49"/>
      <c r="I341" s="49"/>
      <c r="J341" s="49"/>
      <c r="K341" s="49"/>
      <c r="L341" s="49"/>
      <c r="M341" s="49"/>
      <c r="S341" s="49"/>
      <c r="T341" s="49"/>
      <c r="U341" s="49"/>
      <c r="W341" s="49"/>
      <c r="X341" s="49"/>
      <c r="Y341" s="49"/>
      <c r="Z341" s="49"/>
      <c r="AA341" s="49"/>
      <c r="AB341" s="49"/>
      <c r="AC341" s="49"/>
      <c r="AD341" s="49"/>
      <c r="AE341" s="49"/>
      <c r="AF341" s="49"/>
      <c r="AG341" s="49"/>
      <c r="AH341" s="49"/>
      <c r="AI341" s="49"/>
      <c r="AJ341" s="49"/>
      <c r="AK341" s="49"/>
      <c r="AL341" s="49"/>
      <c r="AM341" s="49"/>
      <c r="AN341" s="49"/>
      <c r="AO341" s="49"/>
    </row>
    <row r="342" spans="3:41" ht="12.75" customHeight="1">
      <c r="C342" s="49"/>
      <c r="D342" s="49"/>
      <c r="E342" s="49"/>
      <c r="F342" s="49"/>
      <c r="G342" s="49"/>
      <c r="H342" s="49"/>
      <c r="I342" s="49"/>
      <c r="J342" s="49"/>
      <c r="K342" s="49"/>
      <c r="L342" s="49"/>
      <c r="M342" s="49"/>
      <c r="S342" s="49"/>
      <c r="T342" s="49"/>
      <c r="U342" s="49"/>
      <c r="W342" s="49"/>
      <c r="X342" s="49"/>
      <c r="Y342" s="49"/>
      <c r="Z342" s="49"/>
      <c r="AA342" s="49"/>
      <c r="AB342" s="49"/>
      <c r="AC342" s="49"/>
      <c r="AD342" s="49"/>
      <c r="AE342" s="49"/>
      <c r="AF342" s="49"/>
      <c r="AG342" s="49"/>
      <c r="AH342" s="49"/>
      <c r="AI342" s="49"/>
      <c r="AJ342" s="49"/>
      <c r="AK342" s="49"/>
      <c r="AL342" s="49"/>
      <c r="AM342" s="49"/>
      <c r="AN342" s="49"/>
      <c r="AO342" s="49"/>
    </row>
    <row r="343" spans="3:41" ht="12.75" customHeight="1">
      <c r="C343" s="49"/>
      <c r="D343" s="49"/>
      <c r="E343" s="49"/>
      <c r="F343" s="49"/>
      <c r="G343" s="49"/>
      <c r="H343" s="49"/>
      <c r="I343" s="49"/>
      <c r="J343" s="49"/>
      <c r="K343" s="49"/>
      <c r="L343" s="49"/>
      <c r="M343" s="49"/>
      <c r="S343" s="49"/>
      <c r="T343" s="49"/>
      <c r="U343" s="49"/>
      <c r="W343" s="49"/>
      <c r="X343" s="49"/>
      <c r="Y343" s="49"/>
      <c r="Z343" s="49"/>
      <c r="AA343" s="49"/>
      <c r="AB343" s="49"/>
      <c r="AC343" s="49"/>
      <c r="AD343" s="49"/>
      <c r="AE343" s="49"/>
      <c r="AF343" s="49"/>
      <c r="AG343" s="49"/>
      <c r="AH343" s="49"/>
      <c r="AI343" s="49"/>
      <c r="AJ343" s="49"/>
      <c r="AK343" s="49"/>
      <c r="AL343" s="49"/>
      <c r="AM343" s="49"/>
      <c r="AN343" s="49"/>
      <c r="AO343" s="49"/>
    </row>
    <row r="344" spans="3:41" ht="12.75" customHeight="1">
      <c r="C344" s="49"/>
      <c r="D344" s="49"/>
      <c r="E344" s="49"/>
      <c r="F344" s="49"/>
      <c r="G344" s="49"/>
      <c r="H344" s="49"/>
      <c r="I344" s="49"/>
      <c r="J344" s="49"/>
      <c r="K344" s="49"/>
      <c r="L344" s="49"/>
      <c r="M344" s="49"/>
      <c r="S344" s="49"/>
      <c r="T344" s="49"/>
      <c r="U344" s="49"/>
      <c r="W344" s="49"/>
      <c r="X344" s="49"/>
      <c r="Y344" s="49"/>
      <c r="Z344" s="49"/>
      <c r="AA344" s="49"/>
      <c r="AB344" s="49"/>
      <c r="AC344" s="49"/>
      <c r="AD344" s="49"/>
      <c r="AE344" s="49"/>
      <c r="AF344" s="49"/>
      <c r="AG344" s="49"/>
      <c r="AH344" s="49"/>
      <c r="AI344" s="49"/>
      <c r="AJ344" s="49"/>
      <c r="AK344" s="49"/>
      <c r="AL344" s="49"/>
      <c r="AM344" s="49"/>
      <c r="AN344" s="49"/>
      <c r="AO344" s="49"/>
    </row>
    <row r="345" spans="3:41" ht="12.75" customHeight="1">
      <c r="C345" s="49"/>
      <c r="D345" s="49"/>
      <c r="E345" s="49"/>
      <c r="F345" s="49"/>
      <c r="G345" s="49"/>
      <c r="H345" s="49"/>
      <c r="I345" s="49"/>
      <c r="J345" s="49"/>
      <c r="K345" s="49"/>
      <c r="L345" s="49"/>
      <c r="M345" s="49"/>
      <c r="S345" s="49"/>
      <c r="T345" s="49"/>
      <c r="U345" s="49"/>
      <c r="W345" s="49"/>
      <c r="X345" s="49"/>
      <c r="Y345" s="49"/>
      <c r="Z345" s="49"/>
      <c r="AA345" s="49"/>
      <c r="AB345" s="49"/>
      <c r="AC345" s="49"/>
      <c r="AD345" s="49"/>
      <c r="AE345" s="49"/>
      <c r="AF345" s="49"/>
      <c r="AG345" s="49"/>
      <c r="AH345" s="49"/>
      <c r="AI345" s="49"/>
      <c r="AJ345" s="49"/>
      <c r="AK345" s="49"/>
      <c r="AL345" s="49"/>
      <c r="AM345" s="49"/>
      <c r="AN345" s="49"/>
      <c r="AO345" s="49"/>
    </row>
    <row r="346" spans="3:41" ht="12.75" customHeight="1">
      <c r="C346" s="49"/>
      <c r="D346" s="49"/>
      <c r="E346" s="49"/>
      <c r="F346" s="49"/>
      <c r="G346" s="49"/>
      <c r="H346" s="49"/>
      <c r="I346" s="49"/>
      <c r="J346" s="49"/>
      <c r="K346" s="49"/>
      <c r="L346" s="49"/>
      <c r="M346" s="49"/>
      <c r="S346" s="49"/>
      <c r="T346" s="49"/>
      <c r="U346" s="49"/>
      <c r="W346" s="49"/>
      <c r="X346" s="49"/>
      <c r="Y346" s="49"/>
      <c r="Z346" s="49"/>
      <c r="AA346" s="49"/>
      <c r="AB346" s="49"/>
      <c r="AC346" s="49"/>
      <c r="AD346" s="49"/>
      <c r="AE346" s="49"/>
      <c r="AF346" s="49"/>
      <c r="AG346" s="49"/>
      <c r="AH346" s="49"/>
      <c r="AI346" s="49"/>
      <c r="AJ346" s="49"/>
      <c r="AK346" s="49"/>
      <c r="AL346" s="49"/>
      <c r="AM346" s="49"/>
      <c r="AN346" s="49"/>
      <c r="AO346" s="49"/>
    </row>
    <row r="347" spans="3:41" ht="12.75" customHeight="1">
      <c r="C347" s="49"/>
      <c r="D347" s="49"/>
      <c r="E347" s="49"/>
      <c r="F347" s="49"/>
      <c r="G347" s="49"/>
      <c r="H347" s="49"/>
      <c r="I347" s="49"/>
      <c r="J347" s="49"/>
      <c r="K347" s="49"/>
      <c r="L347" s="49"/>
      <c r="M347" s="49"/>
      <c r="S347" s="49"/>
      <c r="T347" s="49"/>
      <c r="U347" s="49"/>
      <c r="W347" s="49"/>
      <c r="X347" s="49"/>
      <c r="Y347" s="49"/>
      <c r="Z347" s="49"/>
      <c r="AA347" s="49"/>
      <c r="AB347" s="49"/>
      <c r="AC347" s="49"/>
      <c r="AD347" s="49"/>
      <c r="AE347" s="49"/>
      <c r="AF347" s="49"/>
      <c r="AG347" s="49"/>
      <c r="AH347" s="49"/>
      <c r="AI347" s="49"/>
      <c r="AJ347" s="49"/>
      <c r="AK347" s="49"/>
      <c r="AL347" s="49"/>
      <c r="AM347" s="49"/>
      <c r="AN347" s="49"/>
      <c r="AO347" s="49"/>
    </row>
    <row r="348" spans="3:41" ht="12.75" customHeight="1">
      <c r="C348" s="49"/>
      <c r="D348" s="49"/>
      <c r="E348" s="49"/>
      <c r="F348" s="49"/>
      <c r="G348" s="49"/>
      <c r="H348" s="49"/>
      <c r="I348" s="49"/>
      <c r="J348" s="49"/>
      <c r="K348" s="49"/>
      <c r="L348" s="49"/>
      <c r="M348" s="49"/>
      <c r="S348" s="49"/>
      <c r="T348" s="49"/>
      <c r="U348" s="49"/>
      <c r="W348" s="49"/>
      <c r="X348" s="49"/>
      <c r="Y348" s="49"/>
      <c r="Z348" s="49"/>
      <c r="AA348" s="49"/>
      <c r="AB348" s="49"/>
      <c r="AC348" s="49"/>
      <c r="AD348" s="49"/>
      <c r="AE348" s="49"/>
      <c r="AF348" s="49"/>
      <c r="AG348" s="49"/>
      <c r="AH348" s="49"/>
      <c r="AI348" s="49"/>
      <c r="AJ348" s="49"/>
      <c r="AK348" s="49"/>
      <c r="AL348" s="49"/>
      <c r="AM348" s="49"/>
      <c r="AN348" s="49"/>
      <c r="AO348" s="49"/>
    </row>
    <row r="349" spans="3:41" ht="12.75" customHeight="1">
      <c r="C349" s="49"/>
      <c r="D349" s="49"/>
      <c r="E349" s="49"/>
      <c r="F349" s="49"/>
      <c r="G349" s="49"/>
      <c r="H349" s="49"/>
      <c r="I349" s="49"/>
      <c r="J349" s="49"/>
      <c r="K349" s="49"/>
      <c r="L349" s="49"/>
      <c r="M349" s="49"/>
      <c r="S349" s="49"/>
      <c r="T349" s="49"/>
      <c r="U349" s="49"/>
      <c r="W349" s="49"/>
      <c r="X349" s="49"/>
      <c r="Y349" s="49"/>
      <c r="Z349" s="49"/>
      <c r="AA349" s="49"/>
      <c r="AB349" s="49"/>
      <c r="AC349" s="49"/>
      <c r="AD349" s="49"/>
      <c r="AE349" s="49"/>
      <c r="AF349" s="49"/>
      <c r="AG349" s="49"/>
      <c r="AH349" s="49"/>
      <c r="AI349" s="49"/>
      <c r="AJ349" s="49"/>
      <c r="AK349" s="49"/>
      <c r="AL349" s="49"/>
      <c r="AM349" s="49"/>
      <c r="AN349" s="49"/>
      <c r="AO349" s="49"/>
    </row>
    <row r="350" spans="3:41" ht="12.75" customHeight="1">
      <c r="C350" s="49"/>
      <c r="D350" s="49"/>
      <c r="E350" s="49"/>
      <c r="F350" s="49"/>
      <c r="G350" s="49"/>
      <c r="H350" s="49"/>
      <c r="I350" s="49"/>
      <c r="J350" s="49"/>
      <c r="K350" s="49"/>
      <c r="L350" s="49"/>
      <c r="M350" s="49"/>
      <c r="S350" s="49"/>
      <c r="T350" s="49"/>
      <c r="U350" s="49"/>
      <c r="W350" s="49"/>
      <c r="X350" s="49"/>
      <c r="Y350" s="49"/>
      <c r="Z350" s="49"/>
      <c r="AA350" s="49"/>
      <c r="AB350" s="49"/>
      <c r="AC350" s="49"/>
      <c r="AD350" s="49"/>
      <c r="AE350" s="49"/>
      <c r="AF350" s="49"/>
      <c r="AG350" s="49"/>
      <c r="AH350" s="49"/>
      <c r="AI350" s="49"/>
      <c r="AJ350" s="49"/>
      <c r="AK350" s="49"/>
      <c r="AL350" s="49"/>
      <c r="AM350" s="49"/>
      <c r="AN350" s="49"/>
      <c r="AO350" s="49"/>
    </row>
    <row r="351" spans="3:41" ht="12.75" customHeight="1">
      <c r="C351" s="49"/>
      <c r="D351" s="49"/>
      <c r="E351" s="49"/>
      <c r="F351" s="49"/>
      <c r="G351" s="49"/>
      <c r="H351" s="49"/>
      <c r="I351" s="49"/>
      <c r="J351" s="49"/>
      <c r="K351" s="49"/>
      <c r="L351" s="49"/>
      <c r="M351" s="49"/>
      <c r="S351" s="49"/>
      <c r="T351" s="49"/>
      <c r="U351" s="49"/>
      <c r="W351" s="49"/>
      <c r="X351" s="49"/>
      <c r="Y351" s="49"/>
      <c r="Z351" s="49"/>
      <c r="AA351" s="49"/>
      <c r="AB351" s="49"/>
      <c r="AC351" s="49"/>
      <c r="AD351" s="49"/>
      <c r="AE351" s="49"/>
      <c r="AF351" s="49"/>
      <c r="AG351" s="49"/>
      <c r="AH351" s="49"/>
      <c r="AI351" s="49"/>
      <c r="AJ351" s="49"/>
      <c r="AK351" s="49"/>
      <c r="AL351" s="49"/>
      <c r="AM351" s="49"/>
      <c r="AN351" s="49"/>
      <c r="AO351" s="49"/>
    </row>
    <row r="352" spans="3:41" ht="12.75" customHeight="1">
      <c r="C352" s="49"/>
      <c r="D352" s="49"/>
      <c r="E352" s="49"/>
      <c r="F352" s="49"/>
      <c r="G352" s="49"/>
      <c r="H352" s="49"/>
      <c r="I352" s="49"/>
      <c r="J352" s="49"/>
      <c r="K352" s="49"/>
      <c r="L352" s="49"/>
      <c r="M352" s="49"/>
      <c r="S352" s="49"/>
      <c r="T352" s="49"/>
      <c r="U352" s="49"/>
      <c r="W352" s="49"/>
      <c r="X352" s="49"/>
      <c r="Y352" s="49"/>
      <c r="Z352" s="49"/>
      <c r="AA352" s="49"/>
      <c r="AB352" s="49"/>
      <c r="AC352" s="49"/>
      <c r="AD352" s="49"/>
      <c r="AE352" s="49"/>
      <c r="AF352" s="49"/>
      <c r="AG352" s="49"/>
      <c r="AH352" s="49"/>
      <c r="AI352" s="49"/>
      <c r="AJ352" s="49"/>
      <c r="AK352" s="49"/>
      <c r="AL352" s="49"/>
      <c r="AM352" s="49"/>
      <c r="AN352" s="49"/>
      <c r="AO352" s="49"/>
    </row>
    <row r="353" spans="3:41" ht="12.75" customHeight="1">
      <c r="C353" s="49"/>
      <c r="D353" s="49"/>
      <c r="E353" s="49"/>
      <c r="F353" s="49"/>
      <c r="G353" s="49"/>
      <c r="H353" s="49"/>
      <c r="I353" s="49"/>
      <c r="J353" s="49"/>
      <c r="K353" s="49"/>
      <c r="L353" s="49"/>
      <c r="M353" s="49"/>
      <c r="S353" s="49"/>
      <c r="T353" s="49"/>
      <c r="U353" s="49"/>
      <c r="W353" s="49"/>
      <c r="X353" s="49"/>
      <c r="Y353" s="49"/>
      <c r="Z353" s="49"/>
      <c r="AA353" s="49"/>
      <c r="AB353" s="49"/>
      <c r="AC353" s="49"/>
      <c r="AD353" s="49"/>
      <c r="AE353" s="49"/>
      <c r="AF353" s="49"/>
      <c r="AG353" s="49"/>
      <c r="AH353" s="49"/>
      <c r="AI353" s="49"/>
      <c r="AJ353" s="49"/>
      <c r="AK353" s="49"/>
      <c r="AL353" s="49"/>
      <c r="AM353" s="49"/>
      <c r="AN353" s="49"/>
      <c r="AO353" s="49"/>
    </row>
    <row r="354" spans="3:41" ht="12.75" customHeight="1">
      <c r="C354" s="49"/>
      <c r="D354" s="49"/>
      <c r="E354" s="49"/>
      <c r="F354" s="49"/>
      <c r="G354" s="49"/>
      <c r="H354" s="49"/>
      <c r="I354" s="49"/>
      <c r="J354" s="49"/>
      <c r="K354" s="49"/>
      <c r="L354" s="49"/>
      <c r="M354" s="49"/>
      <c r="S354" s="49"/>
      <c r="T354" s="49"/>
      <c r="U354" s="49"/>
      <c r="W354" s="49"/>
      <c r="X354" s="49"/>
      <c r="Y354" s="49"/>
      <c r="Z354" s="49"/>
      <c r="AA354" s="49"/>
      <c r="AB354" s="49"/>
      <c r="AC354" s="49"/>
      <c r="AD354" s="49"/>
      <c r="AE354" s="49"/>
      <c r="AF354" s="49"/>
      <c r="AG354" s="49"/>
      <c r="AH354" s="49"/>
      <c r="AI354" s="49"/>
      <c r="AJ354" s="49"/>
      <c r="AK354" s="49"/>
      <c r="AL354" s="49"/>
      <c r="AM354" s="49"/>
      <c r="AN354" s="49"/>
      <c r="AO354" s="49"/>
    </row>
    <row r="355" spans="3:41" ht="12.75" customHeight="1">
      <c r="C355" s="49"/>
      <c r="D355" s="49"/>
      <c r="E355" s="49"/>
      <c r="F355" s="49"/>
      <c r="G355" s="49"/>
      <c r="H355" s="49"/>
      <c r="I355" s="49"/>
      <c r="J355" s="49"/>
      <c r="K355" s="49"/>
      <c r="L355" s="49"/>
      <c r="M355" s="49"/>
      <c r="S355" s="49"/>
      <c r="T355" s="49"/>
      <c r="U355" s="49"/>
      <c r="W355" s="49"/>
      <c r="X355" s="49"/>
      <c r="Y355" s="49"/>
      <c r="Z355" s="49"/>
      <c r="AA355" s="49"/>
      <c r="AB355" s="49"/>
      <c r="AC355" s="49"/>
      <c r="AD355" s="49"/>
      <c r="AE355" s="49"/>
      <c r="AF355" s="49"/>
      <c r="AG355" s="49"/>
      <c r="AH355" s="49"/>
      <c r="AI355" s="49"/>
      <c r="AJ355" s="49"/>
      <c r="AK355" s="49"/>
      <c r="AL355" s="49"/>
      <c r="AM355" s="49"/>
      <c r="AN355" s="49"/>
      <c r="AO355" s="49"/>
    </row>
    <row r="356" spans="3:41" ht="12.75" customHeight="1">
      <c r="C356" s="49"/>
      <c r="D356" s="49"/>
      <c r="E356" s="49"/>
      <c r="F356" s="49"/>
      <c r="G356" s="49"/>
      <c r="H356" s="49"/>
      <c r="I356" s="49"/>
      <c r="J356" s="49"/>
      <c r="K356" s="49"/>
      <c r="L356" s="49"/>
      <c r="M356" s="49"/>
      <c r="S356" s="49"/>
      <c r="T356" s="49"/>
      <c r="U356" s="49"/>
      <c r="W356" s="49"/>
      <c r="X356" s="49"/>
      <c r="Y356" s="49"/>
      <c r="Z356" s="49"/>
      <c r="AA356" s="49"/>
      <c r="AB356" s="49"/>
      <c r="AC356" s="49"/>
      <c r="AD356" s="49"/>
      <c r="AE356" s="49"/>
      <c r="AF356" s="49"/>
      <c r="AG356" s="49"/>
      <c r="AH356" s="49"/>
      <c r="AI356" s="49"/>
      <c r="AJ356" s="49"/>
      <c r="AK356" s="49"/>
      <c r="AL356" s="49"/>
      <c r="AM356" s="49"/>
      <c r="AN356" s="49"/>
      <c r="AO356" s="49"/>
    </row>
    <row r="357" spans="3:41" ht="12.75" customHeight="1">
      <c r="C357" s="49"/>
      <c r="D357" s="49"/>
      <c r="E357" s="49"/>
      <c r="F357" s="49"/>
      <c r="G357" s="49"/>
      <c r="H357" s="49"/>
      <c r="I357" s="49"/>
      <c r="J357" s="49"/>
      <c r="K357" s="49"/>
      <c r="L357" s="49"/>
      <c r="M357" s="49"/>
      <c r="S357" s="49"/>
      <c r="T357" s="49"/>
      <c r="U357" s="49"/>
      <c r="W357" s="49"/>
      <c r="X357" s="49"/>
      <c r="Y357" s="49"/>
      <c r="Z357" s="49"/>
      <c r="AA357" s="49"/>
      <c r="AB357" s="49"/>
      <c r="AC357" s="49"/>
      <c r="AD357" s="49"/>
      <c r="AE357" s="49"/>
      <c r="AF357" s="49"/>
      <c r="AG357" s="49"/>
      <c r="AH357" s="49"/>
      <c r="AI357" s="49"/>
      <c r="AJ357" s="49"/>
      <c r="AK357" s="49"/>
      <c r="AL357" s="49"/>
      <c r="AM357" s="49"/>
      <c r="AN357" s="49"/>
      <c r="AO357" s="49"/>
    </row>
    <row r="358" spans="3:41" ht="12.75" customHeight="1">
      <c r="C358" s="49"/>
      <c r="D358" s="49"/>
      <c r="E358" s="49"/>
      <c r="F358" s="49"/>
      <c r="G358" s="49"/>
      <c r="H358" s="49"/>
      <c r="I358" s="49"/>
      <c r="J358" s="49"/>
      <c r="K358" s="49"/>
      <c r="L358" s="49"/>
      <c r="M358" s="49"/>
      <c r="S358" s="49"/>
      <c r="T358" s="49"/>
      <c r="U358" s="49"/>
      <c r="W358" s="49"/>
      <c r="X358" s="49"/>
      <c r="Y358" s="49"/>
      <c r="Z358" s="49"/>
      <c r="AA358" s="49"/>
      <c r="AB358" s="49"/>
      <c r="AC358" s="49"/>
      <c r="AD358" s="49"/>
      <c r="AE358" s="49"/>
      <c r="AF358" s="49"/>
      <c r="AG358" s="49"/>
      <c r="AH358" s="49"/>
      <c r="AI358" s="49"/>
      <c r="AJ358" s="49"/>
      <c r="AK358" s="49"/>
      <c r="AL358" s="49"/>
      <c r="AM358" s="49"/>
      <c r="AN358" s="49"/>
      <c r="AO358" s="49"/>
    </row>
    <row r="359" spans="3:41" ht="12.75" customHeight="1">
      <c r="C359" s="49"/>
      <c r="D359" s="49"/>
      <c r="E359" s="49"/>
      <c r="F359" s="49"/>
      <c r="G359" s="49"/>
      <c r="H359" s="49"/>
      <c r="I359" s="49"/>
      <c r="J359" s="49"/>
      <c r="K359" s="49"/>
      <c r="L359" s="49"/>
      <c r="M359" s="49"/>
      <c r="S359" s="49"/>
      <c r="T359" s="49"/>
      <c r="U359" s="49"/>
      <c r="W359" s="49"/>
      <c r="X359" s="49"/>
      <c r="Y359" s="49"/>
      <c r="Z359" s="49"/>
      <c r="AA359" s="49"/>
      <c r="AB359" s="49"/>
      <c r="AC359" s="49"/>
      <c r="AD359" s="49"/>
      <c r="AE359" s="49"/>
      <c r="AF359" s="49"/>
      <c r="AG359" s="49"/>
      <c r="AH359" s="49"/>
      <c r="AI359" s="49"/>
      <c r="AJ359" s="49"/>
      <c r="AK359" s="49"/>
      <c r="AL359" s="49"/>
      <c r="AM359" s="49"/>
      <c r="AN359" s="49"/>
      <c r="AO359" s="49"/>
    </row>
    <row r="360" spans="3:41" ht="12.75" customHeight="1">
      <c r="C360" s="49"/>
      <c r="D360" s="49"/>
      <c r="E360" s="49"/>
      <c r="F360" s="49"/>
      <c r="G360" s="49"/>
      <c r="H360" s="49"/>
      <c r="I360" s="49"/>
      <c r="J360" s="49"/>
      <c r="K360" s="49"/>
      <c r="L360" s="49"/>
      <c r="M360" s="49"/>
      <c r="S360" s="49"/>
      <c r="T360" s="49"/>
      <c r="U360" s="49"/>
      <c r="W360" s="49"/>
      <c r="X360" s="49"/>
      <c r="Y360" s="49"/>
      <c r="Z360" s="49"/>
      <c r="AA360" s="49"/>
      <c r="AB360" s="49"/>
      <c r="AC360" s="49"/>
      <c r="AD360" s="49"/>
      <c r="AE360" s="49"/>
      <c r="AF360" s="49"/>
      <c r="AG360" s="49"/>
      <c r="AH360" s="49"/>
      <c r="AI360" s="49"/>
      <c r="AJ360" s="49"/>
      <c r="AK360" s="49"/>
      <c r="AL360" s="49"/>
      <c r="AM360" s="49"/>
      <c r="AN360" s="49"/>
      <c r="AO360" s="49"/>
    </row>
    <row r="361" spans="3:41" ht="12.75" customHeight="1">
      <c r="C361" s="49"/>
      <c r="D361" s="49"/>
      <c r="E361" s="49"/>
      <c r="F361" s="49"/>
      <c r="G361" s="49"/>
      <c r="H361" s="49"/>
      <c r="I361" s="49"/>
      <c r="J361" s="49"/>
      <c r="K361" s="49"/>
      <c r="L361" s="49"/>
      <c r="M361" s="49"/>
      <c r="S361" s="49"/>
      <c r="T361" s="49"/>
      <c r="U361" s="49"/>
      <c r="W361" s="49"/>
      <c r="X361" s="49"/>
      <c r="Y361" s="49"/>
      <c r="Z361" s="49"/>
      <c r="AA361" s="49"/>
      <c r="AB361" s="49"/>
      <c r="AC361" s="49"/>
      <c r="AD361" s="49"/>
      <c r="AE361" s="49"/>
      <c r="AF361" s="49"/>
      <c r="AG361" s="49"/>
      <c r="AH361" s="49"/>
      <c r="AI361" s="49"/>
      <c r="AJ361" s="49"/>
      <c r="AK361" s="49"/>
      <c r="AL361" s="49"/>
      <c r="AM361" s="49"/>
      <c r="AN361" s="49"/>
      <c r="AO361" s="49"/>
    </row>
    <row r="362" spans="3:41" ht="12.75" customHeight="1">
      <c r="C362" s="49"/>
      <c r="D362" s="49"/>
      <c r="E362" s="49"/>
      <c r="F362" s="49"/>
      <c r="G362" s="49"/>
      <c r="H362" s="49"/>
      <c r="I362" s="49"/>
      <c r="J362" s="49"/>
      <c r="K362" s="49"/>
      <c r="L362" s="49"/>
      <c r="M362" s="49"/>
      <c r="S362" s="49"/>
      <c r="T362" s="49"/>
      <c r="U362" s="49"/>
      <c r="W362" s="49"/>
      <c r="X362" s="49"/>
      <c r="Y362" s="49"/>
      <c r="Z362" s="49"/>
      <c r="AA362" s="49"/>
      <c r="AB362" s="49"/>
      <c r="AC362" s="49"/>
      <c r="AD362" s="49"/>
      <c r="AE362" s="49"/>
      <c r="AF362" s="49"/>
      <c r="AG362" s="49"/>
      <c r="AH362" s="49"/>
      <c r="AI362" s="49"/>
      <c r="AJ362" s="49"/>
      <c r="AK362" s="49"/>
      <c r="AL362" s="49"/>
      <c r="AM362" s="49"/>
      <c r="AN362" s="49"/>
      <c r="AO362" s="49"/>
    </row>
    <row r="363" spans="3:41" ht="12.75" customHeight="1">
      <c r="C363" s="49"/>
      <c r="D363" s="49"/>
      <c r="E363" s="49"/>
      <c r="F363" s="49"/>
      <c r="G363" s="49"/>
      <c r="H363" s="49"/>
      <c r="I363" s="49"/>
      <c r="J363" s="49"/>
      <c r="K363" s="49"/>
      <c r="L363" s="49"/>
      <c r="M363" s="49"/>
      <c r="S363" s="49"/>
      <c r="T363" s="49"/>
      <c r="U363" s="49"/>
      <c r="W363" s="49"/>
      <c r="X363" s="49"/>
      <c r="Y363" s="49"/>
      <c r="Z363" s="49"/>
      <c r="AA363" s="49"/>
      <c r="AB363" s="49"/>
      <c r="AC363" s="49"/>
      <c r="AD363" s="49"/>
      <c r="AE363" s="49"/>
      <c r="AF363" s="49"/>
      <c r="AG363" s="49"/>
      <c r="AH363" s="49"/>
      <c r="AI363" s="49"/>
      <c r="AJ363" s="49"/>
      <c r="AK363" s="49"/>
      <c r="AL363" s="49"/>
      <c r="AM363" s="49"/>
      <c r="AN363" s="49"/>
      <c r="AO363" s="49"/>
    </row>
    <row r="364" spans="3:41" ht="12.75" customHeight="1">
      <c r="C364" s="49"/>
      <c r="D364" s="49"/>
      <c r="E364" s="49"/>
      <c r="F364" s="49"/>
      <c r="G364" s="49"/>
      <c r="H364" s="49"/>
      <c r="I364" s="49"/>
      <c r="J364" s="49"/>
      <c r="K364" s="49"/>
      <c r="L364" s="49"/>
      <c r="M364" s="49"/>
      <c r="S364" s="49"/>
      <c r="T364" s="49"/>
      <c r="U364" s="49"/>
      <c r="W364" s="49"/>
      <c r="X364" s="49"/>
      <c r="Y364" s="49"/>
      <c r="Z364" s="49"/>
      <c r="AA364" s="49"/>
      <c r="AB364" s="49"/>
      <c r="AC364" s="49"/>
      <c r="AD364" s="49"/>
      <c r="AE364" s="49"/>
      <c r="AF364" s="49"/>
      <c r="AG364" s="49"/>
      <c r="AH364" s="49"/>
      <c r="AI364" s="49"/>
      <c r="AJ364" s="49"/>
      <c r="AK364" s="49"/>
      <c r="AL364" s="49"/>
      <c r="AM364" s="49"/>
      <c r="AN364" s="49"/>
      <c r="AO364" s="49"/>
    </row>
    <row r="365" spans="3:41" ht="12.75" customHeight="1">
      <c r="C365" s="49"/>
      <c r="D365" s="49"/>
      <c r="E365" s="49"/>
      <c r="F365" s="49"/>
      <c r="G365" s="49"/>
      <c r="H365" s="49"/>
      <c r="I365" s="49"/>
      <c r="J365" s="49"/>
      <c r="K365" s="49"/>
      <c r="L365" s="49"/>
      <c r="M365" s="49"/>
      <c r="S365" s="49"/>
      <c r="T365" s="49"/>
      <c r="U365" s="49"/>
      <c r="W365" s="49"/>
      <c r="X365" s="49"/>
      <c r="Y365" s="49"/>
      <c r="Z365" s="49"/>
      <c r="AA365" s="49"/>
      <c r="AB365" s="49"/>
      <c r="AC365" s="49"/>
      <c r="AD365" s="49"/>
      <c r="AE365" s="49"/>
      <c r="AF365" s="49"/>
      <c r="AG365" s="49"/>
      <c r="AH365" s="49"/>
      <c r="AI365" s="49"/>
      <c r="AJ365" s="49"/>
      <c r="AK365" s="49"/>
      <c r="AL365" s="49"/>
      <c r="AM365" s="49"/>
      <c r="AN365" s="49"/>
      <c r="AO365" s="49"/>
    </row>
    <row r="366" spans="3:41" ht="12.75" customHeight="1">
      <c r="C366" s="49"/>
      <c r="D366" s="49"/>
      <c r="E366" s="49"/>
      <c r="F366" s="49"/>
      <c r="G366" s="49"/>
      <c r="H366" s="49"/>
      <c r="I366" s="49"/>
      <c r="J366" s="49"/>
      <c r="K366" s="49"/>
      <c r="L366" s="49"/>
      <c r="M366" s="49"/>
      <c r="S366" s="49"/>
      <c r="T366" s="49"/>
      <c r="U366" s="49"/>
      <c r="W366" s="49"/>
      <c r="X366" s="49"/>
      <c r="Y366" s="49"/>
      <c r="Z366" s="49"/>
      <c r="AA366" s="49"/>
      <c r="AB366" s="49"/>
      <c r="AC366" s="49"/>
      <c r="AD366" s="49"/>
      <c r="AE366" s="49"/>
      <c r="AF366" s="49"/>
      <c r="AG366" s="49"/>
      <c r="AH366" s="49"/>
      <c r="AI366" s="49"/>
      <c r="AJ366" s="49"/>
      <c r="AK366" s="49"/>
      <c r="AL366" s="49"/>
      <c r="AM366" s="49"/>
      <c r="AN366" s="49"/>
      <c r="AO366" s="49"/>
    </row>
    <row r="367" spans="3:41" ht="12.75" customHeight="1">
      <c r="C367" s="49"/>
      <c r="D367" s="49"/>
      <c r="E367" s="49"/>
      <c r="F367" s="49"/>
      <c r="G367" s="49"/>
      <c r="H367" s="49"/>
      <c r="I367" s="49"/>
      <c r="J367" s="49"/>
      <c r="K367" s="49"/>
      <c r="L367" s="49"/>
      <c r="M367" s="49"/>
      <c r="S367" s="49"/>
      <c r="T367" s="49"/>
      <c r="U367" s="49"/>
      <c r="W367" s="49"/>
      <c r="X367" s="49"/>
      <c r="Y367" s="49"/>
      <c r="Z367" s="49"/>
      <c r="AA367" s="49"/>
      <c r="AB367" s="49"/>
      <c r="AC367" s="49"/>
      <c r="AD367" s="49"/>
      <c r="AE367" s="49"/>
      <c r="AF367" s="49"/>
      <c r="AG367" s="49"/>
      <c r="AH367" s="49"/>
      <c r="AI367" s="49"/>
      <c r="AJ367" s="49"/>
      <c r="AK367" s="49"/>
      <c r="AL367" s="49"/>
      <c r="AM367" s="49"/>
      <c r="AN367" s="49"/>
      <c r="AO367" s="49"/>
    </row>
    <row r="368" spans="3:41" ht="12.75" customHeight="1">
      <c r="C368" s="49"/>
      <c r="D368" s="49"/>
      <c r="E368" s="49"/>
      <c r="F368" s="49"/>
      <c r="G368" s="49"/>
      <c r="H368" s="49"/>
      <c r="I368" s="49"/>
      <c r="J368" s="49"/>
      <c r="K368" s="49"/>
      <c r="L368" s="49"/>
      <c r="M368" s="49"/>
      <c r="S368" s="49"/>
      <c r="T368" s="49"/>
      <c r="U368" s="49"/>
      <c r="W368" s="49"/>
      <c r="X368" s="49"/>
      <c r="Y368" s="49"/>
      <c r="Z368" s="49"/>
      <c r="AA368" s="49"/>
      <c r="AB368" s="49"/>
      <c r="AC368" s="49"/>
      <c r="AD368" s="49"/>
      <c r="AE368" s="49"/>
      <c r="AF368" s="49"/>
      <c r="AG368" s="49"/>
      <c r="AH368" s="49"/>
      <c r="AI368" s="49"/>
      <c r="AJ368" s="49"/>
      <c r="AK368" s="49"/>
      <c r="AL368" s="49"/>
      <c r="AM368" s="49"/>
      <c r="AN368" s="49"/>
      <c r="AO368" s="49"/>
    </row>
    <row r="369" spans="3:41" ht="12.75" customHeight="1">
      <c r="C369" s="49"/>
      <c r="D369" s="49"/>
      <c r="E369" s="49"/>
      <c r="F369" s="49"/>
      <c r="G369" s="49"/>
      <c r="H369" s="49"/>
      <c r="I369" s="49"/>
      <c r="J369" s="49"/>
      <c r="K369" s="49"/>
      <c r="L369" s="49"/>
      <c r="M369" s="49"/>
      <c r="S369" s="49"/>
      <c r="T369" s="49"/>
      <c r="U369" s="49"/>
      <c r="W369" s="49"/>
      <c r="X369" s="49"/>
      <c r="Y369" s="49"/>
      <c r="Z369" s="49"/>
      <c r="AA369" s="49"/>
      <c r="AB369" s="49"/>
      <c r="AC369" s="49"/>
      <c r="AD369" s="49"/>
      <c r="AE369" s="49"/>
      <c r="AF369" s="49"/>
      <c r="AG369" s="49"/>
      <c r="AH369" s="49"/>
      <c r="AI369" s="49"/>
      <c r="AJ369" s="49"/>
      <c r="AK369" s="49"/>
      <c r="AL369" s="49"/>
      <c r="AM369" s="49"/>
      <c r="AN369" s="49"/>
      <c r="AO369" s="49"/>
    </row>
    <row r="370" spans="3:41" ht="12.75" customHeight="1">
      <c r="C370" s="49"/>
      <c r="D370" s="49"/>
      <c r="E370" s="49"/>
      <c r="F370" s="49"/>
      <c r="G370" s="49"/>
      <c r="H370" s="49"/>
      <c r="I370" s="49"/>
      <c r="J370" s="49"/>
      <c r="K370" s="49"/>
      <c r="L370" s="49"/>
      <c r="M370" s="49"/>
      <c r="S370" s="49"/>
      <c r="T370" s="49"/>
      <c r="U370" s="49"/>
      <c r="W370" s="49"/>
      <c r="X370" s="49"/>
      <c r="Y370" s="49"/>
      <c r="Z370" s="49"/>
      <c r="AA370" s="49"/>
      <c r="AB370" s="49"/>
      <c r="AC370" s="49"/>
      <c r="AD370" s="49"/>
      <c r="AE370" s="49"/>
      <c r="AF370" s="49"/>
      <c r="AG370" s="49"/>
      <c r="AH370" s="49"/>
      <c r="AI370" s="49"/>
      <c r="AJ370" s="49"/>
      <c r="AK370" s="49"/>
      <c r="AL370" s="49"/>
      <c r="AM370" s="49"/>
      <c r="AN370" s="49"/>
      <c r="AO370" s="49"/>
    </row>
    <row r="371" spans="3:41" ht="12.75" customHeight="1">
      <c r="C371" s="49"/>
      <c r="D371" s="49"/>
      <c r="E371" s="49"/>
      <c r="F371" s="49"/>
      <c r="G371" s="49"/>
      <c r="H371" s="49"/>
      <c r="I371" s="49"/>
      <c r="J371" s="49"/>
      <c r="K371" s="49"/>
      <c r="L371" s="49"/>
      <c r="M371" s="49"/>
      <c r="S371" s="49"/>
      <c r="T371" s="49"/>
      <c r="U371" s="49"/>
      <c r="W371" s="49"/>
      <c r="X371" s="49"/>
      <c r="Y371" s="49"/>
      <c r="Z371" s="49"/>
      <c r="AA371" s="49"/>
      <c r="AB371" s="49"/>
      <c r="AC371" s="49"/>
      <c r="AD371" s="49"/>
      <c r="AE371" s="49"/>
      <c r="AF371" s="49"/>
      <c r="AG371" s="49"/>
      <c r="AH371" s="49"/>
      <c r="AI371" s="49"/>
      <c r="AJ371" s="49"/>
      <c r="AK371" s="49"/>
      <c r="AL371" s="49"/>
      <c r="AM371" s="49"/>
      <c r="AN371" s="49"/>
      <c r="AO371" s="49"/>
    </row>
    <row r="372" spans="3:41" ht="12.75" customHeight="1">
      <c r="C372" s="49"/>
      <c r="D372" s="49"/>
      <c r="E372" s="49"/>
      <c r="F372" s="49"/>
      <c r="G372" s="49"/>
      <c r="H372" s="49"/>
      <c r="I372" s="49"/>
      <c r="J372" s="49"/>
      <c r="K372" s="49"/>
      <c r="L372" s="49"/>
      <c r="M372" s="49"/>
      <c r="S372" s="49"/>
      <c r="T372" s="49"/>
      <c r="U372" s="49"/>
      <c r="W372" s="49"/>
      <c r="X372" s="49"/>
      <c r="Y372" s="49"/>
      <c r="Z372" s="49"/>
      <c r="AA372" s="49"/>
      <c r="AB372" s="49"/>
      <c r="AC372" s="49"/>
      <c r="AD372" s="49"/>
      <c r="AE372" s="49"/>
      <c r="AF372" s="49"/>
      <c r="AG372" s="49"/>
      <c r="AH372" s="49"/>
      <c r="AI372" s="49"/>
      <c r="AJ372" s="49"/>
      <c r="AK372" s="49"/>
      <c r="AL372" s="49"/>
      <c r="AM372" s="49"/>
      <c r="AN372" s="49"/>
      <c r="AO372" s="49"/>
    </row>
    <row r="373" spans="3:41" ht="12.75" customHeight="1">
      <c r="C373" s="49"/>
      <c r="D373" s="49"/>
      <c r="E373" s="49"/>
      <c r="F373" s="49"/>
      <c r="G373" s="49"/>
      <c r="H373" s="49"/>
      <c r="I373" s="49"/>
      <c r="J373" s="49"/>
      <c r="K373" s="49"/>
      <c r="L373" s="49"/>
      <c r="M373" s="49"/>
      <c r="S373" s="49"/>
      <c r="T373" s="49"/>
      <c r="U373" s="49"/>
      <c r="W373" s="49"/>
      <c r="X373" s="49"/>
      <c r="Y373" s="49"/>
      <c r="Z373" s="49"/>
      <c r="AA373" s="49"/>
      <c r="AB373" s="49"/>
      <c r="AC373" s="49"/>
      <c r="AD373" s="49"/>
      <c r="AE373" s="49"/>
      <c r="AF373" s="49"/>
      <c r="AG373" s="49"/>
      <c r="AH373" s="49"/>
      <c r="AI373" s="49"/>
      <c r="AJ373" s="49"/>
      <c r="AK373" s="49"/>
      <c r="AL373" s="49"/>
      <c r="AM373" s="49"/>
      <c r="AN373" s="49"/>
      <c r="AO373" s="49"/>
    </row>
    <row r="374" spans="3:41" ht="12.75" customHeight="1">
      <c r="C374" s="49"/>
      <c r="D374" s="49"/>
      <c r="E374" s="49"/>
      <c r="F374" s="49"/>
      <c r="G374" s="49"/>
      <c r="H374" s="49"/>
      <c r="I374" s="49"/>
      <c r="J374" s="49"/>
      <c r="K374" s="49"/>
      <c r="L374" s="49"/>
      <c r="M374" s="49"/>
      <c r="S374" s="49"/>
      <c r="T374" s="49"/>
      <c r="U374" s="49"/>
      <c r="W374" s="49"/>
      <c r="X374" s="49"/>
      <c r="Y374" s="49"/>
      <c r="Z374" s="49"/>
      <c r="AA374" s="49"/>
      <c r="AB374" s="49"/>
      <c r="AC374" s="49"/>
      <c r="AD374" s="49"/>
      <c r="AE374" s="49"/>
      <c r="AF374" s="49"/>
      <c r="AG374" s="49"/>
      <c r="AH374" s="49"/>
      <c r="AI374" s="49"/>
      <c r="AJ374" s="49"/>
      <c r="AK374" s="49"/>
      <c r="AL374" s="49"/>
      <c r="AM374" s="49"/>
      <c r="AN374" s="49"/>
      <c r="AO374" s="49"/>
    </row>
    <row r="375" spans="3:41" ht="12.75" customHeight="1">
      <c r="C375" s="49"/>
      <c r="D375" s="49"/>
      <c r="E375" s="49"/>
      <c r="F375" s="49"/>
      <c r="G375" s="49"/>
      <c r="H375" s="49"/>
      <c r="I375" s="49"/>
      <c r="J375" s="49"/>
      <c r="K375" s="49"/>
      <c r="L375" s="49"/>
      <c r="M375" s="49"/>
      <c r="S375" s="49"/>
      <c r="T375" s="49"/>
      <c r="U375" s="49"/>
      <c r="W375" s="49"/>
      <c r="X375" s="49"/>
      <c r="Y375" s="49"/>
      <c r="Z375" s="49"/>
      <c r="AA375" s="49"/>
      <c r="AB375" s="49"/>
      <c r="AC375" s="49"/>
      <c r="AD375" s="49"/>
      <c r="AE375" s="49"/>
      <c r="AF375" s="49"/>
      <c r="AG375" s="49"/>
      <c r="AH375" s="49"/>
      <c r="AI375" s="49"/>
      <c r="AJ375" s="49"/>
      <c r="AK375" s="49"/>
      <c r="AL375" s="49"/>
      <c r="AM375" s="49"/>
      <c r="AN375" s="49"/>
      <c r="AO375" s="49"/>
    </row>
    <row r="376" spans="3:41" ht="12.75" customHeight="1">
      <c r="C376" s="49"/>
      <c r="D376" s="49"/>
      <c r="E376" s="49"/>
      <c r="F376" s="49"/>
      <c r="G376" s="49"/>
      <c r="H376" s="49"/>
      <c r="I376" s="49"/>
      <c r="J376" s="49"/>
      <c r="K376" s="49"/>
      <c r="L376" s="49"/>
      <c r="M376" s="49"/>
      <c r="S376" s="49"/>
      <c r="T376" s="49"/>
      <c r="U376" s="49"/>
      <c r="W376" s="49"/>
      <c r="X376" s="49"/>
      <c r="Y376" s="49"/>
      <c r="Z376" s="49"/>
      <c r="AA376" s="49"/>
      <c r="AB376" s="49"/>
      <c r="AC376" s="49"/>
      <c r="AD376" s="49"/>
      <c r="AE376" s="49"/>
      <c r="AF376" s="49"/>
      <c r="AG376" s="49"/>
      <c r="AH376" s="49"/>
      <c r="AI376" s="49"/>
      <c r="AJ376" s="49"/>
      <c r="AK376" s="49"/>
      <c r="AL376" s="49"/>
      <c r="AM376" s="49"/>
      <c r="AN376" s="49"/>
      <c r="AO376" s="49"/>
    </row>
    <row r="377" spans="3:41" ht="12.75" customHeight="1">
      <c r="C377" s="49"/>
      <c r="D377" s="49"/>
      <c r="E377" s="49"/>
      <c r="F377" s="49"/>
      <c r="G377" s="49"/>
      <c r="H377" s="49"/>
      <c r="I377" s="49"/>
      <c r="J377" s="49"/>
      <c r="K377" s="49"/>
      <c r="L377" s="49"/>
      <c r="M377" s="49"/>
      <c r="S377" s="49"/>
      <c r="T377" s="49"/>
      <c r="U377" s="49"/>
      <c r="W377" s="49"/>
      <c r="X377" s="49"/>
      <c r="Y377" s="49"/>
      <c r="Z377" s="49"/>
      <c r="AA377" s="49"/>
      <c r="AB377" s="49"/>
      <c r="AC377" s="49"/>
      <c r="AD377" s="49"/>
      <c r="AE377" s="49"/>
      <c r="AF377" s="49"/>
      <c r="AG377" s="49"/>
      <c r="AH377" s="49"/>
      <c r="AI377" s="49"/>
      <c r="AJ377" s="49"/>
      <c r="AK377" s="49"/>
      <c r="AL377" s="49"/>
      <c r="AM377" s="49"/>
      <c r="AN377" s="49"/>
      <c r="AO377" s="49"/>
    </row>
    <row r="378" spans="3:41" ht="12.75" customHeight="1">
      <c r="C378" s="49"/>
      <c r="D378" s="49"/>
      <c r="E378" s="49"/>
      <c r="F378" s="49"/>
      <c r="G378" s="49"/>
      <c r="H378" s="49"/>
      <c r="I378" s="49"/>
      <c r="J378" s="49"/>
      <c r="K378" s="49"/>
      <c r="L378" s="49"/>
      <c r="M378" s="49"/>
      <c r="S378" s="49"/>
      <c r="T378" s="49"/>
      <c r="U378" s="49"/>
      <c r="W378" s="49"/>
      <c r="X378" s="49"/>
      <c r="Y378" s="49"/>
      <c r="Z378" s="49"/>
      <c r="AA378" s="49"/>
      <c r="AB378" s="49"/>
      <c r="AC378" s="49"/>
      <c r="AD378" s="49"/>
      <c r="AE378" s="49"/>
      <c r="AF378" s="49"/>
      <c r="AG378" s="49"/>
      <c r="AH378" s="49"/>
      <c r="AI378" s="49"/>
      <c r="AJ378" s="49"/>
      <c r="AK378" s="49"/>
      <c r="AL378" s="49"/>
      <c r="AM378" s="49"/>
      <c r="AN378" s="49"/>
      <c r="AO378" s="49"/>
    </row>
    <row r="379" spans="3:41" ht="12.75" customHeight="1">
      <c r="C379" s="49"/>
      <c r="D379" s="49"/>
      <c r="E379" s="49"/>
      <c r="F379" s="49"/>
      <c r="G379" s="49"/>
      <c r="H379" s="49"/>
      <c r="I379" s="49"/>
      <c r="J379" s="49"/>
      <c r="K379" s="49"/>
      <c r="L379" s="49"/>
      <c r="M379" s="49"/>
      <c r="S379" s="49"/>
      <c r="T379" s="49"/>
      <c r="U379" s="49"/>
      <c r="W379" s="49"/>
      <c r="X379" s="49"/>
      <c r="Y379" s="49"/>
      <c r="Z379" s="49"/>
      <c r="AA379" s="49"/>
      <c r="AB379" s="49"/>
      <c r="AC379" s="49"/>
      <c r="AD379" s="49"/>
      <c r="AE379" s="49"/>
      <c r="AF379" s="49"/>
      <c r="AG379" s="49"/>
      <c r="AH379" s="49"/>
      <c r="AI379" s="49"/>
      <c r="AJ379" s="49"/>
      <c r="AK379" s="49"/>
      <c r="AL379" s="49"/>
      <c r="AM379" s="49"/>
      <c r="AN379" s="49"/>
      <c r="AO379" s="49"/>
    </row>
    <row r="380" spans="3:41" ht="12.75" customHeight="1">
      <c r="C380" s="49"/>
      <c r="D380" s="49"/>
      <c r="E380" s="49"/>
      <c r="F380" s="49"/>
      <c r="G380" s="49"/>
      <c r="H380" s="49"/>
      <c r="I380" s="49"/>
      <c r="J380" s="49"/>
      <c r="K380" s="49"/>
      <c r="L380" s="49"/>
      <c r="M380" s="49"/>
      <c r="S380" s="49"/>
      <c r="T380" s="49"/>
      <c r="U380" s="49"/>
      <c r="W380" s="49"/>
      <c r="X380" s="49"/>
      <c r="Y380" s="49"/>
      <c r="Z380" s="49"/>
      <c r="AA380" s="49"/>
      <c r="AB380" s="49"/>
      <c r="AC380" s="49"/>
      <c r="AD380" s="49"/>
      <c r="AE380" s="49"/>
      <c r="AF380" s="49"/>
      <c r="AG380" s="49"/>
      <c r="AH380" s="49"/>
      <c r="AI380" s="49"/>
      <c r="AJ380" s="49"/>
      <c r="AK380" s="49"/>
      <c r="AL380" s="49"/>
      <c r="AM380" s="49"/>
      <c r="AN380" s="49"/>
      <c r="AO380" s="49"/>
    </row>
    <row r="381" spans="3:41" ht="12.75" customHeight="1">
      <c r="C381" s="49"/>
      <c r="D381" s="49"/>
      <c r="E381" s="49"/>
      <c r="F381" s="49"/>
      <c r="G381" s="49"/>
      <c r="H381" s="49"/>
      <c r="I381" s="49"/>
      <c r="J381" s="49"/>
      <c r="K381" s="49"/>
      <c r="L381" s="49"/>
      <c r="M381" s="49"/>
      <c r="S381" s="49"/>
      <c r="T381" s="49"/>
      <c r="U381" s="49"/>
      <c r="W381" s="49"/>
      <c r="X381" s="49"/>
      <c r="Y381" s="49"/>
      <c r="Z381" s="49"/>
      <c r="AA381" s="49"/>
      <c r="AB381" s="49"/>
      <c r="AC381" s="49"/>
      <c r="AD381" s="49"/>
      <c r="AE381" s="49"/>
      <c r="AF381" s="49"/>
      <c r="AG381" s="49"/>
      <c r="AH381" s="49"/>
      <c r="AI381" s="49"/>
      <c r="AJ381" s="49"/>
      <c r="AK381" s="49"/>
      <c r="AL381" s="49"/>
      <c r="AM381" s="49"/>
      <c r="AN381" s="49"/>
      <c r="AO381" s="49"/>
    </row>
    <row r="382" spans="3:41" ht="12.75" customHeight="1">
      <c r="C382" s="49"/>
      <c r="D382" s="49"/>
      <c r="E382" s="49"/>
      <c r="F382" s="49"/>
      <c r="G382" s="49"/>
      <c r="H382" s="49"/>
      <c r="I382" s="49"/>
      <c r="J382" s="49"/>
      <c r="K382" s="49"/>
      <c r="L382" s="49"/>
      <c r="M382" s="49"/>
      <c r="S382" s="49"/>
      <c r="T382" s="49"/>
      <c r="U382" s="49"/>
      <c r="W382" s="49"/>
      <c r="X382" s="49"/>
      <c r="Y382" s="49"/>
      <c r="Z382" s="49"/>
      <c r="AA382" s="49"/>
      <c r="AB382" s="49"/>
      <c r="AC382" s="49"/>
      <c r="AD382" s="49"/>
      <c r="AE382" s="49"/>
      <c r="AF382" s="49"/>
      <c r="AG382" s="49"/>
      <c r="AH382" s="49"/>
      <c r="AI382" s="49"/>
      <c r="AJ382" s="49"/>
      <c r="AK382" s="49"/>
      <c r="AL382" s="49"/>
      <c r="AM382" s="49"/>
      <c r="AN382" s="49"/>
      <c r="AO382" s="49"/>
    </row>
    <row r="383" spans="3:41" ht="12.75" customHeight="1">
      <c r="C383" s="49"/>
      <c r="D383" s="49"/>
      <c r="E383" s="49"/>
      <c r="F383" s="49"/>
      <c r="G383" s="49"/>
      <c r="H383" s="49"/>
      <c r="I383" s="49"/>
      <c r="J383" s="49"/>
      <c r="K383" s="49"/>
      <c r="L383" s="49"/>
      <c r="M383" s="49"/>
      <c r="S383" s="49"/>
      <c r="T383" s="49"/>
      <c r="U383" s="49"/>
      <c r="W383" s="49"/>
      <c r="X383" s="49"/>
      <c r="Y383" s="49"/>
      <c r="Z383" s="49"/>
      <c r="AA383" s="49"/>
      <c r="AB383" s="49"/>
      <c r="AC383" s="49"/>
      <c r="AD383" s="49"/>
      <c r="AE383" s="49"/>
      <c r="AF383" s="49"/>
      <c r="AG383" s="49"/>
      <c r="AH383" s="49"/>
      <c r="AI383" s="49"/>
      <c r="AJ383" s="49"/>
      <c r="AK383" s="49"/>
      <c r="AL383" s="49"/>
      <c r="AM383" s="49"/>
      <c r="AN383" s="49"/>
      <c r="AO383" s="49"/>
    </row>
    <row r="384" spans="3:41" ht="12.75" customHeight="1">
      <c r="C384" s="49"/>
      <c r="D384" s="49"/>
      <c r="E384" s="49"/>
      <c r="F384" s="49"/>
      <c r="G384" s="49"/>
      <c r="H384" s="49"/>
      <c r="I384" s="49"/>
      <c r="J384" s="49"/>
      <c r="K384" s="49"/>
      <c r="L384" s="49"/>
      <c r="M384" s="49"/>
      <c r="S384" s="49"/>
      <c r="T384" s="49"/>
      <c r="U384" s="49"/>
      <c r="W384" s="49"/>
      <c r="X384" s="49"/>
      <c r="Y384" s="49"/>
      <c r="Z384" s="49"/>
      <c r="AA384" s="49"/>
      <c r="AB384" s="49"/>
      <c r="AC384" s="49"/>
      <c r="AD384" s="49"/>
      <c r="AE384" s="49"/>
      <c r="AF384" s="49"/>
      <c r="AG384" s="49"/>
      <c r="AH384" s="49"/>
      <c r="AI384" s="49"/>
      <c r="AJ384" s="49"/>
      <c r="AK384" s="49"/>
      <c r="AL384" s="49"/>
      <c r="AM384" s="49"/>
      <c r="AN384" s="49"/>
      <c r="AO384" s="49"/>
    </row>
    <row r="385" spans="3:41" ht="12.75" customHeight="1">
      <c r="C385" s="49"/>
      <c r="D385" s="49"/>
      <c r="E385" s="49"/>
      <c r="F385" s="49"/>
      <c r="G385" s="49"/>
      <c r="H385" s="49"/>
      <c r="I385" s="49"/>
      <c r="J385" s="49"/>
      <c r="K385" s="49"/>
      <c r="L385" s="49"/>
      <c r="M385" s="49"/>
      <c r="S385" s="49"/>
      <c r="T385" s="49"/>
      <c r="U385" s="49"/>
      <c r="W385" s="49"/>
      <c r="X385" s="49"/>
      <c r="Y385" s="49"/>
      <c r="Z385" s="49"/>
      <c r="AA385" s="49"/>
      <c r="AB385" s="49"/>
      <c r="AC385" s="49"/>
      <c r="AD385" s="49"/>
      <c r="AE385" s="49"/>
      <c r="AF385" s="49"/>
      <c r="AG385" s="49"/>
      <c r="AH385" s="49"/>
      <c r="AI385" s="49"/>
      <c r="AJ385" s="49"/>
      <c r="AK385" s="49"/>
      <c r="AL385" s="49"/>
      <c r="AM385" s="49"/>
      <c r="AN385" s="49"/>
      <c r="AO385" s="49"/>
    </row>
    <row r="386" spans="3:41" ht="12.75" customHeight="1">
      <c r="C386" s="49"/>
      <c r="D386" s="49"/>
      <c r="E386" s="49"/>
      <c r="F386" s="49"/>
      <c r="G386" s="49"/>
      <c r="H386" s="49"/>
      <c r="I386" s="49"/>
      <c r="J386" s="49"/>
      <c r="K386" s="49"/>
      <c r="L386" s="49"/>
      <c r="M386" s="49"/>
      <c r="S386" s="49"/>
      <c r="T386" s="49"/>
      <c r="U386" s="49"/>
      <c r="W386" s="49"/>
      <c r="X386" s="49"/>
      <c r="Y386" s="49"/>
      <c r="Z386" s="49"/>
      <c r="AA386" s="49"/>
      <c r="AB386" s="49"/>
      <c r="AC386" s="49"/>
      <c r="AD386" s="49"/>
      <c r="AE386" s="49"/>
      <c r="AF386" s="49"/>
      <c r="AG386" s="49"/>
      <c r="AH386" s="49"/>
      <c r="AI386" s="49"/>
      <c r="AJ386" s="49"/>
      <c r="AK386" s="49"/>
      <c r="AL386" s="49"/>
      <c r="AM386" s="49"/>
      <c r="AN386" s="49"/>
      <c r="AO386" s="49"/>
    </row>
    <row r="387" spans="3:41" ht="12.75" customHeight="1">
      <c r="C387" s="49"/>
      <c r="D387" s="49"/>
      <c r="E387" s="49"/>
      <c r="F387" s="49"/>
      <c r="G387" s="49"/>
      <c r="H387" s="49"/>
      <c r="I387" s="49"/>
      <c r="J387" s="49"/>
      <c r="K387" s="49"/>
      <c r="L387" s="49"/>
      <c r="M387" s="49"/>
      <c r="S387" s="49"/>
      <c r="T387" s="49"/>
      <c r="U387" s="49"/>
      <c r="W387" s="49"/>
      <c r="X387" s="49"/>
      <c r="Y387" s="49"/>
      <c r="Z387" s="49"/>
      <c r="AA387" s="49"/>
      <c r="AB387" s="49"/>
      <c r="AC387" s="49"/>
      <c r="AD387" s="49"/>
      <c r="AE387" s="49"/>
      <c r="AF387" s="49"/>
      <c r="AG387" s="49"/>
      <c r="AH387" s="49"/>
      <c r="AI387" s="49"/>
      <c r="AJ387" s="49"/>
      <c r="AK387" s="49"/>
      <c r="AL387" s="49"/>
      <c r="AM387" s="49"/>
      <c r="AN387" s="49"/>
      <c r="AO387" s="49"/>
    </row>
    <row r="388" spans="3:41" ht="12.75" customHeight="1">
      <c r="C388" s="49"/>
      <c r="D388" s="49"/>
      <c r="E388" s="49"/>
      <c r="F388" s="49"/>
      <c r="G388" s="49"/>
      <c r="H388" s="49"/>
      <c r="I388" s="49"/>
      <c r="J388" s="49"/>
      <c r="K388" s="49"/>
      <c r="L388" s="49"/>
      <c r="M388" s="49"/>
      <c r="S388" s="49"/>
      <c r="T388" s="49"/>
      <c r="U388" s="49"/>
      <c r="W388" s="49"/>
      <c r="X388" s="49"/>
      <c r="Y388" s="49"/>
      <c r="Z388" s="49"/>
      <c r="AA388" s="49"/>
      <c r="AB388" s="49"/>
      <c r="AC388" s="49"/>
      <c r="AD388" s="49"/>
      <c r="AE388" s="49"/>
      <c r="AF388" s="49"/>
      <c r="AG388" s="49"/>
      <c r="AH388" s="49"/>
      <c r="AI388" s="49"/>
      <c r="AJ388" s="49"/>
      <c r="AK388" s="49"/>
      <c r="AL388" s="49"/>
      <c r="AM388" s="49"/>
      <c r="AN388" s="49"/>
      <c r="AO388" s="49"/>
    </row>
    <row r="389" spans="3:41" ht="12.75" customHeight="1">
      <c r="C389" s="49"/>
      <c r="D389" s="49"/>
      <c r="E389" s="49"/>
      <c r="F389" s="49"/>
      <c r="G389" s="49"/>
      <c r="H389" s="49"/>
      <c r="I389" s="49"/>
      <c r="J389" s="49"/>
      <c r="K389" s="49"/>
      <c r="L389" s="49"/>
      <c r="M389" s="49"/>
      <c r="S389" s="49"/>
      <c r="T389" s="49"/>
      <c r="U389" s="49"/>
      <c r="W389" s="49"/>
      <c r="X389" s="49"/>
      <c r="Y389" s="49"/>
      <c r="Z389" s="49"/>
      <c r="AA389" s="49"/>
      <c r="AB389" s="49"/>
      <c r="AC389" s="49"/>
      <c r="AD389" s="49"/>
      <c r="AE389" s="49"/>
      <c r="AF389" s="49"/>
      <c r="AG389" s="49"/>
      <c r="AH389" s="49"/>
      <c r="AI389" s="49"/>
      <c r="AJ389" s="49"/>
      <c r="AK389" s="49"/>
      <c r="AL389" s="49"/>
      <c r="AM389" s="49"/>
      <c r="AN389" s="49"/>
      <c r="AO389" s="49"/>
    </row>
    <row r="390" spans="3:41" ht="12.75" customHeight="1">
      <c r="C390" s="49"/>
      <c r="D390" s="49"/>
      <c r="E390" s="49"/>
      <c r="F390" s="49"/>
      <c r="G390" s="49"/>
      <c r="H390" s="49"/>
      <c r="I390" s="49"/>
      <c r="J390" s="49"/>
      <c r="K390" s="49"/>
      <c r="L390" s="49"/>
      <c r="M390" s="49"/>
      <c r="S390" s="49"/>
      <c r="T390" s="49"/>
      <c r="U390" s="49"/>
      <c r="W390" s="49"/>
      <c r="X390" s="49"/>
      <c r="Y390" s="49"/>
      <c r="Z390" s="49"/>
      <c r="AA390" s="49"/>
      <c r="AB390" s="49"/>
      <c r="AC390" s="49"/>
      <c r="AD390" s="49"/>
      <c r="AE390" s="49"/>
      <c r="AF390" s="49"/>
      <c r="AG390" s="49"/>
      <c r="AH390" s="49"/>
      <c r="AI390" s="49"/>
      <c r="AJ390" s="49"/>
      <c r="AK390" s="49"/>
      <c r="AL390" s="49"/>
      <c r="AM390" s="49"/>
      <c r="AN390" s="49"/>
      <c r="AO390" s="49"/>
    </row>
    <row r="391" spans="3:41" ht="12.75" customHeight="1">
      <c r="C391" s="49"/>
      <c r="D391" s="49"/>
      <c r="E391" s="49"/>
      <c r="F391" s="49"/>
      <c r="G391" s="49"/>
      <c r="H391" s="49"/>
      <c r="I391" s="49"/>
      <c r="J391" s="49"/>
      <c r="K391" s="49"/>
      <c r="L391" s="49"/>
      <c r="M391" s="49"/>
      <c r="S391" s="49"/>
      <c r="T391" s="49"/>
      <c r="U391" s="49"/>
      <c r="W391" s="49"/>
      <c r="X391" s="49"/>
      <c r="Y391" s="49"/>
      <c r="Z391" s="49"/>
      <c r="AA391" s="49"/>
      <c r="AB391" s="49"/>
      <c r="AC391" s="49"/>
      <c r="AD391" s="49"/>
      <c r="AE391" s="49"/>
      <c r="AF391" s="49"/>
      <c r="AG391" s="49"/>
      <c r="AH391" s="49"/>
      <c r="AI391" s="49"/>
      <c r="AJ391" s="49"/>
      <c r="AK391" s="49"/>
      <c r="AL391" s="49"/>
      <c r="AM391" s="49"/>
      <c r="AN391" s="49"/>
      <c r="AO391" s="49"/>
    </row>
    <row r="392" spans="3:41" ht="12.75" customHeight="1">
      <c r="C392" s="49"/>
      <c r="D392" s="49"/>
      <c r="E392" s="49"/>
      <c r="F392" s="49"/>
      <c r="G392" s="49"/>
      <c r="H392" s="49"/>
      <c r="I392" s="49"/>
      <c r="J392" s="49"/>
      <c r="K392" s="49"/>
      <c r="L392" s="49"/>
      <c r="M392" s="49"/>
      <c r="S392" s="49"/>
      <c r="T392" s="49"/>
      <c r="U392" s="49"/>
      <c r="W392" s="49"/>
      <c r="X392" s="49"/>
      <c r="Y392" s="49"/>
      <c r="Z392" s="49"/>
      <c r="AA392" s="49"/>
      <c r="AB392" s="49"/>
      <c r="AC392" s="49"/>
      <c r="AD392" s="49"/>
      <c r="AE392" s="49"/>
      <c r="AF392" s="49"/>
      <c r="AG392" s="49"/>
      <c r="AH392" s="49"/>
      <c r="AI392" s="49"/>
      <c r="AJ392" s="49"/>
      <c r="AK392" s="49"/>
      <c r="AL392" s="49"/>
      <c r="AM392" s="49"/>
      <c r="AN392" s="49"/>
      <c r="AO392" s="49"/>
    </row>
    <row r="393" spans="3:41" ht="12.75" customHeight="1">
      <c r="C393" s="49"/>
      <c r="D393" s="49"/>
      <c r="E393" s="49"/>
      <c r="F393" s="49"/>
      <c r="G393" s="49"/>
      <c r="H393" s="49"/>
      <c r="I393" s="49"/>
      <c r="J393" s="49"/>
      <c r="K393" s="49"/>
      <c r="L393" s="49"/>
      <c r="M393" s="49"/>
      <c r="S393" s="49"/>
      <c r="T393" s="49"/>
      <c r="U393" s="49"/>
      <c r="W393" s="49"/>
      <c r="X393" s="49"/>
      <c r="Y393" s="49"/>
      <c r="Z393" s="49"/>
      <c r="AA393" s="49"/>
      <c r="AB393" s="49"/>
      <c r="AC393" s="49"/>
      <c r="AD393" s="49"/>
      <c r="AE393" s="49"/>
      <c r="AF393" s="49"/>
      <c r="AG393" s="49"/>
      <c r="AH393" s="49"/>
      <c r="AI393" s="49"/>
      <c r="AJ393" s="49"/>
      <c r="AK393" s="49"/>
      <c r="AL393" s="49"/>
      <c r="AM393" s="49"/>
      <c r="AN393" s="49"/>
      <c r="AO393" s="49"/>
    </row>
    <row r="394" spans="3:41" ht="12.75" customHeight="1">
      <c r="C394" s="49"/>
      <c r="D394" s="49"/>
      <c r="E394" s="49"/>
      <c r="F394" s="49"/>
      <c r="G394" s="49"/>
      <c r="H394" s="49"/>
      <c r="I394" s="49"/>
      <c r="J394" s="49"/>
      <c r="K394" s="49"/>
      <c r="L394" s="49"/>
      <c r="M394" s="49"/>
      <c r="S394" s="49"/>
      <c r="T394" s="49"/>
      <c r="U394" s="49"/>
      <c r="W394" s="49"/>
      <c r="X394" s="49"/>
      <c r="Y394" s="49"/>
      <c r="Z394" s="49"/>
      <c r="AA394" s="49"/>
      <c r="AB394" s="49"/>
      <c r="AC394" s="49"/>
      <c r="AD394" s="49"/>
      <c r="AE394" s="49"/>
      <c r="AF394" s="49"/>
      <c r="AG394" s="49"/>
      <c r="AH394" s="49"/>
      <c r="AI394" s="49"/>
      <c r="AJ394" s="49"/>
      <c r="AK394" s="49"/>
      <c r="AL394" s="49"/>
      <c r="AM394" s="49"/>
      <c r="AN394" s="49"/>
      <c r="AO394" s="49"/>
    </row>
    <row r="395" spans="3:41" ht="12.75" customHeight="1">
      <c r="C395" s="49"/>
      <c r="D395" s="49"/>
      <c r="E395" s="49"/>
      <c r="F395" s="49"/>
      <c r="G395" s="49"/>
      <c r="H395" s="49"/>
      <c r="I395" s="49"/>
      <c r="J395" s="49"/>
      <c r="K395" s="49"/>
      <c r="L395" s="49"/>
      <c r="M395" s="49"/>
      <c r="S395" s="49"/>
      <c r="T395" s="49"/>
      <c r="U395" s="49"/>
      <c r="W395" s="49"/>
      <c r="X395" s="49"/>
      <c r="Y395" s="49"/>
      <c r="Z395" s="49"/>
      <c r="AA395" s="49"/>
      <c r="AB395" s="49"/>
      <c r="AC395" s="49"/>
      <c r="AD395" s="49"/>
      <c r="AE395" s="49"/>
      <c r="AF395" s="49"/>
      <c r="AG395" s="49"/>
      <c r="AH395" s="49"/>
      <c r="AI395" s="49"/>
      <c r="AJ395" s="49"/>
      <c r="AK395" s="49"/>
      <c r="AL395" s="49"/>
      <c r="AM395" s="49"/>
      <c r="AN395" s="49"/>
      <c r="AO395" s="49"/>
    </row>
    <row r="396" spans="3:41" ht="12.75" customHeight="1">
      <c r="C396" s="49"/>
      <c r="D396" s="49"/>
      <c r="E396" s="49"/>
      <c r="F396" s="49"/>
      <c r="G396" s="49"/>
      <c r="H396" s="49"/>
      <c r="I396" s="49"/>
      <c r="J396" s="49"/>
      <c r="K396" s="49"/>
      <c r="L396" s="49"/>
      <c r="M396" s="49"/>
      <c r="S396" s="49"/>
      <c r="T396" s="49"/>
      <c r="U396" s="49"/>
      <c r="W396" s="49"/>
      <c r="X396" s="49"/>
      <c r="Y396" s="49"/>
      <c r="Z396" s="49"/>
      <c r="AA396" s="49"/>
      <c r="AB396" s="49"/>
      <c r="AC396" s="49"/>
      <c r="AD396" s="49"/>
      <c r="AE396" s="49"/>
      <c r="AF396" s="49"/>
      <c r="AG396" s="49"/>
      <c r="AH396" s="49"/>
      <c r="AI396" s="49"/>
      <c r="AJ396" s="49"/>
      <c r="AK396" s="49"/>
      <c r="AL396" s="49"/>
      <c r="AM396" s="49"/>
      <c r="AN396" s="49"/>
      <c r="AO396" s="49"/>
    </row>
    <row r="397" spans="3:41" ht="12.75" customHeight="1">
      <c r="C397" s="49"/>
      <c r="D397" s="49"/>
      <c r="E397" s="49"/>
      <c r="F397" s="49"/>
      <c r="G397" s="49"/>
      <c r="H397" s="49"/>
      <c r="I397" s="49"/>
      <c r="J397" s="49"/>
      <c r="K397" s="49"/>
      <c r="L397" s="49"/>
      <c r="M397" s="49"/>
      <c r="S397" s="49"/>
      <c r="T397" s="49"/>
      <c r="U397" s="49"/>
      <c r="W397" s="49"/>
      <c r="X397" s="49"/>
      <c r="Y397" s="49"/>
      <c r="Z397" s="49"/>
      <c r="AA397" s="49"/>
      <c r="AB397" s="49"/>
      <c r="AC397" s="49"/>
      <c r="AD397" s="49"/>
      <c r="AE397" s="49"/>
      <c r="AF397" s="49"/>
      <c r="AG397" s="49"/>
      <c r="AH397" s="49"/>
      <c r="AI397" s="49"/>
      <c r="AJ397" s="49"/>
      <c r="AK397" s="49"/>
      <c r="AL397" s="49"/>
      <c r="AM397" s="49"/>
      <c r="AN397" s="49"/>
      <c r="AO397" s="49"/>
    </row>
    <row r="398" spans="3:41" ht="12.75" customHeight="1">
      <c r="C398" s="49"/>
      <c r="D398" s="49"/>
      <c r="E398" s="49"/>
      <c r="F398" s="49"/>
      <c r="G398" s="49"/>
      <c r="H398" s="49"/>
      <c r="I398" s="49"/>
      <c r="J398" s="49"/>
      <c r="K398" s="49"/>
      <c r="L398" s="49"/>
      <c r="M398" s="49"/>
      <c r="S398" s="49"/>
      <c r="T398" s="49"/>
      <c r="U398" s="49"/>
      <c r="W398" s="49"/>
      <c r="X398" s="49"/>
      <c r="Y398" s="49"/>
      <c r="Z398" s="49"/>
      <c r="AA398" s="49"/>
      <c r="AB398" s="49"/>
      <c r="AC398" s="49"/>
      <c r="AD398" s="49"/>
      <c r="AE398" s="49"/>
      <c r="AF398" s="49"/>
      <c r="AG398" s="49"/>
      <c r="AH398" s="49"/>
      <c r="AI398" s="49"/>
      <c r="AJ398" s="49"/>
      <c r="AK398" s="49"/>
      <c r="AL398" s="49"/>
      <c r="AM398" s="49"/>
      <c r="AN398" s="49"/>
      <c r="AO398" s="49"/>
    </row>
    <row r="399" spans="3:41" ht="12.75" customHeight="1">
      <c r="C399" s="49"/>
      <c r="D399" s="49"/>
      <c r="E399" s="49"/>
      <c r="F399" s="49"/>
      <c r="G399" s="49"/>
      <c r="H399" s="49"/>
      <c r="I399" s="49"/>
      <c r="J399" s="49"/>
      <c r="K399" s="49"/>
      <c r="L399" s="49"/>
      <c r="M399" s="49"/>
      <c r="S399" s="49"/>
      <c r="T399" s="49"/>
      <c r="U399" s="49"/>
      <c r="W399" s="49"/>
      <c r="X399" s="49"/>
      <c r="Y399" s="49"/>
      <c r="Z399" s="49"/>
      <c r="AA399" s="49"/>
      <c r="AB399" s="49"/>
      <c r="AC399" s="49"/>
      <c r="AD399" s="49"/>
      <c r="AE399" s="49"/>
      <c r="AF399" s="49"/>
      <c r="AG399" s="49"/>
      <c r="AH399" s="49"/>
      <c r="AI399" s="49"/>
      <c r="AJ399" s="49"/>
      <c r="AK399" s="49"/>
      <c r="AL399" s="49"/>
      <c r="AM399" s="49"/>
      <c r="AN399" s="49"/>
      <c r="AO399" s="49"/>
    </row>
    <row r="400" spans="3:41" ht="12.75" customHeight="1">
      <c r="C400" s="49"/>
      <c r="D400" s="49"/>
      <c r="E400" s="49"/>
      <c r="F400" s="49"/>
      <c r="G400" s="49"/>
      <c r="H400" s="49"/>
      <c r="I400" s="49"/>
      <c r="J400" s="49"/>
      <c r="K400" s="49"/>
      <c r="L400" s="49"/>
      <c r="M400" s="49"/>
      <c r="S400" s="49"/>
      <c r="T400" s="49"/>
      <c r="U400" s="49"/>
      <c r="W400" s="49"/>
      <c r="X400" s="49"/>
      <c r="Y400" s="49"/>
      <c r="Z400" s="49"/>
      <c r="AA400" s="49"/>
      <c r="AB400" s="49"/>
      <c r="AC400" s="49"/>
      <c r="AD400" s="49"/>
      <c r="AE400" s="49"/>
      <c r="AF400" s="49"/>
      <c r="AG400" s="49"/>
      <c r="AH400" s="49"/>
      <c r="AI400" s="49"/>
      <c r="AJ400" s="49"/>
      <c r="AK400" s="49"/>
      <c r="AL400" s="49"/>
      <c r="AM400" s="49"/>
      <c r="AN400" s="49"/>
      <c r="AO400" s="49"/>
    </row>
    <row r="401" spans="3:41" ht="12.75" customHeight="1">
      <c r="C401" s="49"/>
      <c r="D401" s="49"/>
      <c r="E401" s="49"/>
      <c r="F401" s="49"/>
      <c r="G401" s="49"/>
      <c r="H401" s="49"/>
      <c r="I401" s="49"/>
      <c r="J401" s="49"/>
      <c r="K401" s="49"/>
      <c r="L401" s="49"/>
      <c r="M401" s="49"/>
      <c r="S401" s="49"/>
      <c r="T401" s="49"/>
      <c r="U401" s="49"/>
      <c r="W401" s="49"/>
      <c r="X401" s="49"/>
      <c r="Y401" s="49"/>
      <c r="Z401" s="49"/>
      <c r="AA401" s="49"/>
      <c r="AB401" s="49"/>
      <c r="AC401" s="49"/>
      <c r="AD401" s="49"/>
      <c r="AE401" s="49"/>
      <c r="AF401" s="49"/>
      <c r="AG401" s="49"/>
      <c r="AH401" s="49"/>
      <c r="AI401" s="49"/>
      <c r="AJ401" s="49"/>
      <c r="AK401" s="49"/>
      <c r="AL401" s="49"/>
      <c r="AM401" s="49"/>
      <c r="AN401" s="49"/>
      <c r="AO401" s="49"/>
    </row>
    <row r="402" spans="3:41" ht="12.75" customHeight="1">
      <c r="C402" s="49"/>
      <c r="D402" s="49"/>
      <c r="E402" s="49"/>
      <c r="F402" s="49"/>
      <c r="G402" s="49"/>
      <c r="H402" s="49"/>
      <c r="I402" s="49"/>
      <c r="J402" s="49"/>
      <c r="K402" s="49"/>
      <c r="L402" s="49"/>
      <c r="M402" s="49"/>
      <c r="S402" s="49"/>
      <c r="T402" s="49"/>
      <c r="U402" s="49"/>
      <c r="W402" s="49"/>
      <c r="X402" s="49"/>
      <c r="Y402" s="49"/>
      <c r="Z402" s="49"/>
      <c r="AA402" s="49"/>
      <c r="AB402" s="49"/>
      <c r="AC402" s="49"/>
      <c r="AD402" s="49"/>
      <c r="AE402" s="49"/>
      <c r="AF402" s="49"/>
      <c r="AG402" s="49"/>
      <c r="AH402" s="49"/>
      <c r="AI402" s="49"/>
      <c r="AJ402" s="49"/>
      <c r="AK402" s="49"/>
      <c r="AL402" s="49"/>
      <c r="AM402" s="49"/>
      <c r="AN402" s="49"/>
      <c r="AO402" s="49"/>
    </row>
    <row r="403" spans="3:41" ht="12.75" customHeight="1">
      <c r="C403" s="49"/>
      <c r="D403" s="49"/>
      <c r="E403" s="49"/>
      <c r="F403" s="49"/>
      <c r="G403" s="49"/>
      <c r="H403" s="49"/>
      <c r="I403" s="49"/>
      <c r="J403" s="49"/>
      <c r="K403" s="49"/>
      <c r="L403" s="49"/>
      <c r="M403" s="49"/>
      <c r="S403" s="49"/>
      <c r="T403" s="49"/>
      <c r="U403" s="49"/>
      <c r="W403" s="49"/>
      <c r="X403" s="49"/>
      <c r="Y403" s="49"/>
      <c r="Z403" s="49"/>
      <c r="AA403" s="49"/>
      <c r="AB403" s="49"/>
      <c r="AC403" s="49"/>
      <c r="AD403" s="49"/>
      <c r="AE403" s="49"/>
      <c r="AF403" s="49"/>
      <c r="AG403" s="49"/>
      <c r="AH403" s="49"/>
      <c r="AI403" s="49"/>
      <c r="AJ403" s="49"/>
      <c r="AK403" s="49"/>
      <c r="AL403" s="49"/>
      <c r="AM403" s="49"/>
      <c r="AN403" s="49"/>
      <c r="AO403" s="49"/>
    </row>
    <row r="404" spans="3:41" ht="12.75" customHeight="1">
      <c r="C404" s="49"/>
      <c r="D404" s="49"/>
      <c r="E404" s="49"/>
      <c r="F404" s="49"/>
      <c r="G404" s="49"/>
      <c r="H404" s="49"/>
      <c r="I404" s="49"/>
      <c r="J404" s="49"/>
      <c r="K404" s="49"/>
      <c r="L404" s="49"/>
      <c r="M404" s="49"/>
      <c r="S404" s="49"/>
      <c r="T404" s="49"/>
      <c r="U404" s="49"/>
      <c r="W404" s="49"/>
      <c r="X404" s="49"/>
      <c r="Y404" s="49"/>
      <c r="Z404" s="49"/>
      <c r="AA404" s="49"/>
      <c r="AB404" s="49"/>
      <c r="AC404" s="49"/>
      <c r="AD404" s="49"/>
      <c r="AE404" s="49"/>
      <c r="AF404" s="49"/>
      <c r="AG404" s="49"/>
      <c r="AH404" s="49"/>
      <c r="AI404" s="49"/>
      <c r="AJ404" s="49"/>
      <c r="AK404" s="49"/>
      <c r="AL404" s="49"/>
      <c r="AM404" s="49"/>
      <c r="AN404" s="49"/>
      <c r="AO404" s="49"/>
    </row>
    <row r="405" spans="3:41" ht="12.75" customHeight="1">
      <c r="C405" s="49"/>
      <c r="D405" s="49"/>
      <c r="E405" s="49"/>
      <c r="F405" s="49"/>
      <c r="G405" s="49"/>
      <c r="H405" s="49"/>
      <c r="I405" s="49"/>
      <c r="J405" s="49"/>
      <c r="K405" s="49"/>
      <c r="L405" s="49"/>
      <c r="M405" s="49"/>
      <c r="S405" s="49"/>
      <c r="T405" s="49"/>
      <c r="U405" s="49"/>
      <c r="W405" s="49"/>
      <c r="X405" s="49"/>
      <c r="Y405" s="49"/>
      <c r="Z405" s="49"/>
      <c r="AA405" s="49"/>
      <c r="AB405" s="49"/>
      <c r="AC405" s="49"/>
      <c r="AD405" s="49"/>
      <c r="AE405" s="49"/>
      <c r="AF405" s="49"/>
      <c r="AG405" s="49"/>
      <c r="AH405" s="49"/>
      <c r="AI405" s="49"/>
      <c r="AJ405" s="49"/>
      <c r="AK405" s="49"/>
      <c r="AL405" s="49"/>
      <c r="AM405" s="49"/>
      <c r="AN405" s="49"/>
      <c r="AO405" s="49"/>
    </row>
    <row r="406" spans="3:41" ht="12.75" customHeight="1">
      <c r="C406" s="49"/>
      <c r="D406" s="49"/>
      <c r="E406" s="49"/>
      <c r="F406" s="49"/>
      <c r="G406" s="49"/>
      <c r="H406" s="49"/>
      <c r="I406" s="49"/>
      <c r="J406" s="49"/>
      <c r="K406" s="49"/>
      <c r="L406" s="49"/>
      <c r="M406" s="49"/>
      <c r="S406" s="49"/>
      <c r="T406" s="49"/>
      <c r="U406" s="49"/>
      <c r="W406" s="49"/>
      <c r="X406" s="49"/>
      <c r="Y406" s="49"/>
      <c r="Z406" s="49"/>
      <c r="AA406" s="49"/>
      <c r="AB406" s="49"/>
      <c r="AC406" s="49"/>
      <c r="AD406" s="49"/>
      <c r="AE406" s="49"/>
      <c r="AF406" s="49"/>
      <c r="AG406" s="49"/>
      <c r="AH406" s="49"/>
      <c r="AI406" s="49"/>
      <c r="AJ406" s="49"/>
      <c r="AK406" s="49"/>
      <c r="AL406" s="49"/>
      <c r="AM406" s="49"/>
      <c r="AN406" s="49"/>
      <c r="AO406" s="49"/>
    </row>
    <row r="407" spans="3:41" ht="12.75" customHeight="1">
      <c r="C407" s="49"/>
      <c r="D407" s="49"/>
      <c r="E407" s="49"/>
      <c r="F407" s="49"/>
      <c r="G407" s="49"/>
      <c r="H407" s="49"/>
      <c r="I407" s="49"/>
      <c r="J407" s="49"/>
      <c r="K407" s="49"/>
      <c r="L407" s="49"/>
      <c r="M407" s="49"/>
      <c r="S407" s="49"/>
      <c r="T407" s="49"/>
      <c r="U407" s="49"/>
      <c r="W407" s="49"/>
      <c r="X407" s="49"/>
      <c r="Y407" s="49"/>
      <c r="Z407" s="49"/>
      <c r="AA407" s="49"/>
      <c r="AB407" s="49"/>
      <c r="AC407" s="49"/>
      <c r="AD407" s="49"/>
      <c r="AE407" s="49"/>
      <c r="AF407" s="49"/>
      <c r="AG407" s="49"/>
      <c r="AH407" s="49"/>
      <c r="AI407" s="49"/>
      <c r="AJ407" s="49"/>
      <c r="AK407" s="49"/>
      <c r="AL407" s="49"/>
      <c r="AM407" s="49"/>
      <c r="AN407" s="49"/>
      <c r="AO407" s="49"/>
    </row>
    <row r="408" spans="3:41" ht="12.75" customHeight="1">
      <c r="C408" s="49"/>
      <c r="D408" s="49"/>
      <c r="E408" s="49"/>
      <c r="F408" s="49"/>
      <c r="G408" s="49"/>
      <c r="H408" s="49"/>
      <c r="I408" s="49"/>
      <c r="J408" s="49"/>
      <c r="K408" s="49"/>
      <c r="L408" s="49"/>
      <c r="M408" s="49"/>
      <c r="S408" s="49"/>
      <c r="T408" s="49"/>
      <c r="U408" s="49"/>
      <c r="W408" s="49"/>
      <c r="X408" s="49"/>
      <c r="Y408" s="49"/>
      <c r="Z408" s="49"/>
      <c r="AA408" s="49"/>
      <c r="AB408" s="49"/>
      <c r="AC408" s="49"/>
      <c r="AD408" s="49"/>
      <c r="AE408" s="49"/>
      <c r="AF408" s="49"/>
      <c r="AG408" s="49"/>
      <c r="AH408" s="49"/>
      <c r="AI408" s="49"/>
      <c r="AJ408" s="49"/>
      <c r="AK408" s="49"/>
      <c r="AL408" s="49"/>
      <c r="AM408" s="49"/>
      <c r="AN408" s="49"/>
      <c r="AO408" s="49"/>
    </row>
    <row r="409" spans="3:41" ht="12.75" customHeight="1">
      <c r="C409" s="49"/>
      <c r="D409" s="49"/>
      <c r="E409" s="49"/>
      <c r="F409" s="49"/>
      <c r="G409" s="49"/>
      <c r="H409" s="49"/>
      <c r="I409" s="49"/>
      <c r="J409" s="49"/>
      <c r="K409" s="49"/>
      <c r="L409" s="49"/>
      <c r="M409" s="49"/>
      <c r="S409" s="49"/>
      <c r="T409" s="49"/>
      <c r="U409" s="49"/>
      <c r="W409" s="49"/>
      <c r="X409" s="49"/>
      <c r="Y409" s="49"/>
      <c r="Z409" s="49"/>
      <c r="AA409" s="49"/>
      <c r="AB409" s="49"/>
      <c r="AC409" s="49"/>
      <c r="AD409" s="49"/>
      <c r="AE409" s="49"/>
      <c r="AF409" s="49"/>
      <c r="AG409" s="49"/>
      <c r="AH409" s="49"/>
      <c r="AI409" s="49"/>
      <c r="AJ409" s="49"/>
      <c r="AK409" s="49"/>
      <c r="AL409" s="49"/>
      <c r="AM409" s="49"/>
      <c r="AN409" s="49"/>
      <c r="AO409" s="49"/>
    </row>
    <row r="410" spans="3:41" ht="12.75" customHeight="1">
      <c r="C410" s="49"/>
      <c r="D410" s="49"/>
      <c r="E410" s="49"/>
      <c r="F410" s="49"/>
      <c r="G410" s="49"/>
      <c r="H410" s="49"/>
      <c r="I410" s="49"/>
      <c r="J410" s="49"/>
      <c r="K410" s="49"/>
      <c r="L410" s="49"/>
      <c r="M410" s="49"/>
      <c r="S410" s="49"/>
      <c r="T410" s="49"/>
      <c r="U410" s="49"/>
      <c r="W410" s="49"/>
      <c r="X410" s="49"/>
      <c r="Y410" s="49"/>
      <c r="Z410" s="49"/>
      <c r="AA410" s="49"/>
      <c r="AB410" s="49"/>
      <c r="AC410" s="49"/>
      <c r="AD410" s="49"/>
      <c r="AE410" s="49"/>
      <c r="AF410" s="49"/>
      <c r="AG410" s="49"/>
      <c r="AH410" s="49"/>
      <c r="AI410" s="49"/>
      <c r="AJ410" s="49"/>
      <c r="AK410" s="49"/>
      <c r="AL410" s="49"/>
      <c r="AM410" s="49"/>
      <c r="AN410" s="49"/>
      <c r="AO410" s="49"/>
    </row>
    <row r="411" spans="3:41" ht="12.75" customHeight="1">
      <c r="C411" s="49"/>
      <c r="D411" s="49"/>
      <c r="E411" s="49"/>
      <c r="F411" s="49"/>
      <c r="G411" s="49"/>
      <c r="H411" s="49"/>
      <c r="I411" s="49"/>
      <c r="J411" s="49"/>
      <c r="K411" s="49"/>
      <c r="L411" s="49"/>
      <c r="M411" s="49"/>
      <c r="S411" s="49"/>
      <c r="T411" s="49"/>
      <c r="U411" s="49"/>
      <c r="W411" s="49"/>
      <c r="X411" s="49"/>
      <c r="Y411" s="49"/>
      <c r="Z411" s="49"/>
      <c r="AA411" s="49"/>
      <c r="AB411" s="49"/>
      <c r="AC411" s="49"/>
      <c r="AD411" s="49"/>
      <c r="AE411" s="49"/>
      <c r="AF411" s="49"/>
      <c r="AG411" s="49"/>
      <c r="AH411" s="49"/>
      <c r="AI411" s="49"/>
      <c r="AJ411" s="49"/>
      <c r="AK411" s="49"/>
      <c r="AL411" s="49"/>
      <c r="AM411" s="49"/>
      <c r="AN411" s="49"/>
      <c r="AO411" s="49"/>
    </row>
    <row r="412" spans="3:41" ht="12.75" customHeight="1">
      <c r="C412" s="49"/>
      <c r="D412" s="49"/>
      <c r="E412" s="49"/>
      <c r="F412" s="49"/>
      <c r="G412" s="49"/>
      <c r="H412" s="49"/>
      <c r="I412" s="49"/>
      <c r="J412" s="49"/>
      <c r="K412" s="49"/>
      <c r="L412" s="49"/>
      <c r="M412" s="49"/>
      <c r="S412" s="49"/>
      <c r="T412" s="49"/>
      <c r="U412" s="49"/>
      <c r="W412" s="49"/>
      <c r="X412" s="49"/>
      <c r="Y412" s="49"/>
      <c r="Z412" s="49"/>
      <c r="AA412" s="49"/>
      <c r="AB412" s="49"/>
      <c r="AC412" s="49"/>
      <c r="AD412" s="49"/>
      <c r="AE412" s="49"/>
      <c r="AF412" s="49"/>
      <c r="AG412" s="49"/>
      <c r="AH412" s="49"/>
      <c r="AI412" s="49"/>
      <c r="AJ412" s="49"/>
      <c r="AK412" s="49"/>
      <c r="AL412" s="49"/>
      <c r="AM412" s="49"/>
      <c r="AN412" s="49"/>
      <c r="AO412" s="49"/>
    </row>
    <row r="413" spans="3:41" ht="12.75" customHeight="1">
      <c r="C413" s="49"/>
      <c r="D413" s="49"/>
      <c r="E413" s="49"/>
      <c r="F413" s="49"/>
      <c r="G413" s="49"/>
      <c r="H413" s="49"/>
      <c r="I413" s="49"/>
      <c r="J413" s="49"/>
      <c r="K413" s="49"/>
      <c r="L413" s="49"/>
      <c r="M413" s="49"/>
      <c r="S413" s="49"/>
      <c r="T413" s="49"/>
      <c r="U413" s="49"/>
      <c r="W413" s="49"/>
      <c r="X413" s="49"/>
      <c r="Y413" s="49"/>
      <c r="Z413" s="49"/>
      <c r="AA413" s="49"/>
      <c r="AB413" s="49"/>
      <c r="AC413" s="49"/>
      <c r="AD413" s="49"/>
      <c r="AE413" s="49"/>
      <c r="AF413" s="49"/>
      <c r="AG413" s="49"/>
      <c r="AH413" s="49"/>
      <c r="AI413" s="49"/>
      <c r="AJ413" s="49"/>
      <c r="AK413" s="49"/>
      <c r="AL413" s="49"/>
      <c r="AM413" s="49"/>
      <c r="AN413" s="49"/>
      <c r="AO413" s="49"/>
    </row>
    <row r="414" spans="3:41" ht="12.75" customHeight="1">
      <c r="C414" s="49"/>
      <c r="D414" s="49"/>
      <c r="E414" s="49"/>
      <c r="F414" s="49"/>
      <c r="G414" s="49"/>
      <c r="H414" s="49"/>
      <c r="I414" s="49"/>
      <c r="J414" s="49"/>
      <c r="K414" s="49"/>
      <c r="L414" s="49"/>
      <c r="M414" s="49"/>
      <c r="S414" s="49"/>
      <c r="T414" s="49"/>
      <c r="U414" s="49"/>
      <c r="W414" s="49"/>
      <c r="X414" s="49"/>
      <c r="Y414" s="49"/>
      <c r="Z414" s="49"/>
      <c r="AA414" s="49"/>
      <c r="AB414" s="49"/>
      <c r="AC414" s="49"/>
      <c r="AD414" s="49"/>
      <c r="AE414" s="49"/>
      <c r="AF414" s="49"/>
      <c r="AG414" s="49"/>
      <c r="AH414" s="49"/>
      <c r="AI414" s="49"/>
      <c r="AJ414" s="49"/>
      <c r="AK414" s="49"/>
      <c r="AL414" s="49"/>
      <c r="AM414" s="49"/>
      <c r="AN414" s="49"/>
      <c r="AO414" s="49"/>
    </row>
    <row r="415" spans="3:41" ht="12.75" customHeight="1">
      <c r="C415" s="49"/>
      <c r="D415" s="49"/>
      <c r="E415" s="49"/>
      <c r="F415" s="49"/>
      <c r="G415" s="49"/>
      <c r="H415" s="49"/>
      <c r="I415" s="49"/>
      <c r="J415" s="49"/>
      <c r="K415" s="49"/>
      <c r="L415" s="49"/>
      <c r="M415" s="49"/>
      <c r="S415" s="49"/>
      <c r="T415" s="49"/>
      <c r="U415" s="49"/>
      <c r="W415" s="49"/>
      <c r="X415" s="49"/>
      <c r="Y415" s="49"/>
      <c r="Z415" s="49"/>
      <c r="AA415" s="49"/>
      <c r="AB415" s="49"/>
      <c r="AC415" s="49"/>
      <c r="AD415" s="49"/>
      <c r="AE415" s="49"/>
      <c r="AF415" s="49"/>
      <c r="AG415" s="49"/>
      <c r="AH415" s="49"/>
      <c r="AI415" s="49"/>
      <c r="AJ415" s="49"/>
      <c r="AK415" s="49"/>
      <c r="AL415" s="49"/>
      <c r="AM415" s="49"/>
      <c r="AN415" s="49"/>
      <c r="AO415" s="49"/>
    </row>
    <row r="416" spans="3:41" ht="12.75" customHeight="1">
      <c r="C416" s="49"/>
      <c r="D416" s="49"/>
      <c r="E416" s="49"/>
      <c r="F416" s="49"/>
      <c r="G416" s="49"/>
      <c r="H416" s="49"/>
      <c r="I416" s="49"/>
      <c r="J416" s="49"/>
      <c r="K416" s="49"/>
      <c r="L416" s="49"/>
      <c r="M416" s="49"/>
      <c r="S416" s="49"/>
      <c r="T416" s="49"/>
      <c r="U416" s="49"/>
      <c r="W416" s="49"/>
      <c r="X416" s="49"/>
      <c r="Y416" s="49"/>
      <c r="Z416" s="49"/>
      <c r="AA416" s="49"/>
      <c r="AB416" s="49"/>
      <c r="AC416" s="49"/>
      <c r="AD416" s="49"/>
      <c r="AE416" s="49"/>
      <c r="AF416" s="49"/>
      <c r="AG416" s="49"/>
      <c r="AH416" s="49"/>
      <c r="AI416" s="49"/>
      <c r="AJ416" s="49"/>
      <c r="AK416" s="49"/>
      <c r="AL416" s="49"/>
      <c r="AM416" s="49"/>
      <c r="AN416" s="49"/>
      <c r="AO416" s="49"/>
    </row>
    <row r="417" spans="3:41" ht="12.75" customHeight="1">
      <c r="C417" s="49"/>
      <c r="D417" s="49"/>
      <c r="E417" s="49"/>
      <c r="F417" s="49"/>
      <c r="G417" s="49"/>
      <c r="H417" s="49"/>
      <c r="I417" s="49"/>
      <c r="J417" s="49"/>
      <c r="K417" s="49"/>
      <c r="L417" s="49"/>
      <c r="M417" s="49"/>
      <c r="S417" s="49"/>
      <c r="T417" s="49"/>
      <c r="U417" s="49"/>
      <c r="W417" s="49"/>
      <c r="X417" s="49"/>
      <c r="Y417" s="49"/>
      <c r="Z417" s="49"/>
      <c r="AA417" s="49"/>
      <c r="AB417" s="49"/>
      <c r="AC417" s="49"/>
      <c r="AD417" s="49"/>
      <c r="AE417" s="49"/>
      <c r="AF417" s="49"/>
      <c r="AG417" s="49"/>
      <c r="AH417" s="49"/>
      <c r="AI417" s="49"/>
      <c r="AJ417" s="49"/>
      <c r="AK417" s="49"/>
      <c r="AL417" s="49"/>
      <c r="AM417" s="49"/>
      <c r="AN417" s="49"/>
      <c r="AO417" s="49"/>
    </row>
    <row r="418" spans="3:41" ht="12.75" customHeight="1">
      <c r="C418" s="49"/>
      <c r="D418" s="49"/>
      <c r="E418" s="49"/>
      <c r="F418" s="49"/>
      <c r="G418" s="49"/>
      <c r="H418" s="49"/>
      <c r="I418" s="49"/>
      <c r="J418" s="49"/>
      <c r="K418" s="49"/>
      <c r="L418" s="49"/>
      <c r="M418" s="49"/>
      <c r="S418" s="49"/>
      <c r="T418" s="49"/>
      <c r="U418" s="49"/>
      <c r="W418" s="49"/>
      <c r="X418" s="49"/>
      <c r="Y418" s="49"/>
      <c r="Z418" s="49"/>
      <c r="AA418" s="49"/>
      <c r="AB418" s="49"/>
      <c r="AC418" s="49"/>
      <c r="AD418" s="49"/>
      <c r="AE418" s="49"/>
      <c r="AF418" s="49"/>
      <c r="AG418" s="49"/>
      <c r="AH418" s="49"/>
      <c r="AI418" s="49"/>
      <c r="AJ418" s="49"/>
      <c r="AK418" s="49"/>
      <c r="AL418" s="49"/>
      <c r="AM418" s="49"/>
      <c r="AN418" s="49"/>
      <c r="AO418" s="49"/>
    </row>
    <row r="419" spans="3:41" ht="12.75" customHeight="1">
      <c r="C419" s="49"/>
      <c r="D419" s="49"/>
      <c r="E419" s="49"/>
      <c r="F419" s="49"/>
      <c r="G419" s="49"/>
      <c r="H419" s="49"/>
      <c r="I419" s="49"/>
      <c r="J419" s="49"/>
      <c r="K419" s="49"/>
      <c r="L419" s="49"/>
      <c r="M419" s="49"/>
      <c r="S419" s="49"/>
      <c r="T419" s="49"/>
      <c r="U419" s="49"/>
      <c r="W419" s="49"/>
      <c r="X419" s="49"/>
      <c r="Y419" s="49"/>
      <c r="Z419" s="49"/>
      <c r="AA419" s="49"/>
      <c r="AB419" s="49"/>
      <c r="AC419" s="49"/>
      <c r="AD419" s="49"/>
      <c r="AE419" s="49"/>
      <c r="AF419" s="49"/>
      <c r="AG419" s="49"/>
      <c r="AH419" s="49"/>
      <c r="AI419" s="49"/>
      <c r="AJ419" s="49"/>
      <c r="AK419" s="49"/>
      <c r="AL419" s="49"/>
      <c r="AM419" s="49"/>
      <c r="AN419" s="49"/>
      <c r="AO419" s="49"/>
    </row>
    <row r="420" spans="3:41" ht="12.75" customHeight="1">
      <c r="C420" s="49"/>
      <c r="D420" s="49"/>
      <c r="E420" s="49"/>
      <c r="F420" s="49"/>
      <c r="G420" s="49"/>
      <c r="H420" s="49"/>
      <c r="I420" s="49"/>
      <c r="J420" s="49"/>
      <c r="K420" s="49"/>
      <c r="L420" s="49"/>
      <c r="M420" s="49"/>
      <c r="S420" s="49"/>
      <c r="T420" s="49"/>
      <c r="U420" s="49"/>
      <c r="W420" s="49"/>
      <c r="X420" s="49"/>
      <c r="Y420" s="49"/>
      <c r="Z420" s="49"/>
      <c r="AA420" s="49"/>
      <c r="AB420" s="49"/>
      <c r="AC420" s="49"/>
      <c r="AD420" s="49"/>
      <c r="AE420" s="49"/>
      <c r="AF420" s="49"/>
      <c r="AG420" s="49"/>
      <c r="AH420" s="49"/>
      <c r="AI420" s="49"/>
      <c r="AJ420" s="49"/>
      <c r="AK420" s="49"/>
      <c r="AL420" s="49"/>
      <c r="AM420" s="49"/>
      <c r="AN420" s="49"/>
      <c r="AO420" s="49"/>
    </row>
    <row r="421" spans="3:41" ht="12.75" customHeight="1">
      <c r="C421" s="49"/>
      <c r="D421" s="49"/>
      <c r="E421" s="49"/>
      <c r="F421" s="49"/>
      <c r="G421" s="49"/>
      <c r="H421" s="49"/>
      <c r="I421" s="49"/>
      <c r="J421" s="49"/>
      <c r="K421" s="49"/>
      <c r="L421" s="49"/>
      <c r="M421" s="49"/>
      <c r="S421" s="49"/>
      <c r="T421" s="49"/>
      <c r="U421" s="49"/>
      <c r="W421" s="49"/>
      <c r="X421" s="49"/>
      <c r="Y421" s="49"/>
      <c r="Z421" s="49"/>
      <c r="AA421" s="49"/>
      <c r="AB421" s="49"/>
      <c r="AC421" s="49"/>
      <c r="AD421" s="49"/>
      <c r="AE421" s="49"/>
      <c r="AF421" s="49"/>
      <c r="AG421" s="49"/>
      <c r="AH421" s="49"/>
      <c r="AI421" s="49"/>
      <c r="AJ421" s="49"/>
      <c r="AK421" s="49"/>
      <c r="AL421" s="49"/>
      <c r="AM421" s="49"/>
      <c r="AN421" s="49"/>
      <c r="AO421" s="49"/>
    </row>
    <row r="422" spans="3:41" ht="12.75" customHeight="1">
      <c r="C422" s="49"/>
      <c r="D422" s="49"/>
      <c r="E422" s="49"/>
      <c r="F422" s="49"/>
      <c r="G422" s="49"/>
      <c r="H422" s="49"/>
      <c r="I422" s="49"/>
      <c r="J422" s="49"/>
      <c r="K422" s="49"/>
      <c r="L422" s="49"/>
      <c r="M422" s="49"/>
      <c r="S422" s="49"/>
      <c r="T422" s="49"/>
      <c r="U422" s="49"/>
      <c r="W422" s="49"/>
      <c r="X422" s="49"/>
      <c r="Y422" s="49"/>
      <c r="Z422" s="49"/>
      <c r="AA422" s="49"/>
      <c r="AB422" s="49"/>
      <c r="AC422" s="49"/>
      <c r="AD422" s="49"/>
      <c r="AE422" s="49"/>
      <c r="AF422" s="49"/>
      <c r="AG422" s="49"/>
      <c r="AH422" s="49"/>
      <c r="AI422" s="49"/>
      <c r="AJ422" s="49"/>
      <c r="AK422" s="49"/>
      <c r="AL422" s="49"/>
      <c r="AM422" s="49"/>
      <c r="AN422" s="49"/>
      <c r="AO422" s="49"/>
    </row>
    <row r="423" spans="3:41" ht="12.75" customHeight="1">
      <c r="C423" s="49"/>
      <c r="D423" s="49"/>
      <c r="E423" s="49"/>
      <c r="F423" s="49"/>
      <c r="G423" s="49"/>
      <c r="H423" s="49"/>
      <c r="I423" s="49"/>
      <c r="J423" s="49"/>
      <c r="K423" s="49"/>
      <c r="L423" s="49"/>
      <c r="M423" s="49"/>
      <c r="S423" s="49"/>
      <c r="T423" s="49"/>
      <c r="U423" s="49"/>
      <c r="W423" s="49"/>
      <c r="X423" s="49"/>
      <c r="Y423" s="49"/>
      <c r="Z423" s="49"/>
      <c r="AA423" s="49"/>
      <c r="AB423" s="49"/>
      <c r="AC423" s="49"/>
      <c r="AD423" s="49"/>
      <c r="AE423" s="49"/>
      <c r="AF423" s="49"/>
      <c r="AG423" s="49"/>
      <c r="AH423" s="49"/>
      <c r="AI423" s="49"/>
      <c r="AJ423" s="49"/>
      <c r="AK423" s="49"/>
      <c r="AL423" s="49"/>
      <c r="AM423" s="49"/>
      <c r="AN423" s="49"/>
      <c r="AO423" s="49"/>
    </row>
    <row r="424" spans="3:41" ht="12.75" customHeight="1">
      <c r="C424" s="49"/>
      <c r="D424" s="49"/>
      <c r="E424" s="49"/>
      <c r="F424" s="49"/>
      <c r="G424" s="49"/>
      <c r="H424" s="49"/>
      <c r="I424" s="49"/>
      <c r="J424" s="49"/>
      <c r="K424" s="49"/>
      <c r="L424" s="49"/>
      <c r="M424" s="49"/>
      <c r="S424" s="49"/>
      <c r="T424" s="49"/>
      <c r="U424" s="49"/>
      <c r="W424" s="49"/>
      <c r="X424" s="49"/>
      <c r="Y424" s="49"/>
      <c r="Z424" s="49"/>
      <c r="AA424" s="49"/>
      <c r="AB424" s="49"/>
      <c r="AC424" s="49"/>
      <c r="AD424" s="49"/>
      <c r="AE424" s="49"/>
      <c r="AF424" s="49"/>
      <c r="AG424" s="49"/>
      <c r="AH424" s="49"/>
      <c r="AI424" s="49"/>
      <c r="AJ424" s="49"/>
      <c r="AK424" s="49"/>
      <c r="AL424" s="49"/>
      <c r="AM424" s="49"/>
      <c r="AN424" s="49"/>
      <c r="AO424" s="49"/>
    </row>
    <row r="425" spans="3:41" ht="12.75" customHeight="1">
      <c r="C425" s="49"/>
      <c r="D425" s="49"/>
      <c r="E425" s="49"/>
      <c r="F425" s="49"/>
      <c r="G425" s="49"/>
      <c r="H425" s="49"/>
      <c r="I425" s="49"/>
      <c r="J425" s="49"/>
      <c r="K425" s="49"/>
      <c r="L425" s="49"/>
      <c r="M425" s="49"/>
      <c r="S425" s="49"/>
      <c r="T425" s="49"/>
      <c r="U425" s="49"/>
      <c r="W425" s="49"/>
      <c r="X425" s="49"/>
      <c r="Y425" s="49"/>
      <c r="Z425" s="49"/>
      <c r="AA425" s="49"/>
      <c r="AB425" s="49"/>
      <c r="AC425" s="49"/>
      <c r="AD425" s="49"/>
      <c r="AE425" s="49"/>
      <c r="AF425" s="49"/>
      <c r="AG425" s="49"/>
      <c r="AH425" s="49"/>
      <c r="AI425" s="49"/>
      <c r="AJ425" s="49"/>
      <c r="AK425" s="49"/>
      <c r="AL425" s="49"/>
      <c r="AM425" s="49"/>
      <c r="AN425" s="49"/>
      <c r="AO425" s="49"/>
    </row>
    <row r="426" spans="3:41" ht="12.75" customHeight="1">
      <c r="C426" s="49"/>
      <c r="D426" s="49"/>
      <c r="E426" s="49"/>
      <c r="F426" s="49"/>
      <c r="G426" s="49"/>
      <c r="H426" s="49"/>
      <c r="I426" s="49"/>
      <c r="J426" s="49"/>
      <c r="K426" s="49"/>
      <c r="L426" s="49"/>
      <c r="M426" s="49"/>
      <c r="S426" s="49"/>
      <c r="T426" s="49"/>
      <c r="U426" s="49"/>
      <c r="W426" s="49"/>
      <c r="X426" s="49"/>
      <c r="Y426" s="49"/>
      <c r="Z426" s="49"/>
      <c r="AA426" s="49"/>
      <c r="AB426" s="49"/>
      <c r="AC426" s="49"/>
      <c r="AD426" s="49"/>
      <c r="AE426" s="49"/>
      <c r="AF426" s="49"/>
      <c r="AG426" s="49"/>
      <c r="AH426" s="49"/>
      <c r="AI426" s="49"/>
      <c r="AJ426" s="49"/>
      <c r="AK426" s="49"/>
      <c r="AL426" s="49"/>
      <c r="AM426" s="49"/>
      <c r="AN426" s="49"/>
      <c r="AO426" s="49"/>
    </row>
    <row r="427" spans="3:41" ht="12.75" customHeight="1">
      <c r="C427" s="49"/>
      <c r="D427" s="49"/>
      <c r="E427" s="49"/>
      <c r="F427" s="49"/>
      <c r="G427" s="49"/>
      <c r="H427" s="49"/>
      <c r="I427" s="49"/>
      <c r="J427" s="49"/>
      <c r="K427" s="49"/>
      <c r="L427" s="49"/>
      <c r="M427" s="49"/>
      <c r="S427" s="49"/>
      <c r="T427" s="49"/>
      <c r="U427" s="49"/>
      <c r="W427" s="49"/>
      <c r="X427" s="49"/>
      <c r="Y427" s="49"/>
      <c r="Z427" s="49"/>
      <c r="AA427" s="49"/>
      <c r="AB427" s="49"/>
      <c r="AC427" s="49"/>
      <c r="AD427" s="49"/>
      <c r="AE427" s="49"/>
      <c r="AF427" s="49"/>
      <c r="AG427" s="49"/>
      <c r="AH427" s="49"/>
      <c r="AI427" s="49"/>
      <c r="AJ427" s="49"/>
      <c r="AK427" s="49"/>
      <c r="AL427" s="49"/>
      <c r="AM427" s="49"/>
      <c r="AN427" s="49"/>
      <c r="AO427" s="49"/>
    </row>
    <row r="428" spans="3:41" ht="12.75" customHeight="1">
      <c r="C428" s="49"/>
      <c r="D428" s="49"/>
      <c r="E428" s="49"/>
      <c r="F428" s="49"/>
      <c r="G428" s="49"/>
      <c r="H428" s="49"/>
      <c r="I428" s="49"/>
      <c r="J428" s="49"/>
      <c r="K428" s="49"/>
      <c r="L428" s="49"/>
      <c r="M428" s="49"/>
      <c r="S428" s="49"/>
      <c r="T428" s="49"/>
      <c r="U428" s="49"/>
      <c r="W428" s="49"/>
      <c r="X428" s="49"/>
      <c r="Y428" s="49"/>
      <c r="Z428" s="49"/>
      <c r="AA428" s="49"/>
      <c r="AB428" s="49"/>
      <c r="AC428" s="49"/>
      <c r="AD428" s="49"/>
      <c r="AE428" s="49"/>
      <c r="AF428" s="49"/>
      <c r="AG428" s="49"/>
      <c r="AH428" s="49"/>
      <c r="AI428" s="49"/>
      <c r="AJ428" s="49"/>
      <c r="AK428" s="49"/>
      <c r="AL428" s="49"/>
      <c r="AM428" s="49"/>
      <c r="AN428" s="49"/>
      <c r="AO428" s="49"/>
    </row>
    <row r="429" spans="3:41" ht="12.75" customHeight="1">
      <c r="C429" s="49"/>
      <c r="D429" s="49"/>
      <c r="E429" s="49"/>
      <c r="F429" s="49"/>
      <c r="G429" s="49"/>
      <c r="H429" s="49"/>
      <c r="I429" s="49"/>
      <c r="J429" s="49"/>
      <c r="K429" s="49"/>
      <c r="L429" s="49"/>
      <c r="M429" s="49"/>
      <c r="S429" s="49"/>
      <c r="T429" s="49"/>
      <c r="U429" s="49"/>
      <c r="W429" s="49"/>
      <c r="X429" s="49"/>
      <c r="Y429" s="49"/>
      <c r="Z429" s="49"/>
      <c r="AA429" s="49"/>
      <c r="AB429" s="49"/>
      <c r="AC429" s="49"/>
      <c r="AD429" s="49"/>
      <c r="AE429" s="49"/>
      <c r="AF429" s="49"/>
      <c r="AG429" s="49"/>
      <c r="AH429" s="49"/>
      <c r="AI429" s="49"/>
      <c r="AJ429" s="49"/>
      <c r="AK429" s="49"/>
      <c r="AL429" s="49"/>
      <c r="AM429" s="49"/>
      <c r="AN429" s="49"/>
      <c r="AO429" s="49"/>
    </row>
    <row r="430" spans="3:41" ht="12.75" customHeight="1">
      <c r="C430" s="49"/>
      <c r="D430" s="49"/>
      <c r="E430" s="49"/>
      <c r="F430" s="49"/>
      <c r="G430" s="49"/>
      <c r="H430" s="49"/>
      <c r="I430" s="49"/>
      <c r="J430" s="49"/>
      <c r="K430" s="49"/>
      <c r="L430" s="49"/>
      <c r="M430" s="49"/>
      <c r="S430" s="49"/>
      <c r="T430" s="49"/>
      <c r="U430" s="49"/>
      <c r="W430" s="49"/>
      <c r="X430" s="49"/>
      <c r="Y430" s="49"/>
      <c r="Z430" s="49"/>
      <c r="AA430" s="49"/>
      <c r="AB430" s="49"/>
      <c r="AC430" s="49"/>
      <c r="AD430" s="49"/>
      <c r="AE430" s="49"/>
      <c r="AF430" s="49"/>
      <c r="AG430" s="49"/>
      <c r="AH430" s="49"/>
      <c r="AI430" s="49"/>
      <c r="AJ430" s="49"/>
      <c r="AK430" s="49"/>
      <c r="AL430" s="49"/>
      <c r="AM430" s="49"/>
      <c r="AN430" s="49"/>
      <c r="AO430" s="49"/>
    </row>
    <row r="431" spans="3:41" ht="12.75" customHeight="1">
      <c r="C431" s="49"/>
      <c r="D431" s="49"/>
      <c r="E431" s="49"/>
      <c r="F431" s="49"/>
      <c r="G431" s="49"/>
      <c r="H431" s="49"/>
      <c r="I431" s="49"/>
      <c r="J431" s="49"/>
      <c r="K431" s="49"/>
      <c r="L431" s="49"/>
      <c r="M431" s="49"/>
      <c r="S431" s="49"/>
      <c r="T431" s="49"/>
      <c r="U431" s="49"/>
      <c r="W431" s="49"/>
      <c r="X431" s="49"/>
      <c r="Y431" s="49"/>
      <c r="Z431" s="49"/>
      <c r="AA431" s="49"/>
      <c r="AB431" s="49"/>
      <c r="AC431" s="49"/>
      <c r="AD431" s="49"/>
      <c r="AE431" s="49"/>
      <c r="AF431" s="49"/>
      <c r="AG431" s="49"/>
      <c r="AH431" s="49"/>
      <c r="AI431" s="49"/>
      <c r="AJ431" s="49"/>
      <c r="AK431" s="49"/>
      <c r="AL431" s="49"/>
      <c r="AM431" s="49"/>
      <c r="AN431" s="49"/>
      <c r="AO431" s="49"/>
    </row>
    <row r="432" spans="3:41" ht="12.75" customHeight="1">
      <c r="C432" s="49"/>
      <c r="D432" s="49"/>
      <c r="E432" s="49"/>
      <c r="F432" s="49"/>
      <c r="G432" s="49"/>
      <c r="H432" s="49"/>
      <c r="I432" s="49"/>
      <c r="J432" s="49"/>
      <c r="K432" s="49"/>
      <c r="L432" s="49"/>
      <c r="M432" s="49"/>
      <c r="S432" s="49"/>
      <c r="T432" s="49"/>
      <c r="U432" s="49"/>
      <c r="W432" s="49"/>
      <c r="X432" s="49"/>
      <c r="Y432" s="49"/>
      <c r="Z432" s="49"/>
      <c r="AA432" s="49"/>
      <c r="AB432" s="49"/>
      <c r="AC432" s="49"/>
      <c r="AD432" s="49"/>
      <c r="AE432" s="49"/>
      <c r="AF432" s="49"/>
      <c r="AG432" s="49"/>
      <c r="AH432" s="49"/>
      <c r="AI432" s="49"/>
      <c r="AJ432" s="49"/>
      <c r="AK432" s="49"/>
      <c r="AL432" s="49"/>
      <c r="AM432" s="49"/>
      <c r="AN432" s="49"/>
      <c r="AO432" s="49"/>
    </row>
    <row r="433" spans="3:41" ht="12.75" customHeight="1">
      <c r="C433" s="49"/>
      <c r="D433" s="49"/>
      <c r="E433" s="49"/>
      <c r="F433" s="49"/>
      <c r="G433" s="49"/>
      <c r="H433" s="49"/>
      <c r="I433" s="49"/>
      <c r="J433" s="49"/>
      <c r="K433" s="49"/>
      <c r="L433" s="49"/>
      <c r="M433" s="49"/>
      <c r="S433" s="49"/>
      <c r="T433" s="49"/>
      <c r="U433" s="49"/>
      <c r="W433" s="49"/>
      <c r="X433" s="49"/>
      <c r="Y433" s="49"/>
      <c r="Z433" s="49"/>
      <c r="AA433" s="49"/>
      <c r="AB433" s="49"/>
      <c r="AC433" s="49"/>
      <c r="AD433" s="49"/>
      <c r="AE433" s="49"/>
      <c r="AF433" s="49"/>
      <c r="AG433" s="49"/>
      <c r="AH433" s="49"/>
      <c r="AI433" s="49"/>
      <c r="AJ433" s="49"/>
      <c r="AK433" s="49"/>
      <c r="AL433" s="49"/>
      <c r="AM433" s="49"/>
      <c r="AN433" s="49"/>
      <c r="AO433" s="49"/>
    </row>
    <row r="434" spans="3:41" ht="12.75" customHeight="1">
      <c r="C434" s="49"/>
      <c r="D434" s="49"/>
      <c r="E434" s="49"/>
      <c r="F434" s="49"/>
      <c r="G434" s="49"/>
      <c r="H434" s="49"/>
      <c r="I434" s="49"/>
      <c r="J434" s="49"/>
      <c r="K434" s="49"/>
      <c r="L434" s="49"/>
      <c r="M434" s="49"/>
      <c r="S434" s="49"/>
      <c r="T434" s="49"/>
      <c r="U434" s="49"/>
      <c r="W434" s="49"/>
      <c r="X434" s="49"/>
      <c r="Y434" s="49"/>
      <c r="Z434" s="49"/>
      <c r="AA434" s="49"/>
      <c r="AB434" s="49"/>
      <c r="AC434" s="49"/>
      <c r="AD434" s="49"/>
      <c r="AE434" s="49"/>
      <c r="AF434" s="49"/>
      <c r="AG434" s="49"/>
      <c r="AH434" s="49"/>
      <c r="AI434" s="49"/>
      <c r="AJ434" s="49"/>
      <c r="AK434" s="49"/>
      <c r="AL434" s="49"/>
      <c r="AM434" s="49"/>
      <c r="AN434" s="49"/>
      <c r="AO434" s="49"/>
    </row>
    <row r="435" spans="3:41" ht="12.75" customHeight="1">
      <c r="C435" s="49"/>
      <c r="D435" s="49"/>
      <c r="E435" s="49"/>
      <c r="F435" s="49"/>
      <c r="G435" s="49"/>
      <c r="H435" s="49"/>
      <c r="I435" s="49"/>
      <c r="J435" s="49"/>
      <c r="K435" s="49"/>
      <c r="L435" s="49"/>
      <c r="M435" s="49"/>
      <c r="S435" s="49"/>
      <c r="T435" s="49"/>
      <c r="U435" s="49"/>
      <c r="W435" s="49"/>
      <c r="X435" s="49"/>
      <c r="Y435" s="49"/>
      <c r="Z435" s="49"/>
      <c r="AA435" s="49"/>
      <c r="AB435" s="49"/>
      <c r="AC435" s="49"/>
      <c r="AD435" s="49"/>
      <c r="AE435" s="49"/>
      <c r="AF435" s="49"/>
      <c r="AG435" s="49"/>
      <c r="AH435" s="49"/>
      <c r="AI435" s="49"/>
      <c r="AJ435" s="49"/>
      <c r="AK435" s="49"/>
      <c r="AL435" s="49"/>
      <c r="AM435" s="49"/>
      <c r="AN435" s="49"/>
      <c r="AO435" s="49"/>
    </row>
    <row r="436" spans="3:41" ht="12.75" customHeight="1">
      <c r="C436" s="49"/>
      <c r="D436" s="49"/>
      <c r="E436" s="49"/>
      <c r="F436" s="49"/>
      <c r="G436" s="49"/>
      <c r="H436" s="49"/>
      <c r="I436" s="49"/>
      <c r="J436" s="49"/>
      <c r="K436" s="49"/>
      <c r="L436" s="49"/>
      <c r="M436" s="49"/>
      <c r="S436" s="49"/>
      <c r="T436" s="49"/>
      <c r="U436" s="49"/>
      <c r="W436" s="49"/>
      <c r="X436" s="49"/>
      <c r="Y436" s="49"/>
      <c r="Z436" s="49"/>
      <c r="AA436" s="49"/>
      <c r="AB436" s="49"/>
      <c r="AC436" s="49"/>
      <c r="AD436" s="49"/>
      <c r="AE436" s="49"/>
      <c r="AF436" s="49"/>
      <c r="AG436" s="49"/>
      <c r="AH436" s="49"/>
      <c r="AI436" s="49"/>
      <c r="AJ436" s="49"/>
      <c r="AK436" s="49"/>
      <c r="AL436" s="49"/>
      <c r="AM436" s="49"/>
      <c r="AN436" s="49"/>
      <c r="AO436" s="49"/>
    </row>
    <row r="437" spans="3:41" ht="12.75" customHeight="1">
      <c r="C437" s="49"/>
      <c r="D437" s="49"/>
      <c r="E437" s="49"/>
      <c r="F437" s="49"/>
      <c r="G437" s="49"/>
      <c r="H437" s="49"/>
      <c r="I437" s="49"/>
      <c r="J437" s="49"/>
      <c r="K437" s="49"/>
      <c r="L437" s="49"/>
      <c r="M437" s="49"/>
      <c r="S437" s="49"/>
      <c r="T437" s="49"/>
      <c r="U437" s="49"/>
      <c r="W437" s="49"/>
      <c r="X437" s="49"/>
      <c r="Y437" s="49"/>
      <c r="Z437" s="49"/>
      <c r="AA437" s="49"/>
      <c r="AB437" s="49"/>
      <c r="AC437" s="49"/>
      <c r="AD437" s="49"/>
      <c r="AE437" s="49"/>
      <c r="AF437" s="49"/>
      <c r="AG437" s="49"/>
      <c r="AH437" s="49"/>
      <c r="AI437" s="49"/>
      <c r="AJ437" s="49"/>
      <c r="AK437" s="49"/>
      <c r="AL437" s="49"/>
      <c r="AM437" s="49"/>
      <c r="AN437" s="49"/>
      <c r="AO437" s="49"/>
    </row>
    <row r="438" spans="3:41" ht="12.75" customHeight="1">
      <c r="C438" s="49"/>
      <c r="D438" s="49"/>
      <c r="E438" s="49"/>
      <c r="F438" s="49"/>
      <c r="G438" s="49"/>
      <c r="H438" s="49"/>
      <c r="I438" s="49"/>
      <c r="J438" s="49"/>
      <c r="K438" s="49"/>
      <c r="L438" s="49"/>
      <c r="M438" s="49"/>
      <c r="S438" s="49"/>
      <c r="T438" s="49"/>
      <c r="U438" s="49"/>
      <c r="W438" s="49"/>
      <c r="X438" s="49"/>
      <c r="Y438" s="49"/>
      <c r="Z438" s="49"/>
      <c r="AA438" s="49"/>
      <c r="AB438" s="49"/>
      <c r="AC438" s="49"/>
      <c r="AD438" s="49"/>
      <c r="AE438" s="49"/>
      <c r="AF438" s="49"/>
      <c r="AG438" s="49"/>
      <c r="AH438" s="49"/>
      <c r="AI438" s="49"/>
      <c r="AJ438" s="49"/>
      <c r="AK438" s="49"/>
      <c r="AL438" s="49"/>
      <c r="AM438" s="49"/>
      <c r="AN438" s="49"/>
      <c r="AO438" s="49"/>
    </row>
    <row r="439" spans="3:41" ht="12.75" customHeight="1">
      <c r="C439" s="49"/>
      <c r="D439" s="49"/>
      <c r="E439" s="49"/>
      <c r="F439" s="49"/>
      <c r="G439" s="49"/>
      <c r="H439" s="49"/>
      <c r="I439" s="49"/>
      <c r="J439" s="49"/>
      <c r="K439" s="49"/>
      <c r="L439" s="49"/>
      <c r="M439" s="49"/>
      <c r="S439" s="49"/>
      <c r="T439" s="49"/>
      <c r="U439" s="49"/>
      <c r="W439" s="49"/>
      <c r="X439" s="49"/>
      <c r="Y439" s="49"/>
      <c r="Z439" s="49"/>
      <c r="AA439" s="49"/>
      <c r="AB439" s="49"/>
      <c r="AC439" s="49"/>
      <c r="AD439" s="49"/>
      <c r="AE439" s="49"/>
      <c r="AF439" s="49"/>
      <c r="AG439" s="49"/>
      <c r="AH439" s="49"/>
      <c r="AI439" s="49"/>
      <c r="AJ439" s="49"/>
      <c r="AK439" s="49"/>
      <c r="AL439" s="49"/>
      <c r="AM439" s="49"/>
      <c r="AN439" s="49"/>
      <c r="AO439" s="49"/>
    </row>
    <row r="440" spans="3:41" ht="12.75" customHeight="1">
      <c r="C440" s="49"/>
      <c r="D440" s="49"/>
      <c r="E440" s="49"/>
      <c r="F440" s="49"/>
      <c r="G440" s="49"/>
      <c r="H440" s="49"/>
      <c r="I440" s="49"/>
      <c r="J440" s="49"/>
      <c r="K440" s="49"/>
      <c r="L440" s="49"/>
      <c r="M440" s="49"/>
      <c r="S440" s="49"/>
      <c r="T440" s="49"/>
      <c r="U440" s="49"/>
      <c r="W440" s="49"/>
      <c r="X440" s="49"/>
      <c r="Y440" s="49"/>
      <c r="Z440" s="49"/>
      <c r="AA440" s="49"/>
      <c r="AB440" s="49"/>
      <c r="AC440" s="49"/>
      <c r="AD440" s="49"/>
      <c r="AE440" s="49"/>
      <c r="AF440" s="49"/>
      <c r="AG440" s="49"/>
      <c r="AH440" s="49"/>
      <c r="AI440" s="49"/>
      <c r="AJ440" s="49"/>
      <c r="AK440" s="49"/>
      <c r="AL440" s="49"/>
      <c r="AM440" s="49"/>
      <c r="AN440" s="49"/>
      <c r="AO440" s="49"/>
    </row>
    <row r="441" spans="3:41" ht="12.75" customHeight="1">
      <c r="C441" s="49"/>
      <c r="D441" s="49"/>
      <c r="E441" s="49"/>
      <c r="F441" s="49"/>
      <c r="G441" s="49"/>
      <c r="H441" s="49"/>
      <c r="I441" s="49"/>
      <c r="J441" s="49"/>
      <c r="K441" s="49"/>
      <c r="L441" s="49"/>
      <c r="M441" s="49"/>
      <c r="S441" s="49"/>
      <c r="T441" s="49"/>
      <c r="U441" s="49"/>
      <c r="W441" s="49"/>
      <c r="X441" s="49"/>
      <c r="Y441" s="49"/>
      <c r="Z441" s="49"/>
      <c r="AA441" s="49"/>
      <c r="AB441" s="49"/>
      <c r="AC441" s="49"/>
      <c r="AD441" s="49"/>
      <c r="AE441" s="49"/>
      <c r="AF441" s="49"/>
      <c r="AG441" s="49"/>
      <c r="AH441" s="49"/>
      <c r="AI441" s="49"/>
      <c r="AJ441" s="49"/>
      <c r="AK441" s="49"/>
      <c r="AL441" s="49"/>
      <c r="AM441" s="49"/>
      <c r="AN441" s="49"/>
      <c r="AO441" s="49"/>
    </row>
    <row r="442" spans="3:41" ht="12.75" customHeight="1">
      <c r="C442" s="49"/>
      <c r="D442" s="49"/>
      <c r="E442" s="49"/>
      <c r="F442" s="49"/>
      <c r="G442" s="49"/>
      <c r="H442" s="49"/>
      <c r="I442" s="49"/>
      <c r="J442" s="49"/>
      <c r="K442" s="49"/>
      <c r="L442" s="49"/>
      <c r="M442" s="49"/>
      <c r="S442" s="49"/>
      <c r="T442" s="49"/>
      <c r="U442" s="49"/>
      <c r="W442" s="49"/>
      <c r="X442" s="49"/>
      <c r="Y442" s="49"/>
      <c r="Z442" s="49"/>
      <c r="AA442" s="49"/>
      <c r="AB442" s="49"/>
      <c r="AC442" s="49"/>
      <c r="AD442" s="49"/>
      <c r="AE442" s="49"/>
      <c r="AF442" s="49"/>
      <c r="AG442" s="49"/>
      <c r="AH442" s="49"/>
      <c r="AI442" s="49"/>
      <c r="AJ442" s="49"/>
      <c r="AK442" s="49"/>
      <c r="AL442" s="49"/>
      <c r="AM442" s="49"/>
      <c r="AN442" s="49"/>
      <c r="AO442" s="49"/>
    </row>
    <row r="443" spans="3:41" ht="12.75" customHeight="1">
      <c r="C443" s="49"/>
      <c r="D443" s="49"/>
      <c r="E443" s="49"/>
      <c r="F443" s="49"/>
      <c r="G443" s="49"/>
      <c r="H443" s="49"/>
      <c r="I443" s="49"/>
      <c r="J443" s="49"/>
      <c r="K443" s="49"/>
      <c r="L443" s="49"/>
      <c r="M443" s="49"/>
      <c r="S443" s="49"/>
      <c r="T443" s="49"/>
      <c r="U443" s="49"/>
      <c r="W443" s="49"/>
      <c r="X443" s="49"/>
      <c r="Y443" s="49"/>
      <c r="Z443" s="49"/>
      <c r="AA443" s="49"/>
      <c r="AB443" s="49"/>
      <c r="AC443" s="49"/>
      <c r="AD443" s="49"/>
      <c r="AE443" s="49"/>
      <c r="AF443" s="49"/>
      <c r="AG443" s="49"/>
      <c r="AH443" s="49"/>
      <c r="AI443" s="49"/>
      <c r="AJ443" s="49"/>
      <c r="AK443" s="49"/>
      <c r="AL443" s="49"/>
      <c r="AM443" s="49"/>
      <c r="AN443" s="49"/>
      <c r="AO443" s="49"/>
    </row>
    <row r="444" spans="3:41" ht="12.75" customHeight="1">
      <c r="C444" s="49"/>
      <c r="D444" s="49"/>
      <c r="E444" s="49"/>
      <c r="F444" s="49"/>
      <c r="G444" s="49"/>
      <c r="H444" s="49"/>
      <c r="I444" s="49"/>
      <c r="J444" s="49"/>
      <c r="K444" s="49"/>
      <c r="L444" s="49"/>
      <c r="M444" s="49"/>
      <c r="S444" s="49"/>
      <c r="T444" s="49"/>
      <c r="U444" s="49"/>
      <c r="W444" s="49"/>
      <c r="X444" s="49"/>
      <c r="Y444" s="49"/>
      <c r="Z444" s="49"/>
      <c r="AA444" s="49"/>
      <c r="AB444" s="49"/>
      <c r="AC444" s="49"/>
      <c r="AD444" s="49"/>
      <c r="AE444" s="49"/>
      <c r="AF444" s="49"/>
      <c r="AG444" s="49"/>
      <c r="AH444" s="49"/>
      <c r="AI444" s="49"/>
      <c r="AJ444" s="49"/>
      <c r="AK444" s="49"/>
      <c r="AL444" s="49"/>
      <c r="AM444" s="49"/>
      <c r="AN444" s="49"/>
      <c r="AO444" s="49"/>
    </row>
    <row r="445" spans="3:41" ht="12.75" customHeight="1">
      <c r="C445" s="49"/>
      <c r="D445" s="49"/>
      <c r="E445" s="49"/>
      <c r="F445" s="49"/>
      <c r="G445" s="49"/>
      <c r="H445" s="49"/>
      <c r="I445" s="49"/>
      <c r="J445" s="49"/>
      <c r="K445" s="49"/>
      <c r="L445" s="49"/>
      <c r="M445" s="49"/>
      <c r="S445" s="49"/>
      <c r="T445" s="49"/>
      <c r="U445" s="49"/>
      <c r="W445" s="49"/>
      <c r="X445" s="49"/>
      <c r="Y445" s="49"/>
      <c r="Z445" s="49"/>
      <c r="AA445" s="49"/>
      <c r="AB445" s="49"/>
      <c r="AC445" s="49"/>
      <c r="AD445" s="49"/>
      <c r="AE445" s="49"/>
      <c r="AF445" s="49"/>
      <c r="AG445" s="49"/>
      <c r="AH445" s="49"/>
      <c r="AI445" s="49"/>
      <c r="AJ445" s="49"/>
      <c r="AK445" s="49"/>
      <c r="AL445" s="49"/>
      <c r="AM445" s="49"/>
      <c r="AN445" s="49"/>
      <c r="AO445" s="49"/>
    </row>
    <row r="446" spans="3:41" ht="12.75" customHeight="1">
      <c r="C446" s="49"/>
      <c r="D446" s="49"/>
      <c r="E446" s="49"/>
      <c r="F446" s="49"/>
      <c r="G446" s="49"/>
      <c r="H446" s="49"/>
      <c r="I446" s="49"/>
      <c r="J446" s="49"/>
      <c r="K446" s="49"/>
      <c r="L446" s="49"/>
      <c r="M446" s="49"/>
      <c r="S446" s="49"/>
      <c r="T446" s="49"/>
      <c r="U446" s="49"/>
      <c r="W446" s="49"/>
      <c r="X446" s="49"/>
      <c r="Y446" s="49"/>
      <c r="Z446" s="49"/>
      <c r="AA446" s="49"/>
      <c r="AB446" s="49"/>
      <c r="AC446" s="49"/>
      <c r="AD446" s="49"/>
      <c r="AE446" s="49"/>
      <c r="AF446" s="49"/>
      <c r="AG446" s="49"/>
      <c r="AH446" s="49"/>
      <c r="AI446" s="49"/>
      <c r="AJ446" s="49"/>
      <c r="AK446" s="49"/>
      <c r="AL446" s="49"/>
      <c r="AM446" s="49"/>
      <c r="AN446" s="49"/>
      <c r="AO446" s="49"/>
    </row>
    <row r="447" spans="3:41" ht="12.75" customHeight="1">
      <c r="C447" s="49"/>
      <c r="D447" s="49"/>
      <c r="E447" s="49"/>
      <c r="F447" s="49"/>
      <c r="G447" s="49"/>
      <c r="H447" s="49"/>
      <c r="I447" s="49"/>
      <c r="J447" s="49"/>
      <c r="K447" s="49"/>
      <c r="L447" s="49"/>
      <c r="M447" s="49"/>
      <c r="S447" s="49"/>
      <c r="T447" s="49"/>
      <c r="U447" s="49"/>
      <c r="W447" s="49"/>
      <c r="X447" s="49"/>
      <c r="Y447" s="49"/>
      <c r="Z447" s="49"/>
      <c r="AA447" s="49"/>
      <c r="AB447" s="49"/>
      <c r="AC447" s="49"/>
      <c r="AD447" s="49"/>
      <c r="AE447" s="49"/>
      <c r="AF447" s="49"/>
      <c r="AG447" s="49"/>
      <c r="AH447" s="49"/>
      <c r="AI447" s="49"/>
      <c r="AJ447" s="49"/>
      <c r="AK447" s="49"/>
      <c r="AL447" s="49"/>
      <c r="AM447" s="49"/>
      <c r="AN447" s="49"/>
      <c r="AO447" s="49"/>
    </row>
    <row r="448" spans="3:41" ht="12.75" customHeight="1">
      <c r="C448" s="49"/>
      <c r="D448" s="49"/>
      <c r="E448" s="49"/>
      <c r="F448" s="49"/>
      <c r="G448" s="49"/>
      <c r="H448" s="49"/>
      <c r="I448" s="49"/>
      <c r="J448" s="49"/>
      <c r="K448" s="49"/>
      <c r="L448" s="49"/>
      <c r="M448" s="49"/>
      <c r="S448" s="49"/>
      <c r="T448" s="49"/>
      <c r="U448" s="49"/>
      <c r="W448" s="49"/>
      <c r="X448" s="49"/>
      <c r="Y448" s="49"/>
      <c r="Z448" s="49"/>
      <c r="AA448" s="49"/>
      <c r="AB448" s="49"/>
      <c r="AC448" s="49"/>
      <c r="AD448" s="49"/>
      <c r="AE448" s="49"/>
      <c r="AF448" s="49"/>
      <c r="AG448" s="49"/>
      <c r="AH448" s="49"/>
      <c r="AI448" s="49"/>
      <c r="AJ448" s="49"/>
      <c r="AK448" s="49"/>
      <c r="AL448" s="49"/>
      <c r="AM448" s="49"/>
      <c r="AN448" s="49"/>
      <c r="AO448" s="49"/>
    </row>
    <row r="449" spans="3:41" ht="12.75" customHeight="1">
      <c r="C449" s="49"/>
      <c r="D449" s="49"/>
      <c r="E449" s="49"/>
      <c r="F449" s="49"/>
      <c r="G449" s="49"/>
      <c r="H449" s="49"/>
      <c r="I449" s="49"/>
      <c r="J449" s="49"/>
      <c r="K449" s="49"/>
      <c r="L449" s="49"/>
      <c r="M449" s="49"/>
      <c r="S449" s="49"/>
      <c r="T449" s="49"/>
      <c r="U449" s="49"/>
      <c r="W449" s="49"/>
      <c r="X449" s="49"/>
      <c r="Y449" s="49"/>
      <c r="Z449" s="49"/>
      <c r="AA449" s="49"/>
      <c r="AB449" s="49"/>
      <c r="AC449" s="49"/>
      <c r="AD449" s="49"/>
      <c r="AE449" s="49"/>
      <c r="AF449" s="49"/>
      <c r="AG449" s="49"/>
      <c r="AH449" s="49"/>
      <c r="AI449" s="49"/>
      <c r="AJ449" s="49"/>
      <c r="AK449" s="49"/>
      <c r="AL449" s="49"/>
      <c r="AM449" s="49"/>
      <c r="AN449" s="49"/>
      <c r="AO449" s="49"/>
    </row>
    <row r="450" spans="3:41" ht="12.75" customHeight="1">
      <c r="C450" s="49"/>
      <c r="D450" s="49"/>
      <c r="E450" s="49"/>
      <c r="F450" s="49"/>
      <c r="G450" s="49"/>
      <c r="H450" s="49"/>
      <c r="I450" s="49"/>
      <c r="J450" s="49"/>
      <c r="K450" s="49"/>
      <c r="L450" s="49"/>
      <c r="M450" s="49"/>
      <c r="S450" s="49"/>
      <c r="T450" s="49"/>
      <c r="U450" s="49"/>
      <c r="W450" s="49"/>
      <c r="X450" s="49"/>
      <c r="Y450" s="49"/>
      <c r="Z450" s="49"/>
      <c r="AA450" s="49"/>
      <c r="AB450" s="49"/>
      <c r="AC450" s="49"/>
      <c r="AD450" s="49"/>
      <c r="AE450" s="49"/>
      <c r="AF450" s="49"/>
      <c r="AG450" s="49"/>
      <c r="AH450" s="49"/>
      <c r="AI450" s="49"/>
      <c r="AJ450" s="49"/>
      <c r="AK450" s="49"/>
      <c r="AL450" s="49"/>
      <c r="AM450" s="49"/>
      <c r="AN450" s="49"/>
      <c r="AO450" s="49"/>
    </row>
    <row r="451" spans="3:41" ht="12.75" customHeight="1">
      <c r="C451" s="49"/>
      <c r="D451" s="49"/>
      <c r="E451" s="49"/>
      <c r="F451" s="49"/>
      <c r="G451" s="49"/>
      <c r="H451" s="49"/>
      <c r="I451" s="49"/>
      <c r="J451" s="49"/>
      <c r="K451" s="49"/>
      <c r="L451" s="49"/>
      <c r="M451" s="49"/>
      <c r="S451" s="49"/>
      <c r="T451" s="49"/>
      <c r="U451" s="49"/>
      <c r="W451" s="49"/>
      <c r="X451" s="49"/>
      <c r="Y451" s="49"/>
      <c r="Z451" s="49"/>
      <c r="AA451" s="49"/>
      <c r="AB451" s="49"/>
      <c r="AC451" s="49"/>
      <c r="AD451" s="49"/>
      <c r="AE451" s="49"/>
      <c r="AF451" s="49"/>
      <c r="AG451" s="49"/>
      <c r="AH451" s="49"/>
      <c r="AI451" s="49"/>
      <c r="AJ451" s="49"/>
      <c r="AK451" s="49"/>
      <c r="AL451" s="49"/>
      <c r="AM451" s="49"/>
      <c r="AN451" s="49"/>
      <c r="AO451" s="49"/>
    </row>
    <row r="452" spans="3:41" ht="12.75" customHeight="1">
      <c r="C452" s="49"/>
      <c r="D452" s="49"/>
      <c r="E452" s="49"/>
      <c r="F452" s="49"/>
      <c r="G452" s="49"/>
      <c r="H452" s="49"/>
      <c r="I452" s="49"/>
      <c r="J452" s="49"/>
      <c r="K452" s="49"/>
      <c r="L452" s="49"/>
      <c r="M452" s="49"/>
      <c r="S452" s="49"/>
      <c r="T452" s="49"/>
      <c r="U452" s="49"/>
      <c r="W452" s="49"/>
      <c r="X452" s="49"/>
      <c r="Y452" s="49"/>
      <c r="Z452" s="49"/>
      <c r="AA452" s="49"/>
      <c r="AB452" s="49"/>
      <c r="AC452" s="49"/>
      <c r="AD452" s="49"/>
      <c r="AE452" s="49"/>
      <c r="AF452" s="49"/>
      <c r="AG452" s="49"/>
      <c r="AH452" s="49"/>
      <c r="AI452" s="49"/>
      <c r="AJ452" s="49"/>
      <c r="AK452" s="49"/>
      <c r="AL452" s="49"/>
      <c r="AM452" s="49"/>
      <c r="AN452" s="49"/>
      <c r="AO452" s="49"/>
    </row>
    <row r="453" spans="3:41" ht="12.75" customHeight="1">
      <c r="C453" s="49"/>
      <c r="D453" s="49"/>
      <c r="E453" s="49"/>
      <c r="F453" s="49"/>
      <c r="G453" s="49"/>
      <c r="H453" s="49"/>
      <c r="I453" s="49"/>
      <c r="J453" s="49"/>
      <c r="K453" s="49"/>
      <c r="L453" s="49"/>
      <c r="M453" s="49"/>
      <c r="S453" s="49"/>
      <c r="T453" s="49"/>
      <c r="U453" s="49"/>
      <c r="W453" s="49"/>
      <c r="X453" s="49"/>
      <c r="Y453" s="49"/>
      <c r="Z453" s="49"/>
      <c r="AA453" s="49"/>
      <c r="AB453" s="49"/>
      <c r="AC453" s="49"/>
      <c r="AD453" s="49"/>
      <c r="AE453" s="49"/>
      <c r="AF453" s="49"/>
      <c r="AG453" s="49"/>
      <c r="AH453" s="49"/>
      <c r="AI453" s="49"/>
      <c r="AJ453" s="49"/>
      <c r="AK453" s="49"/>
      <c r="AL453" s="49"/>
      <c r="AM453" s="49"/>
      <c r="AN453" s="49"/>
      <c r="AO453" s="49"/>
    </row>
    <row r="454" spans="3:41" ht="12.75" customHeight="1">
      <c r="C454" s="49"/>
      <c r="D454" s="49"/>
      <c r="E454" s="49"/>
      <c r="F454" s="49"/>
      <c r="G454" s="49"/>
      <c r="H454" s="49"/>
      <c r="I454" s="49"/>
      <c r="J454" s="49"/>
      <c r="K454" s="49"/>
      <c r="L454" s="49"/>
      <c r="M454" s="49"/>
      <c r="S454" s="49"/>
      <c r="T454" s="49"/>
      <c r="U454" s="49"/>
      <c r="W454" s="49"/>
      <c r="X454" s="49"/>
      <c r="Y454" s="49"/>
      <c r="Z454" s="49"/>
      <c r="AA454" s="49"/>
      <c r="AB454" s="49"/>
      <c r="AC454" s="49"/>
      <c r="AD454" s="49"/>
      <c r="AE454" s="49"/>
      <c r="AF454" s="49"/>
      <c r="AG454" s="49"/>
      <c r="AH454" s="49"/>
      <c r="AI454" s="49"/>
      <c r="AJ454" s="49"/>
      <c r="AK454" s="49"/>
      <c r="AL454" s="49"/>
      <c r="AM454" s="49"/>
      <c r="AN454" s="49"/>
      <c r="AO454" s="49"/>
    </row>
    <row r="455" spans="3:41" ht="12.75" customHeight="1">
      <c r="C455" s="49"/>
      <c r="D455" s="49"/>
      <c r="E455" s="49"/>
      <c r="F455" s="49"/>
      <c r="G455" s="49"/>
      <c r="H455" s="49"/>
      <c r="I455" s="49"/>
      <c r="J455" s="49"/>
      <c r="K455" s="49"/>
      <c r="L455" s="49"/>
      <c r="M455" s="49"/>
      <c r="S455" s="49"/>
      <c r="T455" s="49"/>
      <c r="U455" s="49"/>
      <c r="W455" s="49"/>
      <c r="X455" s="49"/>
      <c r="Y455" s="49"/>
      <c r="Z455" s="49"/>
      <c r="AA455" s="49"/>
      <c r="AB455" s="49"/>
      <c r="AC455" s="49"/>
      <c r="AD455" s="49"/>
      <c r="AE455" s="49"/>
      <c r="AF455" s="49"/>
      <c r="AG455" s="49"/>
      <c r="AH455" s="49"/>
      <c r="AI455" s="49"/>
      <c r="AJ455" s="49"/>
      <c r="AK455" s="49"/>
      <c r="AL455" s="49"/>
      <c r="AM455" s="49"/>
      <c r="AN455" s="49"/>
      <c r="AO455" s="49"/>
    </row>
    <row r="456" spans="3:41" ht="12.75" customHeight="1">
      <c r="C456" s="49"/>
      <c r="D456" s="49"/>
      <c r="E456" s="49"/>
      <c r="F456" s="49"/>
      <c r="G456" s="49"/>
      <c r="H456" s="49"/>
      <c r="I456" s="49"/>
      <c r="J456" s="49"/>
      <c r="K456" s="49"/>
      <c r="L456" s="49"/>
      <c r="M456" s="49"/>
      <c r="S456" s="49"/>
      <c r="T456" s="49"/>
      <c r="U456" s="49"/>
      <c r="W456" s="49"/>
      <c r="X456" s="49"/>
      <c r="Y456" s="49"/>
      <c r="Z456" s="49"/>
      <c r="AA456" s="49"/>
      <c r="AB456" s="49"/>
      <c r="AC456" s="49"/>
      <c r="AD456" s="49"/>
      <c r="AE456" s="49"/>
      <c r="AF456" s="49"/>
      <c r="AG456" s="49"/>
      <c r="AH456" s="49"/>
      <c r="AI456" s="49"/>
      <c r="AJ456" s="49"/>
      <c r="AK456" s="49"/>
      <c r="AL456" s="49"/>
      <c r="AM456" s="49"/>
      <c r="AN456" s="49"/>
      <c r="AO456" s="49"/>
    </row>
    <row r="457" spans="3:41" ht="12.75" customHeight="1">
      <c r="C457" s="49"/>
      <c r="D457" s="49"/>
      <c r="E457" s="49"/>
      <c r="F457" s="49"/>
      <c r="G457" s="49"/>
      <c r="H457" s="49"/>
      <c r="I457" s="49"/>
      <c r="J457" s="49"/>
      <c r="K457" s="49"/>
      <c r="L457" s="49"/>
      <c r="M457" s="49"/>
      <c r="S457" s="49"/>
      <c r="T457" s="49"/>
      <c r="U457" s="49"/>
      <c r="W457" s="49"/>
      <c r="X457" s="49"/>
      <c r="Y457" s="49"/>
      <c r="Z457" s="49"/>
      <c r="AA457" s="49"/>
      <c r="AB457" s="49"/>
      <c r="AC457" s="49"/>
      <c r="AD457" s="49"/>
      <c r="AE457" s="49"/>
      <c r="AF457" s="49"/>
      <c r="AG457" s="49"/>
      <c r="AH457" s="49"/>
      <c r="AI457" s="49"/>
      <c r="AJ457" s="49"/>
      <c r="AK457" s="49"/>
      <c r="AL457" s="49"/>
      <c r="AM457" s="49"/>
      <c r="AN457" s="49"/>
      <c r="AO457" s="49"/>
    </row>
    <row r="458" spans="3:41" ht="12.75" customHeight="1">
      <c r="C458" s="49"/>
      <c r="D458" s="49"/>
      <c r="E458" s="49"/>
      <c r="F458" s="49"/>
      <c r="G458" s="49"/>
      <c r="H458" s="49"/>
      <c r="I458" s="49"/>
      <c r="J458" s="49"/>
      <c r="K458" s="49"/>
      <c r="L458" s="49"/>
      <c r="M458" s="49"/>
      <c r="S458" s="49"/>
      <c r="T458" s="49"/>
      <c r="U458" s="49"/>
      <c r="W458" s="49"/>
      <c r="X458" s="49"/>
      <c r="Y458" s="49"/>
      <c r="Z458" s="49"/>
      <c r="AA458" s="49"/>
      <c r="AB458" s="49"/>
      <c r="AC458" s="49"/>
      <c r="AD458" s="49"/>
      <c r="AE458" s="49"/>
      <c r="AF458" s="49"/>
      <c r="AG458" s="49"/>
      <c r="AH458" s="49"/>
      <c r="AI458" s="49"/>
      <c r="AJ458" s="49"/>
      <c r="AK458" s="49"/>
      <c r="AL458" s="49"/>
      <c r="AM458" s="49"/>
      <c r="AN458" s="49"/>
      <c r="AO458" s="49"/>
    </row>
    <row r="459" spans="3:41" ht="12.75" customHeight="1">
      <c r="C459" s="49"/>
      <c r="D459" s="49"/>
      <c r="E459" s="49"/>
      <c r="F459" s="49"/>
      <c r="G459" s="49"/>
      <c r="H459" s="49"/>
      <c r="I459" s="49"/>
      <c r="J459" s="49"/>
      <c r="K459" s="49"/>
      <c r="L459" s="49"/>
      <c r="M459" s="49"/>
      <c r="S459" s="49"/>
      <c r="T459" s="49"/>
      <c r="U459" s="49"/>
      <c r="W459" s="49"/>
      <c r="X459" s="49"/>
      <c r="Y459" s="49"/>
      <c r="Z459" s="49"/>
      <c r="AA459" s="49"/>
      <c r="AB459" s="49"/>
      <c r="AC459" s="49"/>
      <c r="AD459" s="49"/>
      <c r="AE459" s="49"/>
      <c r="AF459" s="49"/>
      <c r="AG459" s="49"/>
      <c r="AH459" s="49"/>
      <c r="AI459" s="49"/>
      <c r="AJ459" s="49"/>
      <c r="AK459" s="49"/>
      <c r="AL459" s="49"/>
      <c r="AM459" s="49"/>
      <c r="AN459" s="49"/>
      <c r="AO459" s="49"/>
    </row>
    <row r="460" spans="3:41" ht="12.75" customHeight="1">
      <c r="C460" s="49"/>
      <c r="D460" s="49"/>
      <c r="E460" s="49"/>
      <c r="F460" s="49"/>
      <c r="G460" s="49"/>
      <c r="H460" s="49"/>
      <c r="I460" s="49"/>
      <c r="J460" s="49"/>
      <c r="K460" s="49"/>
      <c r="L460" s="49"/>
      <c r="M460" s="49"/>
      <c r="S460" s="49"/>
      <c r="T460" s="49"/>
      <c r="U460" s="49"/>
      <c r="W460" s="49"/>
      <c r="X460" s="49"/>
      <c r="Y460" s="49"/>
      <c r="Z460" s="49"/>
      <c r="AA460" s="49"/>
      <c r="AB460" s="49"/>
      <c r="AC460" s="49"/>
      <c r="AD460" s="49"/>
      <c r="AE460" s="49"/>
      <c r="AF460" s="49"/>
      <c r="AG460" s="49"/>
      <c r="AH460" s="49"/>
      <c r="AI460" s="49"/>
      <c r="AJ460" s="49"/>
      <c r="AK460" s="49"/>
      <c r="AL460" s="49"/>
      <c r="AM460" s="49"/>
      <c r="AN460" s="49"/>
      <c r="AO460" s="49"/>
    </row>
    <row r="461" spans="3:41" ht="12.75" customHeight="1">
      <c r="C461" s="49"/>
      <c r="D461" s="49"/>
      <c r="E461" s="49"/>
      <c r="F461" s="49"/>
      <c r="G461" s="49"/>
      <c r="H461" s="49"/>
      <c r="I461" s="49"/>
      <c r="J461" s="49"/>
      <c r="K461" s="49"/>
      <c r="L461" s="49"/>
      <c r="M461" s="49"/>
      <c r="S461" s="49"/>
      <c r="T461" s="49"/>
      <c r="U461" s="49"/>
      <c r="W461" s="49"/>
      <c r="X461" s="49"/>
      <c r="Y461" s="49"/>
      <c r="Z461" s="49"/>
      <c r="AA461" s="49"/>
      <c r="AB461" s="49"/>
      <c r="AC461" s="49"/>
      <c r="AD461" s="49"/>
      <c r="AE461" s="49"/>
      <c r="AF461" s="49"/>
      <c r="AG461" s="49"/>
      <c r="AH461" s="49"/>
      <c r="AI461" s="49"/>
      <c r="AJ461" s="49"/>
      <c r="AK461" s="49"/>
      <c r="AL461" s="49"/>
      <c r="AM461" s="49"/>
      <c r="AN461" s="49"/>
      <c r="AO461" s="49"/>
    </row>
    <row r="462" spans="3:41" ht="12.75" customHeight="1">
      <c r="C462" s="49"/>
      <c r="D462" s="49"/>
      <c r="E462" s="49"/>
      <c r="F462" s="49"/>
      <c r="G462" s="49"/>
      <c r="H462" s="49"/>
      <c r="I462" s="49"/>
      <c r="J462" s="49"/>
      <c r="K462" s="49"/>
      <c r="L462" s="49"/>
      <c r="M462" s="49"/>
      <c r="S462" s="49"/>
      <c r="T462" s="49"/>
      <c r="U462" s="49"/>
      <c r="W462" s="49"/>
      <c r="X462" s="49"/>
      <c r="Y462" s="49"/>
      <c r="Z462" s="49"/>
      <c r="AA462" s="49"/>
      <c r="AB462" s="49"/>
      <c r="AC462" s="49"/>
      <c r="AD462" s="49"/>
      <c r="AE462" s="49"/>
      <c r="AF462" s="49"/>
      <c r="AG462" s="49"/>
      <c r="AH462" s="49"/>
      <c r="AI462" s="49"/>
      <c r="AJ462" s="49"/>
      <c r="AK462" s="49"/>
      <c r="AL462" s="49"/>
      <c r="AM462" s="49"/>
      <c r="AN462" s="49"/>
      <c r="AO462" s="49"/>
    </row>
    <row r="463" spans="3:41" ht="12.75" customHeight="1">
      <c r="C463" s="49"/>
      <c r="D463" s="49"/>
      <c r="E463" s="49"/>
      <c r="F463" s="49"/>
      <c r="G463" s="49"/>
      <c r="H463" s="49"/>
      <c r="I463" s="49"/>
      <c r="J463" s="49"/>
      <c r="K463" s="49"/>
      <c r="L463" s="49"/>
      <c r="M463" s="49"/>
      <c r="S463" s="49"/>
      <c r="T463" s="49"/>
      <c r="U463" s="49"/>
      <c r="W463" s="49"/>
      <c r="X463" s="49"/>
      <c r="Y463" s="49"/>
      <c r="Z463" s="49"/>
      <c r="AA463" s="49"/>
      <c r="AB463" s="49"/>
      <c r="AC463" s="49"/>
      <c r="AD463" s="49"/>
      <c r="AE463" s="49"/>
      <c r="AF463" s="49"/>
      <c r="AG463" s="49"/>
      <c r="AH463" s="49"/>
      <c r="AI463" s="49"/>
      <c r="AJ463" s="49"/>
      <c r="AK463" s="49"/>
      <c r="AL463" s="49"/>
      <c r="AM463" s="49"/>
      <c r="AN463" s="49"/>
      <c r="AO463" s="49"/>
    </row>
    <row r="464" spans="3:41" ht="12.75" customHeight="1">
      <c r="C464" s="49"/>
      <c r="D464" s="49"/>
      <c r="E464" s="49"/>
      <c r="F464" s="49"/>
      <c r="G464" s="49"/>
      <c r="H464" s="49"/>
      <c r="I464" s="49"/>
      <c r="J464" s="49"/>
      <c r="K464" s="49"/>
      <c r="L464" s="49"/>
      <c r="M464" s="49"/>
      <c r="S464" s="49"/>
      <c r="T464" s="49"/>
      <c r="U464" s="49"/>
      <c r="W464" s="49"/>
      <c r="X464" s="49"/>
      <c r="Y464" s="49"/>
      <c r="Z464" s="49"/>
      <c r="AA464" s="49"/>
      <c r="AB464" s="49"/>
      <c r="AC464" s="49"/>
      <c r="AD464" s="49"/>
      <c r="AE464" s="49"/>
      <c r="AF464" s="49"/>
      <c r="AG464" s="49"/>
      <c r="AH464" s="49"/>
      <c r="AI464" s="49"/>
      <c r="AJ464" s="49"/>
      <c r="AK464" s="49"/>
      <c r="AL464" s="49"/>
      <c r="AM464" s="49"/>
      <c r="AN464" s="49"/>
      <c r="AO464" s="49"/>
    </row>
    <row r="465" spans="3:41" ht="12.75" customHeight="1">
      <c r="C465" s="49"/>
      <c r="D465" s="49"/>
      <c r="E465" s="49"/>
      <c r="F465" s="49"/>
      <c r="G465" s="49"/>
      <c r="H465" s="49"/>
      <c r="I465" s="49"/>
      <c r="J465" s="49"/>
      <c r="K465" s="49"/>
      <c r="L465" s="49"/>
      <c r="M465" s="49"/>
      <c r="S465" s="49"/>
      <c r="T465" s="49"/>
      <c r="U465" s="49"/>
      <c r="W465" s="49"/>
      <c r="X465" s="49"/>
      <c r="Y465" s="49"/>
      <c r="Z465" s="49"/>
      <c r="AA465" s="49"/>
      <c r="AB465" s="49"/>
      <c r="AC465" s="49"/>
      <c r="AD465" s="49"/>
      <c r="AE465" s="49"/>
      <c r="AF465" s="49"/>
      <c r="AG465" s="49"/>
      <c r="AH465" s="49"/>
      <c r="AI465" s="49"/>
      <c r="AJ465" s="49"/>
      <c r="AK465" s="49"/>
      <c r="AL465" s="49"/>
      <c r="AM465" s="49"/>
      <c r="AN465" s="49"/>
      <c r="AO465" s="49"/>
    </row>
    <row r="466" spans="3:41" ht="12.75" customHeight="1">
      <c r="C466" s="49"/>
      <c r="D466" s="49"/>
      <c r="E466" s="49"/>
      <c r="F466" s="49"/>
      <c r="G466" s="49"/>
      <c r="H466" s="49"/>
      <c r="I466" s="49"/>
      <c r="J466" s="49"/>
      <c r="K466" s="49"/>
      <c r="L466" s="49"/>
      <c r="M466" s="49"/>
      <c r="S466" s="49"/>
      <c r="T466" s="49"/>
      <c r="U466" s="49"/>
      <c r="W466" s="49"/>
      <c r="X466" s="49"/>
      <c r="Y466" s="49"/>
      <c r="Z466" s="49"/>
      <c r="AA466" s="49"/>
      <c r="AB466" s="49"/>
      <c r="AC466" s="49"/>
      <c r="AD466" s="49"/>
      <c r="AE466" s="49"/>
      <c r="AF466" s="49"/>
      <c r="AG466" s="49"/>
      <c r="AH466" s="49"/>
      <c r="AI466" s="49"/>
      <c r="AJ466" s="49"/>
      <c r="AK466" s="49"/>
      <c r="AL466" s="49"/>
      <c r="AM466" s="49"/>
      <c r="AN466" s="49"/>
      <c r="AO466" s="49"/>
    </row>
    <row r="467" spans="3:41" ht="12.75" customHeight="1">
      <c r="C467" s="49"/>
      <c r="D467" s="49"/>
      <c r="E467" s="49"/>
      <c r="F467" s="49"/>
      <c r="G467" s="49"/>
      <c r="H467" s="49"/>
      <c r="I467" s="49"/>
      <c r="J467" s="49"/>
      <c r="K467" s="49"/>
      <c r="L467" s="49"/>
      <c r="M467" s="49"/>
      <c r="S467" s="49"/>
      <c r="T467" s="49"/>
      <c r="U467" s="49"/>
      <c r="W467" s="49"/>
      <c r="X467" s="49"/>
      <c r="Y467" s="49"/>
      <c r="Z467" s="49"/>
      <c r="AA467" s="49"/>
      <c r="AB467" s="49"/>
      <c r="AC467" s="49"/>
      <c r="AD467" s="49"/>
      <c r="AE467" s="49"/>
      <c r="AF467" s="49"/>
      <c r="AG467" s="49"/>
      <c r="AH467" s="49"/>
      <c r="AI467" s="49"/>
      <c r="AJ467" s="49"/>
      <c r="AK467" s="49"/>
      <c r="AL467" s="49"/>
      <c r="AM467" s="49"/>
      <c r="AN467" s="49"/>
      <c r="AO467" s="49"/>
    </row>
    <row r="468" spans="3:41" ht="12.75" customHeight="1">
      <c r="C468" s="49"/>
      <c r="D468" s="49"/>
      <c r="E468" s="49"/>
      <c r="F468" s="49"/>
      <c r="G468" s="49"/>
      <c r="H468" s="49"/>
      <c r="I468" s="49"/>
      <c r="J468" s="49"/>
      <c r="K468" s="49"/>
      <c r="L468" s="49"/>
      <c r="M468" s="49"/>
      <c r="S468" s="49"/>
      <c r="T468" s="49"/>
      <c r="U468" s="49"/>
      <c r="W468" s="49"/>
      <c r="X468" s="49"/>
      <c r="Y468" s="49"/>
      <c r="Z468" s="49"/>
      <c r="AA468" s="49"/>
      <c r="AB468" s="49"/>
      <c r="AC468" s="49"/>
      <c r="AD468" s="49"/>
      <c r="AE468" s="49"/>
      <c r="AF468" s="49"/>
      <c r="AG468" s="49"/>
      <c r="AH468" s="49"/>
      <c r="AI468" s="49"/>
      <c r="AJ468" s="49"/>
      <c r="AK468" s="49"/>
      <c r="AL468" s="49"/>
      <c r="AM468" s="49"/>
      <c r="AN468" s="49"/>
      <c r="AO468" s="49"/>
    </row>
    <row r="469" spans="3:41" ht="12.75" customHeight="1">
      <c r="C469" s="49"/>
      <c r="D469" s="49"/>
      <c r="E469" s="49"/>
      <c r="F469" s="49"/>
      <c r="G469" s="49"/>
      <c r="H469" s="49"/>
      <c r="I469" s="49"/>
      <c r="J469" s="49"/>
      <c r="K469" s="49"/>
      <c r="L469" s="49"/>
      <c r="M469" s="49"/>
      <c r="S469" s="49"/>
      <c r="T469" s="49"/>
      <c r="U469" s="49"/>
      <c r="W469" s="49"/>
      <c r="X469" s="49"/>
      <c r="Y469" s="49"/>
      <c r="Z469" s="49"/>
      <c r="AA469" s="49"/>
      <c r="AB469" s="49"/>
      <c r="AC469" s="49"/>
      <c r="AD469" s="49"/>
      <c r="AE469" s="49"/>
      <c r="AF469" s="49"/>
      <c r="AG469" s="49"/>
      <c r="AH469" s="49"/>
      <c r="AI469" s="49"/>
      <c r="AJ469" s="49"/>
      <c r="AK469" s="49"/>
      <c r="AL469" s="49"/>
      <c r="AM469" s="49"/>
      <c r="AN469" s="49"/>
      <c r="AO469" s="49"/>
    </row>
    <row r="470" spans="3:41" ht="12.75" customHeight="1">
      <c r="C470" s="49"/>
      <c r="D470" s="49"/>
      <c r="E470" s="49"/>
      <c r="F470" s="49"/>
      <c r="G470" s="49"/>
      <c r="H470" s="49"/>
      <c r="I470" s="49"/>
      <c r="J470" s="49"/>
      <c r="K470" s="49"/>
      <c r="L470" s="49"/>
      <c r="M470" s="49"/>
      <c r="S470" s="49"/>
      <c r="T470" s="49"/>
      <c r="U470" s="49"/>
      <c r="W470" s="49"/>
      <c r="X470" s="49"/>
      <c r="Y470" s="49"/>
      <c r="Z470" s="49"/>
      <c r="AA470" s="49"/>
      <c r="AB470" s="49"/>
      <c r="AC470" s="49"/>
      <c r="AD470" s="49"/>
      <c r="AE470" s="49"/>
      <c r="AF470" s="49"/>
      <c r="AG470" s="49"/>
      <c r="AH470" s="49"/>
      <c r="AI470" s="49"/>
      <c r="AJ470" s="49"/>
      <c r="AK470" s="49"/>
      <c r="AL470" s="49"/>
      <c r="AM470" s="49"/>
      <c r="AN470" s="49"/>
      <c r="AO470" s="49"/>
    </row>
    <row r="471" spans="3:41" ht="12.75" customHeight="1">
      <c r="C471" s="49"/>
      <c r="D471" s="49"/>
      <c r="E471" s="49"/>
      <c r="F471" s="49"/>
      <c r="G471" s="49"/>
      <c r="H471" s="49"/>
      <c r="I471" s="49"/>
      <c r="J471" s="49"/>
      <c r="K471" s="49"/>
      <c r="L471" s="49"/>
      <c r="M471" s="49"/>
      <c r="S471" s="49"/>
      <c r="T471" s="49"/>
      <c r="U471" s="49"/>
      <c r="W471" s="49"/>
      <c r="X471" s="49"/>
      <c r="Y471" s="49"/>
      <c r="Z471" s="49"/>
      <c r="AA471" s="49"/>
      <c r="AB471" s="49"/>
      <c r="AC471" s="49"/>
      <c r="AD471" s="49"/>
      <c r="AE471" s="49"/>
      <c r="AF471" s="49"/>
      <c r="AG471" s="49"/>
      <c r="AH471" s="49"/>
      <c r="AI471" s="49"/>
      <c r="AJ471" s="49"/>
      <c r="AK471" s="49"/>
      <c r="AL471" s="49"/>
      <c r="AM471" s="49"/>
      <c r="AN471" s="49"/>
      <c r="AO471" s="49"/>
    </row>
    <row r="472" spans="3:41" ht="12.75" customHeight="1">
      <c r="C472" s="49"/>
      <c r="D472" s="49"/>
      <c r="E472" s="49"/>
      <c r="F472" s="49"/>
      <c r="G472" s="49"/>
      <c r="H472" s="49"/>
      <c r="I472" s="49"/>
      <c r="J472" s="49"/>
      <c r="K472" s="49"/>
      <c r="L472" s="49"/>
      <c r="M472" s="49"/>
      <c r="S472" s="49"/>
      <c r="T472" s="49"/>
      <c r="U472" s="49"/>
      <c r="W472" s="49"/>
      <c r="X472" s="49"/>
      <c r="Y472" s="49"/>
      <c r="Z472" s="49"/>
      <c r="AA472" s="49"/>
      <c r="AB472" s="49"/>
      <c r="AC472" s="49"/>
      <c r="AD472" s="49"/>
      <c r="AE472" s="49"/>
      <c r="AF472" s="49"/>
      <c r="AG472" s="49"/>
      <c r="AH472" s="49"/>
      <c r="AI472" s="49"/>
      <c r="AJ472" s="49"/>
      <c r="AK472" s="49"/>
      <c r="AL472" s="49"/>
      <c r="AM472" s="49"/>
      <c r="AN472" s="49"/>
      <c r="AO472" s="49"/>
    </row>
    <row r="473" spans="3:41" ht="12.75" customHeight="1">
      <c r="C473" s="49"/>
      <c r="D473" s="49"/>
      <c r="E473" s="49"/>
      <c r="F473" s="49"/>
      <c r="G473" s="49"/>
      <c r="H473" s="49"/>
      <c r="I473" s="49"/>
      <c r="J473" s="49"/>
      <c r="K473" s="49"/>
      <c r="L473" s="49"/>
      <c r="M473" s="49"/>
      <c r="S473" s="49"/>
      <c r="T473" s="49"/>
      <c r="U473" s="49"/>
      <c r="W473" s="49"/>
      <c r="X473" s="49"/>
      <c r="Y473" s="49"/>
      <c r="Z473" s="49"/>
      <c r="AA473" s="49"/>
      <c r="AB473" s="49"/>
      <c r="AC473" s="49"/>
      <c r="AD473" s="49"/>
      <c r="AE473" s="49"/>
      <c r="AF473" s="49"/>
      <c r="AG473" s="49"/>
      <c r="AH473" s="49"/>
      <c r="AI473" s="49"/>
      <c r="AJ473" s="49"/>
      <c r="AK473" s="49"/>
      <c r="AL473" s="49"/>
      <c r="AM473" s="49"/>
      <c r="AN473" s="49"/>
      <c r="AO473" s="49"/>
    </row>
    <row r="474" spans="3:41" ht="12.75" customHeight="1">
      <c r="C474" s="49"/>
      <c r="D474" s="49"/>
      <c r="E474" s="49"/>
      <c r="F474" s="49"/>
      <c r="G474" s="49"/>
      <c r="H474" s="49"/>
      <c r="I474" s="49"/>
      <c r="J474" s="49"/>
      <c r="K474" s="49"/>
      <c r="L474" s="49"/>
      <c r="M474" s="49"/>
      <c r="S474" s="49"/>
      <c r="T474" s="49"/>
      <c r="U474" s="49"/>
      <c r="W474" s="49"/>
      <c r="X474" s="49"/>
      <c r="Y474" s="49"/>
      <c r="Z474" s="49"/>
      <c r="AA474" s="49"/>
      <c r="AB474" s="49"/>
      <c r="AC474" s="49"/>
      <c r="AD474" s="49"/>
      <c r="AE474" s="49"/>
      <c r="AF474" s="49"/>
      <c r="AG474" s="49"/>
      <c r="AH474" s="49"/>
      <c r="AI474" s="49"/>
      <c r="AJ474" s="49"/>
      <c r="AK474" s="49"/>
      <c r="AL474" s="49"/>
      <c r="AM474" s="49"/>
      <c r="AN474" s="49"/>
      <c r="AO474" s="49"/>
    </row>
    <row r="475" spans="3:41" ht="12.75" customHeight="1">
      <c r="C475" s="49"/>
      <c r="D475" s="49"/>
      <c r="E475" s="49"/>
      <c r="F475" s="49"/>
      <c r="G475" s="49"/>
      <c r="H475" s="49"/>
      <c r="I475" s="49"/>
      <c r="J475" s="49"/>
      <c r="K475" s="49"/>
      <c r="L475" s="49"/>
      <c r="M475" s="49"/>
      <c r="S475" s="49"/>
      <c r="T475" s="49"/>
      <c r="U475" s="49"/>
      <c r="W475" s="49"/>
      <c r="X475" s="49"/>
      <c r="Y475" s="49"/>
      <c r="Z475" s="49"/>
      <c r="AA475" s="49"/>
      <c r="AB475" s="49"/>
      <c r="AC475" s="49"/>
      <c r="AD475" s="49"/>
      <c r="AE475" s="49"/>
      <c r="AF475" s="49"/>
      <c r="AG475" s="49"/>
      <c r="AH475" s="49"/>
      <c r="AI475" s="49"/>
      <c r="AJ475" s="49"/>
      <c r="AK475" s="49"/>
      <c r="AL475" s="49"/>
      <c r="AM475" s="49"/>
      <c r="AN475" s="49"/>
      <c r="AO475" s="49"/>
    </row>
    <row r="476" spans="3:41" ht="12.75" customHeight="1">
      <c r="C476" s="49"/>
      <c r="D476" s="49"/>
      <c r="E476" s="49"/>
      <c r="F476" s="49"/>
      <c r="G476" s="49"/>
      <c r="H476" s="49"/>
      <c r="I476" s="49"/>
      <c r="J476" s="49"/>
      <c r="K476" s="49"/>
      <c r="L476" s="49"/>
      <c r="M476" s="49"/>
      <c r="S476" s="49"/>
      <c r="T476" s="49"/>
      <c r="U476" s="49"/>
      <c r="W476" s="49"/>
      <c r="X476" s="49"/>
      <c r="Y476" s="49"/>
      <c r="Z476" s="49"/>
      <c r="AA476" s="49"/>
      <c r="AB476" s="49"/>
      <c r="AC476" s="49"/>
      <c r="AD476" s="49"/>
      <c r="AE476" s="49"/>
      <c r="AF476" s="49"/>
      <c r="AG476" s="49"/>
      <c r="AH476" s="49"/>
      <c r="AI476" s="49"/>
      <c r="AJ476" s="49"/>
      <c r="AK476" s="49"/>
      <c r="AL476" s="49"/>
      <c r="AM476" s="49"/>
      <c r="AN476" s="49"/>
      <c r="AO476" s="49"/>
    </row>
    <row r="477" spans="3:41" ht="12.75" customHeight="1">
      <c r="C477" s="49"/>
      <c r="D477" s="49"/>
      <c r="E477" s="49"/>
      <c r="F477" s="49"/>
      <c r="G477" s="49"/>
      <c r="H477" s="49"/>
      <c r="I477" s="49"/>
      <c r="J477" s="49"/>
      <c r="K477" s="49"/>
      <c r="L477" s="49"/>
      <c r="M477" s="49"/>
      <c r="S477" s="49"/>
      <c r="T477" s="49"/>
      <c r="U477" s="49"/>
      <c r="W477" s="49"/>
      <c r="X477" s="49"/>
      <c r="Y477" s="49"/>
      <c r="Z477" s="49"/>
      <c r="AA477" s="49"/>
      <c r="AB477" s="49"/>
      <c r="AC477" s="49"/>
      <c r="AD477" s="49"/>
      <c r="AE477" s="49"/>
      <c r="AF477" s="49"/>
      <c r="AG477" s="49"/>
      <c r="AH477" s="49"/>
      <c r="AI477" s="49"/>
      <c r="AJ477" s="49"/>
      <c r="AK477" s="49"/>
      <c r="AL477" s="49"/>
      <c r="AM477" s="49"/>
      <c r="AN477" s="49"/>
      <c r="AO477" s="49"/>
    </row>
    <row r="478" spans="3:41" ht="12.75" customHeight="1">
      <c r="C478" s="49"/>
      <c r="D478" s="49"/>
      <c r="E478" s="49"/>
      <c r="F478" s="49"/>
      <c r="G478" s="49"/>
      <c r="H478" s="49"/>
      <c r="I478" s="49"/>
      <c r="J478" s="49"/>
      <c r="K478" s="49"/>
      <c r="L478" s="49"/>
      <c r="M478" s="49"/>
      <c r="S478" s="49"/>
      <c r="T478" s="49"/>
      <c r="U478" s="49"/>
      <c r="W478" s="49"/>
      <c r="X478" s="49"/>
      <c r="Y478" s="49"/>
      <c r="Z478" s="49"/>
      <c r="AA478" s="49"/>
      <c r="AB478" s="49"/>
      <c r="AC478" s="49"/>
      <c r="AD478" s="49"/>
      <c r="AE478" s="49"/>
      <c r="AF478" s="49"/>
      <c r="AG478" s="49"/>
      <c r="AH478" s="49"/>
      <c r="AI478" s="49"/>
      <c r="AJ478" s="49"/>
      <c r="AK478" s="49"/>
      <c r="AL478" s="49"/>
      <c r="AM478" s="49"/>
      <c r="AN478" s="49"/>
      <c r="AO478" s="49"/>
    </row>
    <row r="479" spans="3:41" ht="12.75" customHeight="1">
      <c r="C479" s="49"/>
      <c r="D479" s="49"/>
      <c r="E479" s="49"/>
      <c r="F479" s="49"/>
      <c r="G479" s="49"/>
      <c r="H479" s="49"/>
      <c r="I479" s="49"/>
      <c r="J479" s="49"/>
      <c r="K479" s="49"/>
      <c r="L479" s="49"/>
      <c r="M479" s="49"/>
      <c r="S479" s="49"/>
      <c r="T479" s="49"/>
      <c r="U479" s="49"/>
      <c r="W479" s="49"/>
      <c r="X479" s="49"/>
      <c r="Y479" s="49"/>
      <c r="Z479" s="49"/>
      <c r="AA479" s="49"/>
      <c r="AB479" s="49"/>
      <c r="AC479" s="49"/>
      <c r="AD479" s="49"/>
      <c r="AE479" s="49"/>
      <c r="AF479" s="49"/>
      <c r="AG479" s="49"/>
      <c r="AH479" s="49"/>
      <c r="AI479" s="49"/>
      <c r="AJ479" s="49"/>
      <c r="AK479" s="49"/>
      <c r="AL479" s="49"/>
      <c r="AM479" s="49"/>
      <c r="AN479" s="49"/>
      <c r="AO479" s="49"/>
    </row>
    <row r="480" spans="3:41" ht="12.75" customHeight="1">
      <c r="C480" s="49"/>
      <c r="D480" s="49"/>
      <c r="E480" s="49"/>
      <c r="F480" s="49"/>
      <c r="G480" s="49"/>
      <c r="H480" s="49"/>
      <c r="I480" s="49"/>
      <c r="J480" s="49"/>
      <c r="K480" s="49"/>
      <c r="L480" s="49"/>
      <c r="M480" s="49"/>
      <c r="S480" s="49"/>
      <c r="T480" s="49"/>
      <c r="U480" s="49"/>
      <c r="W480" s="49"/>
      <c r="X480" s="49"/>
      <c r="Y480" s="49"/>
      <c r="Z480" s="49"/>
      <c r="AA480" s="49"/>
      <c r="AB480" s="49"/>
      <c r="AC480" s="49"/>
      <c r="AD480" s="49"/>
      <c r="AE480" s="49"/>
      <c r="AF480" s="49"/>
      <c r="AG480" s="49"/>
      <c r="AH480" s="49"/>
      <c r="AI480" s="49"/>
      <c r="AJ480" s="49"/>
      <c r="AK480" s="49"/>
      <c r="AL480" s="49"/>
      <c r="AM480" s="49"/>
      <c r="AN480" s="49"/>
      <c r="AO480" s="49"/>
    </row>
    <row r="481" spans="3:41" ht="12.75" customHeight="1">
      <c r="C481" s="49"/>
      <c r="D481" s="49"/>
      <c r="E481" s="49"/>
      <c r="F481" s="49"/>
      <c r="G481" s="49"/>
      <c r="H481" s="49"/>
      <c r="I481" s="49"/>
      <c r="J481" s="49"/>
      <c r="K481" s="49"/>
      <c r="L481" s="49"/>
      <c r="M481" s="49"/>
      <c r="S481" s="49"/>
      <c r="T481" s="49"/>
      <c r="U481" s="49"/>
      <c r="W481" s="49"/>
      <c r="X481" s="49"/>
      <c r="Y481" s="49"/>
      <c r="Z481" s="49"/>
      <c r="AA481" s="49"/>
      <c r="AB481" s="49"/>
      <c r="AC481" s="49"/>
      <c r="AD481" s="49"/>
      <c r="AE481" s="49"/>
      <c r="AF481" s="49"/>
      <c r="AG481" s="49"/>
      <c r="AH481" s="49"/>
      <c r="AI481" s="49"/>
      <c r="AJ481" s="49"/>
      <c r="AK481" s="49"/>
      <c r="AL481" s="49"/>
      <c r="AM481" s="49"/>
      <c r="AN481" s="49"/>
      <c r="AO481" s="49"/>
    </row>
    <row r="482" spans="3:41" ht="12.75" customHeight="1">
      <c r="C482" s="49"/>
      <c r="D482" s="49"/>
      <c r="E482" s="49"/>
      <c r="F482" s="49"/>
      <c r="G482" s="49"/>
      <c r="H482" s="49"/>
      <c r="I482" s="49"/>
      <c r="J482" s="49"/>
      <c r="K482" s="49"/>
      <c r="L482" s="49"/>
      <c r="M482" s="49"/>
      <c r="S482" s="49"/>
      <c r="T482" s="49"/>
      <c r="U482" s="49"/>
      <c r="W482" s="49"/>
      <c r="X482" s="49"/>
      <c r="Y482" s="49"/>
      <c r="Z482" s="49"/>
      <c r="AA482" s="49"/>
      <c r="AB482" s="49"/>
      <c r="AC482" s="49"/>
      <c r="AD482" s="49"/>
      <c r="AE482" s="49"/>
      <c r="AF482" s="49"/>
      <c r="AG482" s="49"/>
      <c r="AH482" s="49"/>
      <c r="AI482" s="49"/>
      <c r="AJ482" s="49"/>
      <c r="AK482" s="49"/>
      <c r="AL482" s="49"/>
      <c r="AM482" s="49"/>
      <c r="AN482" s="49"/>
      <c r="AO482" s="49"/>
    </row>
    <row r="483" spans="3:41" ht="12.75" customHeight="1">
      <c r="C483" s="49"/>
      <c r="D483" s="49"/>
      <c r="E483" s="49"/>
      <c r="F483" s="49"/>
      <c r="G483" s="49"/>
      <c r="H483" s="49"/>
      <c r="I483" s="49"/>
      <c r="J483" s="49"/>
      <c r="K483" s="49"/>
      <c r="L483" s="49"/>
      <c r="M483" s="49"/>
      <c r="S483" s="49"/>
      <c r="T483" s="49"/>
      <c r="U483" s="49"/>
      <c r="W483" s="49"/>
      <c r="X483" s="49"/>
      <c r="Y483" s="49"/>
      <c r="Z483" s="49"/>
      <c r="AA483" s="49"/>
      <c r="AB483" s="49"/>
      <c r="AC483" s="49"/>
      <c r="AD483" s="49"/>
      <c r="AE483" s="49"/>
      <c r="AF483" s="49"/>
      <c r="AG483" s="49"/>
      <c r="AH483" s="49"/>
      <c r="AI483" s="49"/>
      <c r="AJ483" s="49"/>
      <c r="AK483" s="49"/>
      <c r="AL483" s="49"/>
      <c r="AM483" s="49"/>
      <c r="AN483" s="49"/>
      <c r="AO483" s="49"/>
    </row>
    <row r="484" spans="3:41" ht="12.75" customHeight="1">
      <c r="C484" s="49"/>
      <c r="D484" s="49"/>
      <c r="E484" s="49"/>
      <c r="F484" s="49"/>
      <c r="G484" s="49"/>
      <c r="H484" s="49"/>
      <c r="I484" s="49"/>
      <c r="J484" s="49"/>
      <c r="K484" s="49"/>
      <c r="L484" s="49"/>
      <c r="M484" s="49"/>
      <c r="S484" s="49"/>
      <c r="T484" s="49"/>
      <c r="U484" s="49"/>
      <c r="W484" s="49"/>
      <c r="X484" s="49"/>
      <c r="Y484" s="49"/>
      <c r="Z484" s="49"/>
      <c r="AA484" s="49"/>
      <c r="AB484" s="49"/>
      <c r="AC484" s="49"/>
      <c r="AD484" s="49"/>
      <c r="AE484" s="49"/>
      <c r="AF484" s="49"/>
      <c r="AG484" s="49"/>
      <c r="AH484" s="49"/>
      <c r="AI484" s="49"/>
      <c r="AJ484" s="49"/>
      <c r="AK484" s="49"/>
      <c r="AL484" s="49"/>
      <c r="AM484" s="49"/>
      <c r="AN484" s="49"/>
      <c r="AO484" s="49"/>
    </row>
    <row r="485" spans="3:41" ht="12.75" customHeight="1">
      <c r="C485" s="49"/>
      <c r="D485" s="49"/>
      <c r="E485" s="49"/>
      <c r="F485" s="49"/>
      <c r="G485" s="49"/>
      <c r="H485" s="49"/>
      <c r="I485" s="49"/>
      <c r="J485" s="49"/>
      <c r="K485" s="49"/>
      <c r="L485" s="49"/>
      <c r="M485" s="49"/>
      <c r="S485" s="49"/>
      <c r="T485" s="49"/>
      <c r="U485" s="49"/>
      <c r="W485" s="49"/>
      <c r="X485" s="49"/>
      <c r="Y485" s="49"/>
      <c r="Z485" s="49"/>
      <c r="AA485" s="49"/>
      <c r="AB485" s="49"/>
      <c r="AC485" s="49"/>
      <c r="AD485" s="49"/>
      <c r="AE485" s="49"/>
      <c r="AF485" s="49"/>
      <c r="AG485" s="49"/>
      <c r="AH485" s="49"/>
      <c r="AI485" s="49"/>
      <c r="AJ485" s="49"/>
      <c r="AK485" s="49"/>
      <c r="AL485" s="49"/>
      <c r="AM485" s="49"/>
      <c r="AN485" s="49"/>
      <c r="AO485" s="49"/>
    </row>
    <row r="486" spans="3:41" ht="12.75" customHeight="1">
      <c r="C486" s="49"/>
      <c r="D486" s="49"/>
      <c r="E486" s="49"/>
      <c r="F486" s="49"/>
      <c r="G486" s="49"/>
      <c r="H486" s="49"/>
      <c r="I486" s="49"/>
      <c r="J486" s="49"/>
      <c r="K486" s="49"/>
      <c r="L486" s="49"/>
      <c r="M486" s="49"/>
      <c r="S486" s="49"/>
      <c r="T486" s="49"/>
      <c r="U486" s="49"/>
      <c r="W486" s="49"/>
      <c r="X486" s="49"/>
      <c r="Y486" s="49"/>
      <c r="Z486" s="49"/>
      <c r="AA486" s="49"/>
      <c r="AB486" s="49"/>
      <c r="AC486" s="49"/>
      <c r="AD486" s="49"/>
      <c r="AE486" s="49"/>
      <c r="AF486" s="49"/>
      <c r="AG486" s="49"/>
      <c r="AH486" s="49"/>
      <c r="AI486" s="49"/>
      <c r="AJ486" s="49"/>
      <c r="AK486" s="49"/>
      <c r="AL486" s="49"/>
      <c r="AM486" s="49"/>
      <c r="AN486" s="49"/>
      <c r="AO486" s="49"/>
    </row>
    <row r="487" spans="3:41" ht="12.75" customHeight="1">
      <c r="C487" s="49"/>
      <c r="D487" s="49"/>
      <c r="E487" s="49"/>
      <c r="F487" s="49"/>
      <c r="G487" s="49"/>
      <c r="H487" s="49"/>
      <c r="I487" s="49"/>
      <c r="J487" s="49"/>
      <c r="K487" s="49"/>
      <c r="L487" s="49"/>
      <c r="M487" s="49"/>
      <c r="S487" s="49"/>
      <c r="T487" s="49"/>
      <c r="U487" s="49"/>
      <c r="W487" s="49"/>
      <c r="X487" s="49"/>
      <c r="Y487" s="49"/>
      <c r="Z487" s="49"/>
      <c r="AA487" s="49"/>
      <c r="AB487" s="49"/>
      <c r="AC487" s="49"/>
      <c r="AD487" s="49"/>
      <c r="AE487" s="49"/>
      <c r="AF487" s="49"/>
      <c r="AG487" s="49"/>
      <c r="AH487" s="49"/>
      <c r="AI487" s="49"/>
      <c r="AJ487" s="49"/>
      <c r="AK487" s="49"/>
      <c r="AL487" s="49"/>
      <c r="AM487" s="49"/>
      <c r="AN487" s="49"/>
      <c r="AO487" s="49"/>
    </row>
    <row r="488" spans="3:41" ht="12.75" customHeight="1">
      <c r="C488" s="49"/>
      <c r="D488" s="49"/>
      <c r="E488" s="49"/>
      <c r="F488" s="49"/>
      <c r="G488" s="49"/>
      <c r="H488" s="49"/>
      <c r="I488" s="49"/>
      <c r="J488" s="49"/>
      <c r="K488" s="49"/>
      <c r="L488" s="49"/>
      <c r="M488" s="49"/>
      <c r="S488" s="49"/>
      <c r="T488" s="49"/>
      <c r="U488" s="49"/>
      <c r="W488" s="49"/>
      <c r="X488" s="49"/>
      <c r="Y488" s="49"/>
      <c r="Z488" s="49"/>
      <c r="AA488" s="49"/>
      <c r="AB488" s="49"/>
      <c r="AC488" s="49"/>
      <c r="AD488" s="49"/>
      <c r="AE488" s="49"/>
      <c r="AF488" s="49"/>
      <c r="AG488" s="49"/>
      <c r="AH488" s="49"/>
      <c r="AI488" s="49"/>
      <c r="AJ488" s="49"/>
      <c r="AK488" s="49"/>
      <c r="AL488" s="49"/>
      <c r="AM488" s="49"/>
      <c r="AN488" s="49"/>
      <c r="AO488" s="49"/>
    </row>
    <row r="489" spans="3:41" ht="12.75" customHeight="1">
      <c r="C489" s="49"/>
      <c r="D489" s="49"/>
      <c r="E489" s="49"/>
      <c r="F489" s="49"/>
      <c r="G489" s="49"/>
      <c r="H489" s="49"/>
      <c r="I489" s="49"/>
      <c r="J489" s="49"/>
      <c r="K489" s="49"/>
      <c r="L489" s="49"/>
      <c r="M489" s="49"/>
      <c r="S489" s="49"/>
      <c r="T489" s="49"/>
      <c r="U489" s="49"/>
      <c r="W489" s="49"/>
      <c r="X489" s="49"/>
      <c r="Y489" s="49"/>
      <c r="Z489" s="49"/>
      <c r="AA489" s="49"/>
      <c r="AB489" s="49"/>
      <c r="AC489" s="49"/>
      <c r="AD489" s="49"/>
      <c r="AE489" s="49"/>
      <c r="AF489" s="49"/>
      <c r="AG489" s="49"/>
      <c r="AH489" s="49"/>
      <c r="AI489" s="49"/>
      <c r="AJ489" s="49"/>
      <c r="AK489" s="49"/>
      <c r="AL489" s="49"/>
      <c r="AM489" s="49"/>
      <c r="AN489" s="49"/>
      <c r="AO489" s="49"/>
    </row>
    <row r="490" spans="3:41" ht="12.75" customHeight="1">
      <c r="C490" s="49"/>
      <c r="D490" s="49"/>
      <c r="E490" s="49"/>
      <c r="F490" s="49"/>
      <c r="G490" s="49"/>
      <c r="H490" s="49"/>
      <c r="I490" s="49"/>
      <c r="J490" s="49"/>
      <c r="K490" s="49"/>
      <c r="L490" s="49"/>
      <c r="M490" s="49"/>
      <c r="S490" s="49"/>
      <c r="T490" s="49"/>
      <c r="U490" s="49"/>
      <c r="W490" s="49"/>
      <c r="X490" s="49"/>
      <c r="Y490" s="49"/>
      <c r="Z490" s="49"/>
      <c r="AA490" s="49"/>
      <c r="AB490" s="49"/>
      <c r="AC490" s="49"/>
      <c r="AD490" s="49"/>
      <c r="AE490" s="49"/>
      <c r="AF490" s="49"/>
      <c r="AG490" s="49"/>
      <c r="AH490" s="49"/>
      <c r="AI490" s="49"/>
      <c r="AJ490" s="49"/>
      <c r="AK490" s="49"/>
      <c r="AL490" s="49"/>
      <c r="AM490" s="49"/>
      <c r="AN490" s="49"/>
      <c r="AO490" s="49"/>
    </row>
    <row r="491" spans="3:41" ht="12.75" customHeight="1">
      <c r="C491" s="49"/>
      <c r="D491" s="49"/>
      <c r="E491" s="49"/>
      <c r="F491" s="49"/>
      <c r="G491" s="49"/>
      <c r="H491" s="49"/>
      <c r="I491" s="49"/>
      <c r="J491" s="49"/>
      <c r="K491" s="49"/>
      <c r="L491" s="49"/>
      <c r="M491" s="49"/>
      <c r="S491" s="49"/>
      <c r="T491" s="49"/>
      <c r="U491" s="49"/>
      <c r="W491" s="49"/>
      <c r="X491" s="49"/>
      <c r="Y491" s="49"/>
      <c r="Z491" s="49"/>
      <c r="AA491" s="49"/>
      <c r="AB491" s="49"/>
      <c r="AC491" s="49"/>
      <c r="AD491" s="49"/>
      <c r="AE491" s="49"/>
      <c r="AF491" s="49"/>
      <c r="AG491" s="49"/>
      <c r="AH491" s="49"/>
      <c r="AI491" s="49"/>
      <c r="AJ491" s="49"/>
      <c r="AK491" s="49"/>
      <c r="AL491" s="49"/>
      <c r="AM491" s="49"/>
      <c r="AN491" s="49"/>
      <c r="AO491" s="49"/>
    </row>
    <row r="492" spans="3:41" ht="12.75" customHeight="1">
      <c r="C492" s="49"/>
      <c r="D492" s="49"/>
      <c r="E492" s="49"/>
      <c r="F492" s="49"/>
      <c r="G492" s="49"/>
      <c r="H492" s="49"/>
      <c r="I492" s="49"/>
      <c r="J492" s="49"/>
      <c r="K492" s="49"/>
      <c r="L492" s="49"/>
      <c r="M492" s="49"/>
      <c r="S492" s="49"/>
      <c r="T492" s="49"/>
      <c r="U492" s="49"/>
      <c r="W492" s="49"/>
      <c r="X492" s="49"/>
      <c r="Y492" s="49"/>
      <c r="Z492" s="49"/>
      <c r="AA492" s="49"/>
      <c r="AB492" s="49"/>
      <c r="AC492" s="49"/>
      <c r="AD492" s="49"/>
      <c r="AE492" s="49"/>
      <c r="AF492" s="49"/>
      <c r="AG492" s="49"/>
      <c r="AH492" s="49"/>
      <c r="AI492" s="49"/>
      <c r="AJ492" s="49"/>
      <c r="AK492" s="49"/>
      <c r="AL492" s="49"/>
      <c r="AM492" s="49"/>
      <c r="AN492" s="49"/>
      <c r="AO492" s="49"/>
    </row>
    <row r="493" spans="3:41" ht="12.75" customHeight="1">
      <c r="C493" s="49"/>
      <c r="D493" s="49"/>
      <c r="E493" s="49"/>
      <c r="F493" s="49"/>
      <c r="G493" s="49"/>
      <c r="H493" s="49"/>
      <c r="I493" s="49"/>
      <c r="J493" s="49"/>
      <c r="K493" s="49"/>
      <c r="L493" s="49"/>
      <c r="M493" s="49"/>
      <c r="S493" s="49"/>
      <c r="T493" s="49"/>
      <c r="U493" s="49"/>
      <c r="W493" s="49"/>
      <c r="X493" s="49"/>
      <c r="Y493" s="49"/>
      <c r="Z493" s="49"/>
      <c r="AA493" s="49"/>
      <c r="AB493" s="49"/>
      <c r="AC493" s="49"/>
      <c r="AD493" s="49"/>
      <c r="AE493" s="49"/>
      <c r="AF493" s="49"/>
      <c r="AG493" s="49"/>
      <c r="AH493" s="49"/>
      <c r="AI493" s="49"/>
      <c r="AJ493" s="49"/>
      <c r="AK493" s="49"/>
      <c r="AL493" s="49"/>
      <c r="AM493" s="49"/>
      <c r="AN493" s="49"/>
      <c r="AO493" s="49"/>
    </row>
    <row r="494" spans="3:41" ht="12.75" customHeight="1">
      <c r="C494" s="49"/>
      <c r="D494" s="49"/>
      <c r="E494" s="49"/>
      <c r="F494" s="49"/>
      <c r="G494" s="49"/>
      <c r="H494" s="49"/>
      <c r="I494" s="49"/>
      <c r="J494" s="49"/>
      <c r="K494" s="49"/>
      <c r="L494" s="49"/>
      <c r="M494" s="49"/>
      <c r="S494" s="49"/>
      <c r="T494" s="49"/>
      <c r="U494" s="49"/>
      <c r="W494" s="49"/>
      <c r="X494" s="49"/>
      <c r="Y494" s="49"/>
      <c r="Z494" s="49"/>
      <c r="AA494" s="49"/>
      <c r="AB494" s="49"/>
      <c r="AC494" s="49"/>
      <c r="AD494" s="49"/>
      <c r="AE494" s="49"/>
      <c r="AF494" s="49"/>
      <c r="AG494" s="49"/>
      <c r="AH494" s="49"/>
      <c r="AI494" s="49"/>
      <c r="AJ494" s="49"/>
      <c r="AK494" s="49"/>
      <c r="AL494" s="49"/>
      <c r="AM494" s="49"/>
      <c r="AN494" s="49"/>
      <c r="AO494" s="49"/>
    </row>
    <row r="495" spans="3:41" ht="12.75" customHeight="1">
      <c r="C495" s="49"/>
      <c r="D495" s="49"/>
      <c r="E495" s="49"/>
      <c r="F495" s="49"/>
      <c r="G495" s="49"/>
      <c r="H495" s="49"/>
      <c r="I495" s="49"/>
      <c r="J495" s="49"/>
      <c r="K495" s="49"/>
      <c r="L495" s="49"/>
      <c r="M495" s="49"/>
      <c r="S495" s="49"/>
      <c r="T495" s="49"/>
      <c r="U495" s="49"/>
      <c r="W495" s="49"/>
      <c r="X495" s="49"/>
      <c r="Y495" s="49"/>
      <c r="Z495" s="49"/>
      <c r="AA495" s="49"/>
      <c r="AB495" s="49"/>
      <c r="AC495" s="49"/>
      <c r="AD495" s="49"/>
      <c r="AE495" s="49"/>
      <c r="AF495" s="49"/>
      <c r="AG495" s="49"/>
      <c r="AH495" s="49"/>
      <c r="AI495" s="49"/>
      <c r="AJ495" s="49"/>
      <c r="AK495" s="49"/>
      <c r="AL495" s="49"/>
      <c r="AM495" s="49"/>
      <c r="AN495" s="49"/>
      <c r="AO495" s="49"/>
    </row>
    <row r="496" spans="3:41" ht="12.75" customHeight="1">
      <c r="C496" s="49"/>
      <c r="D496" s="49"/>
      <c r="E496" s="49"/>
      <c r="F496" s="49"/>
      <c r="G496" s="49"/>
      <c r="H496" s="49"/>
      <c r="I496" s="49"/>
      <c r="J496" s="49"/>
      <c r="K496" s="49"/>
      <c r="L496" s="49"/>
      <c r="M496" s="49"/>
      <c r="S496" s="49"/>
      <c r="T496" s="49"/>
      <c r="U496" s="49"/>
      <c r="W496" s="49"/>
      <c r="X496" s="49"/>
      <c r="Y496" s="49"/>
      <c r="Z496" s="49"/>
      <c r="AA496" s="49"/>
      <c r="AB496" s="49"/>
      <c r="AC496" s="49"/>
      <c r="AD496" s="49"/>
      <c r="AE496" s="49"/>
      <c r="AF496" s="49"/>
      <c r="AG496" s="49"/>
      <c r="AH496" s="49"/>
      <c r="AI496" s="49"/>
      <c r="AJ496" s="49"/>
      <c r="AK496" s="49"/>
      <c r="AL496" s="49"/>
      <c r="AM496" s="49"/>
      <c r="AN496" s="49"/>
      <c r="AO496" s="49"/>
    </row>
    <row r="497" spans="3:41" ht="12.75" customHeight="1">
      <c r="C497" s="49"/>
      <c r="D497" s="49"/>
      <c r="E497" s="49"/>
      <c r="F497" s="49"/>
      <c r="G497" s="49"/>
      <c r="H497" s="49"/>
      <c r="I497" s="49"/>
      <c r="J497" s="49"/>
      <c r="K497" s="49"/>
      <c r="L497" s="49"/>
      <c r="M497" s="49"/>
      <c r="S497" s="49"/>
      <c r="T497" s="49"/>
      <c r="U497" s="49"/>
      <c r="W497" s="49"/>
      <c r="X497" s="49"/>
      <c r="Y497" s="49"/>
      <c r="Z497" s="49"/>
      <c r="AA497" s="49"/>
      <c r="AB497" s="49"/>
      <c r="AC497" s="49"/>
      <c r="AD497" s="49"/>
      <c r="AE497" s="49"/>
      <c r="AF497" s="49"/>
      <c r="AG497" s="49"/>
      <c r="AH497" s="49"/>
      <c r="AI497" s="49"/>
      <c r="AJ497" s="49"/>
      <c r="AK497" s="49"/>
      <c r="AL497" s="49"/>
      <c r="AM497" s="49"/>
      <c r="AN497" s="49"/>
      <c r="AO497" s="49"/>
    </row>
    <row r="498" spans="3:41" ht="12.75" customHeight="1">
      <c r="C498" s="49"/>
      <c r="D498" s="49"/>
      <c r="E498" s="49"/>
      <c r="F498" s="49"/>
      <c r="G498" s="49"/>
      <c r="H498" s="49"/>
      <c r="I498" s="49"/>
      <c r="J498" s="49"/>
      <c r="K498" s="49"/>
      <c r="L498" s="49"/>
      <c r="M498" s="49"/>
      <c r="S498" s="49"/>
      <c r="T498" s="49"/>
      <c r="U498" s="49"/>
      <c r="W498" s="49"/>
      <c r="X498" s="49"/>
      <c r="Y498" s="49"/>
      <c r="Z498" s="49"/>
      <c r="AA498" s="49"/>
      <c r="AB498" s="49"/>
      <c r="AC498" s="49"/>
      <c r="AD498" s="49"/>
      <c r="AE498" s="49"/>
      <c r="AF498" s="49"/>
      <c r="AG498" s="49"/>
      <c r="AH498" s="49"/>
      <c r="AI498" s="49"/>
      <c r="AJ498" s="49"/>
      <c r="AK498" s="49"/>
      <c r="AL498" s="49"/>
      <c r="AM498" s="49"/>
      <c r="AN498" s="49"/>
      <c r="AO498" s="49"/>
    </row>
    <row r="499" spans="3:41" ht="12.75" customHeight="1">
      <c r="C499" s="49"/>
      <c r="D499" s="49"/>
      <c r="E499" s="49"/>
      <c r="F499" s="49"/>
      <c r="G499" s="49"/>
      <c r="H499" s="49"/>
      <c r="I499" s="49"/>
      <c r="J499" s="49"/>
      <c r="K499" s="49"/>
      <c r="L499" s="49"/>
      <c r="M499" s="49"/>
      <c r="S499" s="49"/>
      <c r="T499" s="49"/>
      <c r="U499" s="49"/>
      <c r="W499" s="49"/>
      <c r="X499" s="49"/>
      <c r="Y499" s="49"/>
      <c r="Z499" s="49"/>
      <c r="AA499" s="49"/>
      <c r="AB499" s="49"/>
      <c r="AC499" s="49"/>
      <c r="AD499" s="49"/>
      <c r="AE499" s="49"/>
      <c r="AF499" s="49"/>
      <c r="AG499" s="49"/>
      <c r="AH499" s="49"/>
      <c r="AI499" s="49"/>
      <c r="AJ499" s="49"/>
      <c r="AK499" s="49"/>
      <c r="AL499" s="49"/>
      <c r="AM499" s="49"/>
      <c r="AN499" s="49"/>
      <c r="AO499" s="49"/>
    </row>
    <row r="500" spans="3:41" ht="12.75" customHeight="1">
      <c r="C500" s="49"/>
      <c r="D500" s="49"/>
      <c r="E500" s="49"/>
      <c r="F500" s="49"/>
      <c r="G500" s="49"/>
      <c r="H500" s="49"/>
      <c r="I500" s="49"/>
      <c r="J500" s="49"/>
      <c r="K500" s="49"/>
      <c r="L500" s="49"/>
      <c r="M500" s="49"/>
      <c r="S500" s="49"/>
      <c r="T500" s="49"/>
      <c r="U500" s="49"/>
      <c r="W500" s="49"/>
      <c r="X500" s="49"/>
      <c r="Y500" s="49"/>
      <c r="Z500" s="49"/>
      <c r="AA500" s="49"/>
      <c r="AB500" s="49"/>
      <c r="AC500" s="49"/>
      <c r="AD500" s="49"/>
      <c r="AE500" s="49"/>
      <c r="AF500" s="49"/>
      <c r="AG500" s="49"/>
      <c r="AH500" s="49"/>
      <c r="AI500" s="49"/>
      <c r="AJ500" s="49"/>
      <c r="AK500" s="49"/>
      <c r="AL500" s="49"/>
      <c r="AM500" s="49"/>
      <c r="AN500" s="49"/>
      <c r="AO500" s="49"/>
    </row>
    <row r="501" spans="3:41" ht="12.75" customHeight="1">
      <c r="C501" s="49"/>
      <c r="D501" s="49"/>
      <c r="E501" s="49"/>
      <c r="F501" s="49"/>
      <c r="G501" s="49"/>
      <c r="H501" s="49"/>
      <c r="I501" s="49"/>
      <c r="J501" s="49"/>
      <c r="K501" s="49"/>
      <c r="L501" s="49"/>
      <c r="M501" s="49"/>
      <c r="S501" s="49"/>
      <c r="T501" s="49"/>
      <c r="U501" s="49"/>
      <c r="W501" s="49"/>
      <c r="X501" s="49"/>
      <c r="Y501" s="49"/>
      <c r="Z501" s="49"/>
      <c r="AA501" s="49"/>
      <c r="AB501" s="49"/>
      <c r="AC501" s="49"/>
      <c r="AD501" s="49"/>
      <c r="AE501" s="49"/>
      <c r="AF501" s="49"/>
      <c r="AG501" s="49"/>
      <c r="AH501" s="49"/>
      <c r="AI501" s="49"/>
      <c r="AJ501" s="49"/>
      <c r="AK501" s="49"/>
      <c r="AL501" s="49"/>
      <c r="AM501" s="49"/>
      <c r="AN501" s="49"/>
      <c r="AO501" s="49"/>
    </row>
    <row r="502" spans="3:41" ht="12.75" customHeight="1">
      <c r="C502" s="49"/>
      <c r="D502" s="49"/>
      <c r="E502" s="49"/>
      <c r="F502" s="49"/>
      <c r="G502" s="49"/>
      <c r="H502" s="49"/>
      <c r="I502" s="49"/>
      <c r="J502" s="49"/>
      <c r="K502" s="49"/>
      <c r="L502" s="49"/>
      <c r="M502" s="49"/>
      <c r="S502" s="49"/>
      <c r="T502" s="49"/>
      <c r="U502" s="49"/>
      <c r="W502" s="49"/>
      <c r="X502" s="49"/>
      <c r="Y502" s="49"/>
      <c r="Z502" s="49"/>
      <c r="AA502" s="49"/>
      <c r="AB502" s="49"/>
      <c r="AC502" s="49"/>
      <c r="AD502" s="49"/>
      <c r="AE502" s="49"/>
      <c r="AF502" s="49"/>
      <c r="AG502" s="49"/>
      <c r="AH502" s="49"/>
      <c r="AI502" s="49"/>
      <c r="AJ502" s="49"/>
      <c r="AK502" s="49"/>
      <c r="AL502" s="49"/>
      <c r="AM502" s="49"/>
      <c r="AN502" s="49"/>
      <c r="AO502" s="49"/>
    </row>
    <row r="503" spans="3:41" ht="12.75" customHeight="1">
      <c r="C503" s="49"/>
      <c r="D503" s="49"/>
      <c r="E503" s="49"/>
      <c r="F503" s="49"/>
      <c r="G503" s="49"/>
      <c r="H503" s="49"/>
      <c r="I503" s="49"/>
      <c r="J503" s="49"/>
      <c r="K503" s="49"/>
      <c r="L503" s="49"/>
      <c r="M503" s="49"/>
      <c r="S503" s="49"/>
      <c r="T503" s="49"/>
      <c r="U503" s="49"/>
      <c r="W503" s="49"/>
      <c r="X503" s="49"/>
      <c r="Y503" s="49"/>
      <c r="Z503" s="49"/>
      <c r="AA503" s="49"/>
      <c r="AB503" s="49"/>
      <c r="AC503" s="49"/>
      <c r="AD503" s="49"/>
      <c r="AE503" s="49"/>
      <c r="AF503" s="49"/>
      <c r="AG503" s="49"/>
      <c r="AH503" s="49"/>
      <c r="AI503" s="49"/>
      <c r="AJ503" s="49"/>
      <c r="AK503" s="49"/>
      <c r="AL503" s="49"/>
      <c r="AM503" s="49"/>
      <c r="AN503" s="49"/>
      <c r="AO503" s="49"/>
    </row>
    <row r="504" spans="3:41" ht="12.75" customHeight="1">
      <c r="C504" s="49"/>
      <c r="D504" s="49"/>
      <c r="E504" s="49"/>
      <c r="F504" s="49"/>
      <c r="G504" s="49"/>
      <c r="H504" s="49"/>
      <c r="I504" s="49"/>
      <c r="J504" s="49"/>
      <c r="K504" s="49"/>
      <c r="L504" s="49"/>
      <c r="M504" s="49"/>
      <c r="S504" s="49"/>
      <c r="T504" s="49"/>
      <c r="U504" s="49"/>
      <c r="W504" s="49"/>
      <c r="X504" s="49"/>
      <c r="Y504" s="49"/>
      <c r="Z504" s="49"/>
      <c r="AA504" s="49"/>
      <c r="AB504" s="49"/>
      <c r="AC504" s="49"/>
      <c r="AD504" s="49"/>
      <c r="AE504" s="49"/>
      <c r="AF504" s="49"/>
      <c r="AG504" s="49"/>
      <c r="AH504" s="49"/>
      <c r="AI504" s="49"/>
      <c r="AJ504" s="49"/>
      <c r="AK504" s="49"/>
      <c r="AL504" s="49"/>
      <c r="AM504" s="49"/>
      <c r="AN504" s="49"/>
      <c r="AO504" s="49"/>
    </row>
    <row r="505" spans="3:41" ht="12.75" customHeight="1">
      <c r="C505" s="49"/>
      <c r="D505" s="49"/>
      <c r="E505" s="49"/>
      <c r="F505" s="49"/>
      <c r="G505" s="49"/>
      <c r="H505" s="49"/>
      <c r="I505" s="49"/>
      <c r="J505" s="49"/>
      <c r="K505" s="49"/>
      <c r="L505" s="49"/>
      <c r="M505" s="49"/>
      <c r="S505" s="49"/>
      <c r="T505" s="49"/>
      <c r="U505" s="49"/>
      <c r="W505" s="49"/>
      <c r="X505" s="49"/>
      <c r="Y505" s="49"/>
      <c r="Z505" s="49"/>
      <c r="AA505" s="49"/>
      <c r="AB505" s="49"/>
      <c r="AC505" s="49"/>
      <c r="AD505" s="49"/>
      <c r="AE505" s="49"/>
      <c r="AF505" s="49"/>
      <c r="AG505" s="49"/>
      <c r="AH505" s="49"/>
      <c r="AI505" s="49"/>
      <c r="AJ505" s="49"/>
      <c r="AK505" s="49"/>
      <c r="AL505" s="49"/>
      <c r="AM505" s="49"/>
      <c r="AN505" s="49"/>
      <c r="AO505" s="49"/>
    </row>
    <row r="506" spans="3:41" ht="12.75" customHeight="1">
      <c r="C506" s="49"/>
      <c r="D506" s="49"/>
      <c r="E506" s="49"/>
      <c r="F506" s="49"/>
      <c r="G506" s="49"/>
      <c r="H506" s="49"/>
      <c r="I506" s="49"/>
      <c r="J506" s="49"/>
      <c r="K506" s="49"/>
      <c r="L506" s="49"/>
      <c r="M506" s="49"/>
      <c r="S506" s="49"/>
      <c r="T506" s="49"/>
      <c r="U506" s="49"/>
      <c r="W506" s="49"/>
      <c r="X506" s="49"/>
      <c r="Y506" s="49"/>
      <c r="Z506" s="49"/>
      <c r="AA506" s="49"/>
      <c r="AB506" s="49"/>
      <c r="AC506" s="49"/>
      <c r="AD506" s="49"/>
      <c r="AE506" s="49"/>
      <c r="AF506" s="49"/>
      <c r="AG506" s="49"/>
      <c r="AH506" s="49"/>
      <c r="AI506" s="49"/>
      <c r="AJ506" s="49"/>
      <c r="AK506" s="49"/>
      <c r="AL506" s="49"/>
      <c r="AM506" s="49"/>
      <c r="AN506" s="49"/>
      <c r="AO506" s="49"/>
    </row>
    <row r="507" spans="3:41" ht="12.75" customHeight="1">
      <c r="C507" s="49"/>
      <c r="D507" s="49"/>
      <c r="E507" s="49"/>
      <c r="F507" s="49"/>
      <c r="G507" s="49"/>
      <c r="H507" s="49"/>
      <c r="I507" s="49"/>
      <c r="J507" s="49"/>
      <c r="K507" s="49"/>
      <c r="L507" s="49"/>
      <c r="M507" s="49"/>
      <c r="S507" s="49"/>
      <c r="T507" s="49"/>
      <c r="U507" s="49"/>
      <c r="W507" s="49"/>
      <c r="X507" s="49"/>
      <c r="Y507" s="49"/>
      <c r="Z507" s="49"/>
      <c r="AA507" s="49"/>
      <c r="AB507" s="49"/>
      <c r="AC507" s="49"/>
      <c r="AD507" s="49"/>
      <c r="AE507" s="49"/>
      <c r="AF507" s="49"/>
      <c r="AG507" s="49"/>
      <c r="AH507" s="49"/>
      <c r="AI507" s="49"/>
      <c r="AJ507" s="49"/>
      <c r="AK507" s="49"/>
      <c r="AL507" s="49"/>
      <c r="AM507" s="49"/>
      <c r="AN507" s="49"/>
      <c r="AO507" s="49"/>
    </row>
    <row r="508" spans="3:41" ht="12.75" customHeight="1">
      <c r="C508" s="49"/>
      <c r="D508" s="49"/>
      <c r="E508" s="49"/>
      <c r="F508" s="49"/>
      <c r="G508" s="49"/>
      <c r="H508" s="49"/>
      <c r="I508" s="49"/>
      <c r="J508" s="49"/>
      <c r="K508" s="49"/>
      <c r="L508" s="49"/>
      <c r="M508" s="49"/>
      <c r="S508" s="49"/>
      <c r="T508" s="49"/>
      <c r="U508" s="49"/>
      <c r="W508" s="49"/>
      <c r="X508" s="49"/>
      <c r="Y508" s="49"/>
      <c r="Z508" s="49"/>
      <c r="AA508" s="49"/>
      <c r="AB508" s="49"/>
      <c r="AC508" s="49"/>
      <c r="AD508" s="49"/>
      <c r="AE508" s="49"/>
      <c r="AF508" s="49"/>
      <c r="AG508" s="49"/>
      <c r="AH508" s="49"/>
      <c r="AI508" s="49"/>
      <c r="AJ508" s="49"/>
      <c r="AK508" s="49"/>
      <c r="AL508" s="49"/>
      <c r="AM508" s="49"/>
      <c r="AN508" s="49"/>
      <c r="AO508" s="49"/>
    </row>
    <row r="509" spans="3:41" ht="12.75" customHeight="1">
      <c r="C509" s="49"/>
      <c r="D509" s="49"/>
      <c r="E509" s="49"/>
      <c r="F509" s="49"/>
      <c r="G509" s="49"/>
      <c r="H509" s="49"/>
      <c r="I509" s="49"/>
      <c r="J509" s="49"/>
      <c r="K509" s="49"/>
      <c r="L509" s="49"/>
      <c r="M509" s="49"/>
      <c r="S509" s="49"/>
      <c r="T509" s="49"/>
      <c r="U509" s="49"/>
      <c r="W509" s="49"/>
      <c r="X509" s="49"/>
      <c r="Y509" s="49"/>
      <c r="Z509" s="49"/>
      <c r="AA509" s="49"/>
      <c r="AB509" s="49"/>
      <c r="AC509" s="49"/>
      <c r="AD509" s="49"/>
      <c r="AE509" s="49"/>
      <c r="AF509" s="49"/>
      <c r="AG509" s="49"/>
      <c r="AH509" s="49"/>
      <c r="AI509" s="49"/>
      <c r="AJ509" s="49"/>
      <c r="AK509" s="49"/>
      <c r="AL509" s="49"/>
      <c r="AM509" s="49"/>
      <c r="AN509" s="49"/>
      <c r="AO509" s="49"/>
    </row>
    <row r="510" spans="3:41" ht="12.75" customHeight="1">
      <c r="C510" s="49"/>
      <c r="D510" s="49"/>
      <c r="E510" s="49"/>
      <c r="F510" s="49"/>
      <c r="G510" s="49"/>
      <c r="H510" s="49"/>
      <c r="I510" s="49"/>
      <c r="J510" s="49"/>
      <c r="K510" s="49"/>
      <c r="L510" s="49"/>
      <c r="M510" s="49"/>
      <c r="S510" s="49"/>
      <c r="T510" s="49"/>
      <c r="U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ustomHeight="1">
      <c r="C511" s="49"/>
      <c r="D511" s="49"/>
      <c r="E511" s="49"/>
      <c r="F511" s="49"/>
      <c r="G511" s="49"/>
      <c r="H511" s="49"/>
      <c r="I511" s="49"/>
      <c r="J511" s="49"/>
      <c r="K511" s="49"/>
      <c r="L511" s="49"/>
      <c r="M511" s="49"/>
      <c r="S511" s="49"/>
      <c r="T511" s="49"/>
      <c r="U511" s="49"/>
      <c r="W511" s="49"/>
      <c r="X511" s="49"/>
      <c r="Y511" s="49"/>
      <c r="Z511" s="49"/>
      <c r="AA511" s="49"/>
      <c r="AB511" s="49"/>
      <c r="AC511" s="49"/>
      <c r="AD511" s="49"/>
      <c r="AE511" s="49"/>
      <c r="AF511" s="49"/>
      <c r="AG511" s="49"/>
      <c r="AH511" s="49"/>
      <c r="AI511" s="49"/>
      <c r="AJ511" s="49"/>
      <c r="AK511" s="49"/>
      <c r="AL511" s="49"/>
      <c r="AM511" s="49"/>
      <c r="AN511" s="49"/>
      <c r="AO511" s="49"/>
    </row>
    <row r="512" spans="3:41" ht="12.75" customHeight="1">
      <c r="C512" s="49"/>
      <c r="D512" s="49"/>
      <c r="E512" s="49"/>
      <c r="F512" s="49"/>
      <c r="G512" s="49"/>
      <c r="H512" s="49"/>
      <c r="I512" s="49"/>
      <c r="J512" s="49"/>
      <c r="K512" s="49"/>
      <c r="L512" s="49"/>
      <c r="M512" s="49"/>
      <c r="S512" s="49"/>
      <c r="T512" s="49"/>
      <c r="U512" s="49"/>
      <c r="W512" s="49"/>
      <c r="X512" s="49"/>
      <c r="Y512" s="49"/>
      <c r="Z512" s="49"/>
      <c r="AA512" s="49"/>
      <c r="AB512" s="49"/>
      <c r="AC512" s="49"/>
      <c r="AD512" s="49"/>
      <c r="AE512" s="49"/>
      <c r="AF512" s="49"/>
      <c r="AG512" s="49"/>
      <c r="AH512" s="49"/>
      <c r="AI512" s="49"/>
      <c r="AJ512" s="49"/>
      <c r="AK512" s="49"/>
      <c r="AL512" s="49"/>
      <c r="AM512" s="49"/>
      <c r="AN512" s="49"/>
      <c r="AO512" s="49"/>
    </row>
    <row r="513" spans="3:41" ht="12.75" customHeight="1">
      <c r="C513" s="49"/>
      <c r="D513" s="49"/>
      <c r="E513" s="49"/>
      <c r="F513" s="49"/>
      <c r="G513" s="49"/>
      <c r="H513" s="49"/>
      <c r="I513" s="49"/>
      <c r="J513" s="49"/>
      <c r="K513" s="49"/>
      <c r="L513" s="49"/>
      <c r="M513" s="49"/>
      <c r="S513" s="49"/>
      <c r="T513" s="49"/>
      <c r="U513" s="49"/>
      <c r="W513" s="49"/>
      <c r="X513" s="49"/>
      <c r="Y513" s="49"/>
      <c r="Z513" s="49"/>
      <c r="AA513" s="49"/>
      <c r="AB513" s="49"/>
      <c r="AC513" s="49"/>
      <c r="AD513" s="49"/>
      <c r="AE513" s="49"/>
      <c r="AF513" s="49"/>
      <c r="AG513" s="49"/>
      <c r="AH513" s="49"/>
      <c r="AI513" s="49"/>
      <c r="AJ513" s="49"/>
      <c r="AK513" s="49"/>
      <c r="AL513" s="49"/>
      <c r="AM513" s="49"/>
      <c r="AN513" s="49"/>
      <c r="AO513" s="49"/>
    </row>
    <row r="514" spans="3:41" ht="12.75" customHeight="1">
      <c r="C514" s="49"/>
      <c r="D514" s="49"/>
      <c r="E514" s="49"/>
      <c r="F514" s="49"/>
      <c r="G514" s="49"/>
      <c r="H514" s="49"/>
      <c r="I514" s="49"/>
      <c r="J514" s="49"/>
      <c r="K514" s="49"/>
      <c r="L514" s="49"/>
      <c r="M514" s="49"/>
      <c r="S514" s="49"/>
      <c r="T514" s="49"/>
      <c r="U514" s="49"/>
      <c r="W514" s="49"/>
      <c r="X514" s="49"/>
      <c r="Y514" s="49"/>
      <c r="Z514" s="49"/>
      <c r="AA514" s="49"/>
      <c r="AB514" s="49"/>
      <c r="AC514" s="49"/>
      <c r="AD514" s="49"/>
      <c r="AE514" s="49"/>
      <c r="AF514" s="49"/>
      <c r="AG514" s="49"/>
      <c r="AH514" s="49"/>
      <c r="AI514" s="49"/>
      <c r="AJ514" s="49"/>
      <c r="AK514" s="49"/>
      <c r="AL514" s="49"/>
      <c r="AM514" s="49"/>
      <c r="AN514" s="49"/>
      <c r="AO514" s="49"/>
    </row>
    <row r="515" spans="3:41" ht="12.75" customHeight="1">
      <c r="C515" s="49"/>
      <c r="D515" s="49"/>
      <c r="E515" s="49"/>
      <c r="F515" s="49"/>
      <c r="G515" s="49"/>
      <c r="H515" s="49"/>
      <c r="I515" s="49"/>
      <c r="J515" s="49"/>
      <c r="K515" s="49"/>
      <c r="L515" s="49"/>
      <c r="M515" s="49"/>
      <c r="S515" s="49"/>
      <c r="T515" s="49"/>
      <c r="U515" s="49"/>
      <c r="W515" s="49"/>
      <c r="X515" s="49"/>
      <c r="Y515" s="49"/>
      <c r="Z515" s="49"/>
      <c r="AA515" s="49"/>
      <c r="AB515" s="49"/>
      <c r="AC515" s="49"/>
      <c r="AD515" s="49"/>
      <c r="AE515" s="49"/>
      <c r="AF515" s="49"/>
      <c r="AG515" s="49"/>
      <c r="AH515" s="49"/>
      <c r="AI515" s="49"/>
      <c r="AJ515" s="49"/>
      <c r="AK515" s="49"/>
      <c r="AL515" s="49"/>
      <c r="AM515" s="49"/>
      <c r="AN515" s="49"/>
      <c r="AO515" s="49"/>
    </row>
    <row r="516" spans="3:41" ht="12.75" customHeight="1">
      <c r="C516" s="49"/>
      <c r="D516" s="49"/>
      <c r="E516" s="49"/>
      <c r="F516" s="49"/>
      <c r="G516" s="49"/>
      <c r="H516" s="49"/>
      <c r="I516" s="49"/>
      <c r="J516" s="49"/>
      <c r="K516" s="49"/>
      <c r="L516" s="49"/>
      <c r="M516" s="49"/>
      <c r="S516" s="49"/>
      <c r="T516" s="49"/>
      <c r="U516" s="49"/>
      <c r="W516" s="49"/>
      <c r="X516" s="49"/>
      <c r="Y516" s="49"/>
      <c r="Z516" s="49"/>
      <c r="AA516" s="49"/>
      <c r="AB516" s="49"/>
      <c r="AC516" s="49"/>
      <c r="AD516" s="49"/>
      <c r="AE516" s="49"/>
      <c r="AF516" s="49"/>
      <c r="AG516" s="49"/>
      <c r="AH516" s="49"/>
      <c r="AI516" s="49"/>
      <c r="AJ516" s="49"/>
      <c r="AK516" s="49"/>
      <c r="AL516" s="49"/>
      <c r="AM516" s="49"/>
      <c r="AN516" s="49"/>
      <c r="AO516" s="49"/>
    </row>
    <row r="517" spans="3:41" ht="12.75" customHeight="1">
      <c r="C517" s="49"/>
      <c r="D517" s="49"/>
      <c r="E517" s="49"/>
      <c r="F517" s="49"/>
      <c r="G517" s="49"/>
      <c r="H517" s="49"/>
      <c r="I517" s="49"/>
      <c r="J517" s="49"/>
      <c r="K517" s="49"/>
      <c r="L517" s="49"/>
      <c r="M517" s="49"/>
      <c r="S517" s="49"/>
      <c r="T517" s="49"/>
      <c r="U517" s="49"/>
      <c r="W517" s="49"/>
      <c r="X517" s="49"/>
      <c r="Y517" s="49"/>
      <c r="Z517" s="49"/>
      <c r="AA517" s="49"/>
      <c r="AB517" s="49"/>
      <c r="AC517" s="49"/>
      <c r="AD517" s="49"/>
      <c r="AE517" s="49"/>
      <c r="AF517" s="49"/>
      <c r="AG517" s="49"/>
      <c r="AH517" s="49"/>
      <c r="AI517" s="49"/>
      <c r="AJ517" s="49"/>
      <c r="AK517" s="49"/>
      <c r="AL517" s="49"/>
      <c r="AM517" s="49"/>
      <c r="AN517" s="49"/>
      <c r="AO517" s="49"/>
    </row>
    <row r="518" spans="3:41" ht="12.75" customHeight="1">
      <c r="C518" s="49"/>
      <c r="D518" s="49"/>
      <c r="E518" s="49"/>
      <c r="F518" s="49"/>
      <c r="G518" s="49"/>
      <c r="H518" s="49"/>
      <c r="I518" s="49"/>
      <c r="J518" s="49"/>
      <c r="K518" s="49"/>
      <c r="L518" s="49"/>
      <c r="M518" s="49"/>
      <c r="S518" s="49"/>
      <c r="T518" s="49"/>
      <c r="U518" s="49"/>
      <c r="W518" s="49"/>
      <c r="X518" s="49"/>
      <c r="Y518" s="49"/>
      <c r="Z518" s="49"/>
      <c r="AA518" s="49"/>
      <c r="AB518" s="49"/>
      <c r="AC518" s="49"/>
      <c r="AD518" s="49"/>
      <c r="AE518" s="49"/>
      <c r="AF518" s="49"/>
      <c r="AG518" s="49"/>
      <c r="AH518" s="49"/>
      <c r="AI518" s="49"/>
      <c r="AJ518" s="49"/>
      <c r="AK518" s="49"/>
      <c r="AL518" s="49"/>
      <c r="AM518" s="49"/>
      <c r="AN518" s="49"/>
      <c r="AO518" s="49"/>
    </row>
    <row r="519" spans="3:41" ht="12.75" customHeight="1">
      <c r="C519" s="49"/>
      <c r="D519" s="49"/>
      <c r="E519" s="49"/>
      <c r="F519" s="49"/>
      <c r="G519" s="49"/>
      <c r="H519" s="49"/>
      <c r="I519" s="49"/>
      <c r="J519" s="49"/>
      <c r="K519" s="49"/>
      <c r="L519" s="49"/>
      <c r="M519" s="49"/>
      <c r="S519" s="49"/>
      <c r="T519" s="49"/>
      <c r="U519" s="49"/>
      <c r="W519" s="49"/>
      <c r="X519" s="49"/>
      <c r="Y519" s="49"/>
      <c r="Z519" s="49"/>
      <c r="AA519" s="49"/>
      <c r="AB519" s="49"/>
      <c r="AC519" s="49"/>
      <c r="AD519" s="49"/>
      <c r="AE519" s="49"/>
      <c r="AF519" s="49"/>
      <c r="AG519" s="49"/>
      <c r="AH519" s="49"/>
      <c r="AI519" s="49"/>
      <c r="AJ519" s="49"/>
      <c r="AK519" s="49"/>
      <c r="AL519" s="49"/>
      <c r="AM519" s="49"/>
      <c r="AN519" s="49"/>
      <c r="AO519" s="49"/>
    </row>
    <row r="520" spans="3:41" ht="12.75" customHeight="1">
      <c r="C520" s="49"/>
      <c r="D520" s="49"/>
      <c r="E520" s="49"/>
      <c r="F520" s="49"/>
      <c r="G520" s="49"/>
      <c r="H520" s="49"/>
      <c r="I520" s="49"/>
      <c r="J520" s="49"/>
      <c r="K520" s="49"/>
      <c r="L520" s="49"/>
      <c r="M520" s="49"/>
      <c r="S520" s="49"/>
      <c r="T520" s="49"/>
      <c r="U520" s="49"/>
      <c r="W520" s="49"/>
      <c r="X520" s="49"/>
      <c r="Y520" s="49"/>
      <c r="Z520" s="49"/>
      <c r="AA520" s="49"/>
      <c r="AB520" s="49"/>
      <c r="AC520" s="49"/>
      <c r="AD520" s="49"/>
      <c r="AE520" s="49"/>
      <c r="AF520" s="49"/>
      <c r="AG520" s="49"/>
      <c r="AH520" s="49"/>
      <c r="AI520" s="49"/>
      <c r="AJ520" s="49"/>
      <c r="AK520" s="49"/>
      <c r="AL520" s="49"/>
      <c r="AM520" s="49"/>
      <c r="AN520" s="49"/>
      <c r="AO520" s="49"/>
    </row>
    <row r="521" spans="3:41" ht="12.75">
      <c r="C521" s="49"/>
      <c r="D521" s="49"/>
      <c r="E521" s="49"/>
      <c r="F521" s="49"/>
      <c r="G521" s="49"/>
      <c r="H521" s="49"/>
      <c r="I521" s="49"/>
      <c r="J521" s="49"/>
      <c r="K521" s="49"/>
      <c r="L521" s="49"/>
      <c r="M521" s="49"/>
      <c r="S521" s="49"/>
      <c r="T521" s="49"/>
      <c r="U521" s="49"/>
      <c r="W521" s="49"/>
      <c r="X521" s="49"/>
      <c r="Y521" s="49"/>
      <c r="Z521" s="49"/>
      <c r="AA521" s="49"/>
      <c r="AB521" s="49"/>
      <c r="AC521" s="49"/>
      <c r="AD521" s="49"/>
      <c r="AE521" s="49"/>
      <c r="AF521" s="49"/>
      <c r="AG521" s="49"/>
      <c r="AH521" s="49"/>
      <c r="AI521" s="49"/>
      <c r="AJ521" s="49"/>
      <c r="AK521" s="49"/>
      <c r="AL521" s="49"/>
      <c r="AM521" s="49"/>
      <c r="AN521" s="49"/>
      <c r="AO521" s="49"/>
    </row>
    <row r="522" spans="3:30" ht="12.75">
      <c r="C522" s="49"/>
      <c r="D522" s="49"/>
      <c r="E522" s="49"/>
      <c r="F522" s="49"/>
      <c r="G522" s="49"/>
      <c r="H522" s="49"/>
      <c r="I522" s="49"/>
      <c r="J522" s="49"/>
      <c r="K522" s="49"/>
      <c r="L522" s="49"/>
      <c r="M522" s="49"/>
      <c r="S522" s="49"/>
      <c r="T522" s="49"/>
      <c r="U522" s="49"/>
      <c r="W522" s="49"/>
      <c r="X522" s="49"/>
      <c r="Y522" s="49"/>
      <c r="Z522" s="49"/>
      <c r="AA522" s="49"/>
      <c r="AB522" s="49"/>
      <c r="AC522" s="49"/>
      <c r="AD522" s="49"/>
    </row>
    <row r="523" spans="3:30" ht="12.75">
      <c r="C523" s="49"/>
      <c r="D523" s="49"/>
      <c r="E523" s="49"/>
      <c r="F523" s="49"/>
      <c r="G523" s="49"/>
      <c r="H523" s="49"/>
      <c r="I523" s="49"/>
      <c r="J523" s="49"/>
      <c r="K523" s="49"/>
      <c r="L523" s="49"/>
      <c r="M523" s="49"/>
      <c r="S523" s="49"/>
      <c r="T523" s="49"/>
      <c r="U523" s="49"/>
      <c r="W523" s="49"/>
      <c r="X523" s="49"/>
      <c r="Y523" s="49"/>
      <c r="Z523" s="49"/>
      <c r="AA523" s="49"/>
      <c r="AB523" s="49"/>
      <c r="AC523" s="49"/>
      <c r="AD523" s="49"/>
    </row>
    <row r="524" spans="3:30" ht="12.75">
      <c r="C524" s="49"/>
      <c r="D524" s="49"/>
      <c r="E524" s="49"/>
      <c r="F524" s="49"/>
      <c r="G524" s="49"/>
      <c r="H524" s="49"/>
      <c r="I524" s="49"/>
      <c r="J524" s="49"/>
      <c r="K524" s="49"/>
      <c r="L524" s="49"/>
      <c r="M524" s="49"/>
      <c r="S524" s="49"/>
      <c r="T524" s="49"/>
      <c r="U524" s="49"/>
      <c r="W524" s="49"/>
      <c r="X524" s="49"/>
      <c r="Y524" s="49"/>
      <c r="Z524" s="49"/>
      <c r="AA524" s="49"/>
      <c r="AB524" s="49"/>
      <c r="AC524" s="49"/>
      <c r="AD524" s="4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AO524"/>
  <sheetViews>
    <sheetView workbookViewId="0" topLeftCell="A13">
      <selection activeCell="K68" sqref="K68"/>
    </sheetView>
  </sheetViews>
  <sheetFormatPr defaultColWidth="9.140625" defaultRowHeight="12.75"/>
  <cols>
    <col min="1" max="1" width="27.00390625" style="37" customWidth="1"/>
    <col min="2" max="2" width="25.57421875" style="37" customWidth="1"/>
    <col min="3" max="6" width="8.421875" style="37" customWidth="1"/>
    <col min="7" max="7" width="12.7109375" style="37" customWidth="1"/>
    <col min="8" max="8" width="14.140625" style="37" customWidth="1"/>
    <col min="9" max="9" width="9.00390625" style="38" customWidth="1"/>
    <col min="10" max="13" width="7.8515625" style="38" customWidth="1"/>
    <col min="14" max="18" width="7.8515625" style="39" customWidth="1"/>
    <col min="19" max="19" width="6.421875" style="37" customWidth="1"/>
    <col min="20" max="20" width="9.421875" style="37" customWidth="1"/>
    <col min="21" max="21" width="8.7109375" style="37" customWidth="1"/>
    <col min="22" max="23" width="8.7109375" style="39" customWidth="1"/>
    <col min="24" max="16384" width="8.7109375" style="37" customWidth="1"/>
  </cols>
  <sheetData>
    <row r="1" ht="14.25">
      <c r="A1" s="36" t="s">
        <v>127</v>
      </c>
    </row>
    <row r="2" ht="12.75">
      <c r="A2" s="37">
        <v>2383</v>
      </c>
    </row>
    <row r="4" spans="1:23" ht="12.75">
      <c r="A4" s="109" t="s">
        <v>32</v>
      </c>
      <c r="B4" s="110"/>
      <c r="C4" s="110"/>
      <c r="D4" s="110"/>
      <c r="E4" s="110"/>
      <c r="F4" s="110"/>
      <c r="G4" s="111"/>
      <c r="I4"/>
      <c r="J4"/>
      <c r="K4"/>
      <c r="L4"/>
      <c r="M4"/>
      <c r="N4"/>
      <c r="O4"/>
      <c r="P4"/>
      <c r="Q4"/>
      <c r="R4"/>
      <c r="S4"/>
      <c r="T4"/>
      <c r="U4"/>
      <c r="V4"/>
      <c r="W4"/>
    </row>
    <row r="5" spans="1:23" s="99" customFormat="1" ht="26.25" customHeight="1">
      <c r="A5" s="46" t="s">
        <v>34</v>
      </c>
      <c r="B5" s="46" t="s">
        <v>35</v>
      </c>
      <c r="C5" s="46" t="s">
        <v>128</v>
      </c>
      <c r="D5" s="46" t="s">
        <v>193</v>
      </c>
      <c r="E5" s="46" t="s">
        <v>191</v>
      </c>
      <c r="F5" s="46" t="s">
        <v>192</v>
      </c>
      <c r="G5" s="47" t="s">
        <v>38</v>
      </c>
      <c r="H5" s="37"/>
      <c r="I5"/>
      <c r="J5"/>
      <c r="K5"/>
      <c r="L5"/>
      <c r="M5"/>
      <c r="N5"/>
      <c r="O5"/>
      <c r="P5"/>
      <c r="Q5"/>
      <c r="R5"/>
      <c r="S5"/>
      <c r="T5"/>
      <c r="U5"/>
      <c r="V5"/>
      <c r="W5"/>
    </row>
    <row r="6" spans="1:20" ht="12.75" customHeight="1">
      <c r="A6" s="106" t="str">
        <f aca="true" t="shared" si="0" ref="A6:A18">B6</f>
        <v>BGWALL R22 FOAM BLOCK</v>
      </c>
      <c r="B6" s="106" t="str">
        <f>'UA Optimizer '!$AC53</f>
        <v>BGWALL R22 FOAM BLOCK</v>
      </c>
      <c r="C6" s="203">
        <f>'UA Optimizer '!$AH53</f>
        <v>56.43316730152583</v>
      </c>
      <c r="D6" s="106">
        <v>70</v>
      </c>
      <c r="E6" s="112">
        <f>'UA Optimizer '!$AE53</f>
        <v>6.108674772657476</v>
      </c>
      <c r="F6" s="106">
        <v>0</v>
      </c>
      <c r="G6" s="100" t="s">
        <v>174</v>
      </c>
      <c r="P6" s="60"/>
      <c r="Q6" s="60"/>
      <c r="R6" s="60"/>
      <c r="S6" s="60"/>
      <c r="T6" s="60"/>
    </row>
    <row r="7" spans="1:20" ht="12.75" customHeight="1">
      <c r="A7" s="106" t="str">
        <f t="shared" si="0"/>
        <v>WALL R21 ADV</v>
      </c>
      <c r="B7" s="106" t="str">
        <f>'UA Optimizer '!$AC54</f>
        <v>WALL R21 ADV</v>
      </c>
      <c r="C7" s="203">
        <f>'UA Optimizer '!$AH54</f>
        <v>994.5895528087585</v>
      </c>
      <c r="D7" s="106">
        <v>70</v>
      </c>
      <c r="E7" s="112">
        <f>'UA Optimizer '!$AE54</f>
        <v>198.2046796771229</v>
      </c>
      <c r="F7" s="106">
        <v>0</v>
      </c>
      <c r="G7" s="100" t="s">
        <v>174</v>
      </c>
      <c r="H7" s="60"/>
      <c r="I7" s="60"/>
      <c r="J7" s="60"/>
      <c r="K7" s="60"/>
      <c r="L7" s="60"/>
      <c r="M7" s="60"/>
      <c r="N7" s="60"/>
      <c r="O7" s="60"/>
      <c r="P7" s="60"/>
      <c r="Q7" s="60"/>
      <c r="R7" s="60"/>
      <c r="S7" s="60"/>
      <c r="T7" s="60"/>
    </row>
    <row r="8" spans="1:7" ht="12.75" customHeight="1">
      <c r="A8" s="106" t="str">
        <f t="shared" si="0"/>
        <v>WINDOW CL35</v>
      </c>
      <c r="B8" s="106" t="str">
        <f>'UA Optimizer '!$AC55</f>
        <v>WINDOW CL35</v>
      </c>
      <c r="C8" s="203">
        <f>'UA Optimizer '!$AH55</f>
        <v>465.58731163375523</v>
      </c>
      <c r="D8" s="106">
        <v>70</v>
      </c>
      <c r="E8" s="112">
        <f>'UA Optimizer '!$AE55</f>
        <v>98.17513027485425</v>
      </c>
      <c r="F8" s="106">
        <v>0</v>
      </c>
      <c r="G8" s="100" t="s">
        <v>174</v>
      </c>
    </row>
    <row r="9" spans="1:7" ht="12.75" customHeight="1">
      <c r="A9" s="106" t="str">
        <f t="shared" si="0"/>
        <v>SLAB R10-4FT</v>
      </c>
      <c r="B9" s="106" t="str">
        <f>'UA Optimizer '!$AC56</f>
        <v>SLAB R10-4FT</v>
      </c>
      <c r="C9" s="203">
        <f>'UA Optimizer '!$AH56</f>
        <v>413.8775891128571</v>
      </c>
      <c r="D9" s="106">
        <v>70</v>
      </c>
      <c r="E9" s="112">
        <f>'UA Optimizer '!$AE56</f>
        <v>256.56434045161944</v>
      </c>
      <c r="F9" s="106">
        <v>0</v>
      </c>
      <c r="G9" s="100" t="s">
        <v>174</v>
      </c>
    </row>
    <row r="10" spans="1:7" ht="12.75" customHeight="1">
      <c r="A10" s="106" t="str">
        <f t="shared" si="0"/>
        <v>SLAB R10-FULL</v>
      </c>
      <c r="B10" s="106" t="str">
        <f>'UA Optimizer '!$AC57</f>
        <v>SLAB R10-FULL</v>
      </c>
      <c r="C10" s="203">
        <f>'UA Optimizer '!$AH57</f>
        <v>825.5904662625544</v>
      </c>
      <c r="D10" s="106">
        <v>70</v>
      </c>
      <c r="E10" s="112">
        <f>'UA Optimizer '!$AE57</f>
        <v>514.6558495964035</v>
      </c>
      <c r="F10" s="106">
        <v>0</v>
      </c>
      <c r="G10" s="100" t="s">
        <v>174</v>
      </c>
    </row>
    <row r="11" spans="1:7" ht="12.75" customHeight="1">
      <c r="A11" s="106" t="str">
        <f t="shared" si="0"/>
        <v>FLOOR R38 STD w/12"Truss</v>
      </c>
      <c r="B11" s="106" t="str">
        <f>'UA Optimizer '!$AC58</f>
        <v>FLOOR R38 STD w/12"Truss</v>
      </c>
      <c r="C11" s="203">
        <f>'UA Optimizer '!$AH58</f>
        <v>35.68117198945038</v>
      </c>
      <c r="D11" s="106">
        <v>70</v>
      </c>
      <c r="E11" s="112">
        <f>'UA Optimizer '!$AE58</f>
        <v>30.63064064575458</v>
      </c>
      <c r="F11" s="106">
        <v>0</v>
      </c>
      <c r="G11" s="100" t="s">
        <v>174</v>
      </c>
    </row>
    <row r="12" spans="1:7" ht="12.75" customHeight="1">
      <c r="A12" s="106" t="str">
        <f t="shared" si="0"/>
        <v>ATTIC R49 ADVrh</v>
      </c>
      <c r="B12" s="106" t="str">
        <f>'UA Optimizer '!$AC59</f>
        <v>ATTIC R49 ADVrh</v>
      </c>
      <c r="C12" s="203">
        <f>'UA Optimizer '!$AH59</f>
        <v>644.6189414609544</v>
      </c>
      <c r="D12" s="106">
        <v>70</v>
      </c>
      <c r="E12" s="112">
        <f>'UA Optimizer '!$AE59</f>
        <v>614.205431695106</v>
      </c>
      <c r="F12" s="106">
        <v>0</v>
      </c>
      <c r="G12" s="100" t="s">
        <v>174</v>
      </c>
    </row>
    <row r="13" spans="1:7" ht="12.75" customHeight="1">
      <c r="A13" s="106" t="str">
        <f t="shared" si="0"/>
        <v>WINDOW CL30</v>
      </c>
      <c r="B13" s="106" t="str">
        <f>'UA Optimizer '!$AC60</f>
        <v>WINDOW CL30</v>
      </c>
      <c r="C13" s="203">
        <f>'UA Optimizer '!$AH60</f>
        <v>460.8478550814434</v>
      </c>
      <c r="D13" s="106">
        <v>70</v>
      </c>
      <c r="E13" s="112">
        <f>'UA Optimizer '!$AE60</f>
        <v>510.51067742924283</v>
      </c>
      <c r="F13" s="106">
        <v>0</v>
      </c>
      <c r="G13" s="100" t="s">
        <v>174</v>
      </c>
    </row>
    <row r="14" spans="1:7" ht="12.75" customHeight="1">
      <c r="A14" s="106" t="str">
        <f t="shared" si="0"/>
        <v>WINDOW CL25</v>
      </c>
      <c r="B14" s="106" t="str">
        <f>'UA Optimizer '!$AC61</f>
        <v>WINDOW CL25</v>
      </c>
      <c r="C14" s="203">
        <f>'UA Optimizer '!$AH61</f>
        <v>460.16425113895093</v>
      </c>
      <c r="D14" s="106">
        <v>70</v>
      </c>
      <c r="E14" s="112">
        <f>'UA Optimizer '!$AE61</f>
        <v>545.4173904158578</v>
      </c>
      <c r="F14" s="106">
        <v>0</v>
      </c>
      <c r="G14" s="100" t="s">
        <v>174</v>
      </c>
    </row>
    <row r="15" spans="1:7" ht="12.75" customHeight="1">
      <c r="A15" s="106" t="str">
        <f t="shared" si="0"/>
        <v>WALL R21 STD+R5</v>
      </c>
      <c r="B15" s="106" t="str">
        <f>'UA Optimizer '!$AC62</f>
        <v>WALL R21 STD+R5</v>
      </c>
      <c r="C15" s="203">
        <f>'UA Optimizer '!$AH62</f>
        <v>693.7493457428027</v>
      </c>
      <c r="D15" s="106">
        <v>70</v>
      </c>
      <c r="E15" s="112">
        <f>'UA Optimizer '!$AE62</f>
        <v>1129.7666741595992</v>
      </c>
      <c r="F15" s="106">
        <v>0</v>
      </c>
      <c r="G15" s="100" t="s">
        <v>174</v>
      </c>
    </row>
    <row r="16" spans="1:7" ht="12.75" customHeight="1">
      <c r="A16" s="106" t="str">
        <f t="shared" si="0"/>
        <v>WALL 8" SSPANEL</v>
      </c>
      <c r="B16" s="106" t="str">
        <f>'UA Optimizer '!$AC63</f>
        <v>WALL 8" SSPANEL</v>
      </c>
      <c r="C16" s="203">
        <f>'UA Optimizer '!$AH63</f>
        <v>774.699572407535</v>
      </c>
      <c r="D16" s="106">
        <v>70</v>
      </c>
      <c r="E16" s="112">
        <f>'UA Optimizer '!$AE63</f>
        <v>1545.9965014815568</v>
      </c>
      <c r="F16" s="106">
        <v>0</v>
      </c>
      <c r="G16" s="100" t="s">
        <v>174</v>
      </c>
    </row>
    <row r="17" spans="1:7" ht="12.75" customHeight="1">
      <c r="A17" s="106" t="str">
        <f t="shared" si="0"/>
        <v>ATTIC R60 ADVrh</v>
      </c>
      <c r="B17" s="106" t="str">
        <f>'UA Optimizer '!$AC64</f>
        <v>ATTIC R60 ADVrh</v>
      </c>
      <c r="C17" s="203">
        <f>'UA Optimizer '!$AH64</f>
        <v>169.60141810728237</v>
      </c>
      <c r="D17" s="106">
        <v>70</v>
      </c>
      <c r="E17" s="112">
        <f>'UA Optimizer '!$AE64</f>
        <v>352.8414182078268</v>
      </c>
      <c r="F17" s="106">
        <v>0</v>
      </c>
      <c r="G17" s="100" t="s">
        <v>174</v>
      </c>
    </row>
    <row r="18" spans="1:7" ht="12.75" customHeight="1">
      <c r="A18" s="106" t="str">
        <f t="shared" si="0"/>
        <v>WALL R33 DBL</v>
      </c>
      <c r="B18" s="106" t="str">
        <f>'UA Optimizer '!$AC65</f>
        <v>WALL R33 DBL</v>
      </c>
      <c r="C18" s="203">
        <f>'UA Optimizer '!$AH65</f>
        <v>85.65259123411124</v>
      </c>
      <c r="D18" s="106">
        <v>70</v>
      </c>
      <c r="E18" s="112">
        <f>'UA Optimizer '!$AE65</f>
        <v>792.8187187084916</v>
      </c>
      <c r="F18" s="106">
        <v>0</v>
      </c>
      <c r="G18" s="100" t="s">
        <v>174</v>
      </c>
    </row>
    <row r="19" spans="1:41"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ht="12.75" customHeight="1" thickBo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ht="12.75" customHeight="1" thickBot="1">
      <c r="A21" s="80" t="s">
        <v>436</v>
      </c>
      <c r="B21" s="50"/>
      <c r="C21" s="50"/>
      <c r="D21" s="51"/>
      <c r="E21"/>
      <c r="F21"/>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12.75" customHeight="1" thickBot="1">
      <c r="A22" s="52" t="s">
        <v>129</v>
      </c>
      <c r="B22" s="53"/>
      <c r="C22" s="54" t="s">
        <v>78</v>
      </c>
      <c r="D22" s="56"/>
      <c r="E22" s="56"/>
      <c r="F22" s="56"/>
      <c r="G22" s="56"/>
      <c r="H22" s="56"/>
      <c r="I22" s="56"/>
      <c r="J22" s="55"/>
      <c r="K22" s="54" t="s">
        <v>45</v>
      </c>
      <c r="L22" s="56"/>
      <c r="M22" s="55"/>
      <c r="N22" s="54" t="s">
        <v>46</v>
      </c>
      <c r="O22" s="56"/>
      <c r="P22" s="56"/>
      <c r="Q22" s="55"/>
      <c r="R22" s="54" t="s">
        <v>47</v>
      </c>
      <c r="S22" s="55"/>
      <c r="T22" s="54" t="s">
        <v>48</v>
      </c>
      <c r="U22" s="56"/>
      <c r="V22" s="56"/>
      <c r="W22" s="56"/>
      <c r="X22" s="55"/>
      <c r="Y22" s="54" t="s">
        <v>49</v>
      </c>
      <c r="Z22" s="56"/>
      <c r="AA22" s="56"/>
      <c r="AB22" s="56"/>
      <c r="AC22" s="55"/>
      <c r="AD22" s="54" t="s">
        <v>79</v>
      </c>
      <c r="AE22" s="56"/>
      <c r="AF22" s="56"/>
      <c r="AG22" s="56"/>
      <c r="AH22" s="56"/>
      <c r="AI22" s="55"/>
      <c r="AJ22" s="54" t="s">
        <v>80</v>
      </c>
      <c r="AK22" s="56"/>
      <c r="AL22" s="56"/>
      <c r="AM22" s="56"/>
      <c r="AN22" s="56"/>
      <c r="AO22" s="55"/>
    </row>
    <row r="23" spans="1:41" ht="51">
      <c r="A23" s="57" t="s">
        <v>51</v>
      </c>
      <c r="B23" s="58" t="s">
        <v>52</v>
      </c>
      <c r="C23" s="59" t="s">
        <v>81</v>
      </c>
      <c r="D23" s="59" t="s">
        <v>82</v>
      </c>
      <c r="E23" s="59" t="s">
        <v>83</v>
      </c>
      <c r="F23" s="59" t="s">
        <v>84</v>
      </c>
      <c r="G23" s="59" t="s">
        <v>148</v>
      </c>
      <c r="H23" s="59" t="s">
        <v>86</v>
      </c>
      <c r="I23" s="59" t="s">
        <v>87</v>
      </c>
      <c r="J23" s="59" t="s">
        <v>88</v>
      </c>
      <c r="K23" s="59" t="s">
        <v>89</v>
      </c>
      <c r="L23" s="59" t="s">
        <v>90</v>
      </c>
      <c r="M23" s="59" t="s">
        <v>91</v>
      </c>
      <c r="N23" s="59" t="s">
        <v>20</v>
      </c>
      <c r="O23" s="59" t="s">
        <v>21</v>
      </c>
      <c r="P23" s="59" t="s">
        <v>22</v>
      </c>
      <c r="Q23" s="59" t="s">
        <v>4</v>
      </c>
      <c r="R23" s="59" t="s">
        <v>53</v>
      </c>
      <c r="S23" s="59" t="s">
        <v>4</v>
      </c>
      <c r="T23" s="59" t="s">
        <v>20</v>
      </c>
      <c r="U23" s="59" t="s">
        <v>21</v>
      </c>
      <c r="V23" s="59" t="s">
        <v>22</v>
      </c>
      <c r="W23" s="59" t="s">
        <v>4</v>
      </c>
      <c r="X23" s="59" t="s">
        <v>57</v>
      </c>
      <c r="Y23" s="59" t="s">
        <v>20</v>
      </c>
      <c r="Z23" s="59" t="s">
        <v>21</v>
      </c>
      <c r="AA23" s="59" t="s">
        <v>22</v>
      </c>
      <c r="AB23" s="59" t="s">
        <v>4</v>
      </c>
      <c r="AC23" s="59" t="s">
        <v>57</v>
      </c>
      <c r="AD23" s="59" t="s">
        <v>92</v>
      </c>
      <c r="AE23" s="59" t="s">
        <v>93</v>
      </c>
      <c r="AF23" s="59" t="s">
        <v>56</v>
      </c>
      <c r="AG23" s="59" t="s">
        <v>94</v>
      </c>
      <c r="AH23" s="59" t="s">
        <v>95</v>
      </c>
      <c r="AI23" s="59" t="s">
        <v>96</v>
      </c>
      <c r="AJ23" s="59" t="s">
        <v>97</v>
      </c>
      <c r="AK23" s="59" t="s">
        <v>54</v>
      </c>
      <c r="AL23" s="59" t="s">
        <v>55</v>
      </c>
      <c r="AM23" s="59" t="s">
        <v>98</v>
      </c>
      <c r="AN23" s="59" t="s">
        <v>99</v>
      </c>
      <c r="AO23" s="59" t="s">
        <v>100</v>
      </c>
    </row>
    <row r="24" spans="1:41" ht="12.75" customHeight="1">
      <c r="A24" t="s">
        <v>194</v>
      </c>
      <c r="B24" t="s">
        <v>194</v>
      </c>
      <c r="C24" s="49">
        <v>70</v>
      </c>
      <c r="D24" s="49">
        <v>56.43316730152583</v>
      </c>
      <c r="E24" s="49">
        <v>6.11</v>
      </c>
      <c r="F24" s="49">
        <v>0</v>
      </c>
      <c r="G24" s="49">
        <v>0</v>
      </c>
      <c r="H24" s="49" t="s">
        <v>174</v>
      </c>
      <c r="I24" s="49">
        <v>0.178</v>
      </c>
      <c r="J24" s="49">
        <v>0.3659999966621399</v>
      </c>
      <c r="K24" s="49">
        <v>60.73619630826717</v>
      </c>
      <c r="L24" s="60">
        <v>0.014256225723472923</v>
      </c>
      <c r="M24" s="49">
        <v>0.03895143675816221</v>
      </c>
      <c r="N24" s="49"/>
      <c r="O24" s="49"/>
      <c r="P24" s="49">
        <v>6.108701303485429</v>
      </c>
      <c r="Q24" s="49">
        <v>0</v>
      </c>
      <c r="R24" s="49">
        <v>0</v>
      </c>
      <c r="S24" s="49">
        <v>0</v>
      </c>
      <c r="T24" s="49">
        <v>0</v>
      </c>
      <c r="U24" s="49">
        <v>0</v>
      </c>
      <c r="V24" s="49">
        <v>6.108701303485429</v>
      </c>
      <c r="W24" s="49">
        <v>0</v>
      </c>
      <c r="X24" s="49">
        <v>6.108701303485429</v>
      </c>
      <c r="Y24" s="49">
        <v>0</v>
      </c>
      <c r="Z24" s="49">
        <v>0</v>
      </c>
      <c r="AA24" s="49">
        <v>4.970461845397949</v>
      </c>
      <c r="AB24" s="49">
        <v>0</v>
      </c>
      <c r="AC24" s="49">
        <v>4.970461721983074</v>
      </c>
      <c r="AD24" s="49">
        <v>27.05002688688346</v>
      </c>
      <c r="AE24" s="49">
        <v>0.8654268901153801</v>
      </c>
      <c r="AF24" s="49">
        <v>4.292508602142334</v>
      </c>
      <c r="AG24" s="49">
        <v>32.16871866639738</v>
      </c>
      <c r="AH24" s="49">
        <v>6.108701303485429</v>
      </c>
      <c r="AI24" s="48">
        <v>5.266048717759853</v>
      </c>
      <c r="AJ24" s="49">
        <v>15.763696670532227</v>
      </c>
      <c r="AK24" s="49">
        <v>0</v>
      </c>
      <c r="AL24" s="49">
        <v>0</v>
      </c>
      <c r="AM24" s="49">
        <v>47.93241500854492</v>
      </c>
      <c r="AN24" s="49">
        <v>6.108701303485429</v>
      </c>
      <c r="AO24" s="48">
        <v>7.8465800285339355</v>
      </c>
    </row>
    <row r="25" spans="1:41" ht="12.75" customHeight="1">
      <c r="A25" t="s">
        <v>353</v>
      </c>
      <c r="B25" t="s">
        <v>353</v>
      </c>
      <c r="C25" s="49">
        <v>70</v>
      </c>
      <c r="D25" s="49">
        <v>994.5895528087585</v>
      </c>
      <c r="E25" s="49">
        <v>198.2</v>
      </c>
      <c r="F25" s="49">
        <v>0</v>
      </c>
      <c r="G25" s="49">
        <v>0</v>
      </c>
      <c r="H25" s="49" t="s">
        <v>174</v>
      </c>
      <c r="I25" s="49">
        <v>0.178</v>
      </c>
      <c r="J25" s="49">
        <v>0.3659999966621399</v>
      </c>
      <c r="K25" s="49">
        <v>1070.4270062104265</v>
      </c>
      <c r="L25" s="60">
        <v>0.25125460513832054</v>
      </c>
      <c r="M25" s="49">
        <v>0.6864879984418619</v>
      </c>
      <c r="N25" s="49"/>
      <c r="O25" s="49"/>
      <c r="P25" s="49">
        <v>198.20474229327655</v>
      </c>
      <c r="Q25" s="49">
        <v>0</v>
      </c>
      <c r="R25" s="49">
        <v>0</v>
      </c>
      <c r="S25" s="49">
        <v>0</v>
      </c>
      <c r="T25" s="49">
        <v>0</v>
      </c>
      <c r="U25" s="49">
        <v>0</v>
      </c>
      <c r="V25" s="49">
        <v>198.20474229327655</v>
      </c>
      <c r="W25" s="49">
        <v>0</v>
      </c>
      <c r="X25" s="49">
        <v>198.20474229327655</v>
      </c>
      <c r="Y25" s="49">
        <v>0</v>
      </c>
      <c r="Z25" s="49">
        <v>0</v>
      </c>
      <c r="AA25" s="49">
        <v>9.150659561157227</v>
      </c>
      <c r="AB25" s="49">
        <v>0</v>
      </c>
      <c r="AC25" s="49">
        <v>9.150659965964937</v>
      </c>
      <c r="AD25" s="49">
        <v>476.7351440889772</v>
      </c>
      <c r="AE25" s="49">
        <v>15.252458523717433</v>
      </c>
      <c r="AF25" s="49">
        <v>75.65203857421875</v>
      </c>
      <c r="AG25" s="49">
        <v>566.9480020573948</v>
      </c>
      <c r="AH25" s="49">
        <v>198.20474229327655</v>
      </c>
      <c r="AI25" s="48">
        <v>2.860415928991759</v>
      </c>
      <c r="AJ25" s="49">
        <v>277.82257080078125</v>
      </c>
      <c r="AK25" s="49">
        <v>0</v>
      </c>
      <c r="AL25" s="49">
        <v>0</v>
      </c>
      <c r="AM25" s="49">
        <v>844.7705688476562</v>
      </c>
      <c r="AN25" s="49">
        <v>198.20474229327655</v>
      </c>
      <c r="AO25" s="48">
        <v>4.262110710144043</v>
      </c>
    </row>
    <row r="26" spans="1:41" ht="12.75" customHeight="1">
      <c r="A26" t="s">
        <v>179</v>
      </c>
      <c r="B26" t="s">
        <v>179</v>
      </c>
      <c r="C26" s="49">
        <v>70</v>
      </c>
      <c r="D26" s="49">
        <v>465.58731163375523</v>
      </c>
      <c r="E26" s="49">
        <v>98.18</v>
      </c>
      <c r="F26" s="49">
        <v>0</v>
      </c>
      <c r="G26" s="49">
        <v>0</v>
      </c>
      <c r="H26" s="49" t="s">
        <v>174</v>
      </c>
      <c r="I26" s="49">
        <v>0.178</v>
      </c>
      <c r="J26" s="49">
        <v>0.3659999966621399</v>
      </c>
      <c r="K26" s="49">
        <v>501.08834414582907</v>
      </c>
      <c r="L26" s="60">
        <v>0.1176173184321037</v>
      </c>
      <c r="M26" s="49">
        <v>0.3213587964610776</v>
      </c>
      <c r="N26" s="49"/>
      <c r="O26" s="49"/>
      <c r="P26" s="49">
        <v>98.17512094877999</v>
      </c>
      <c r="Q26" s="49">
        <v>0</v>
      </c>
      <c r="R26" s="49">
        <v>0</v>
      </c>
      <c r="S26" s="49">
        <v>0</v>
      </c>
      <c r="T26" s="49">
        <v>0</v>
      </c>
      <c r="U26" s="49">
        <v>0</v>
      </c>
      <c r="V26" s="49">
        <v>98.17512094877999</v>
      </c>
      <c r="W26" s="49">
        <v>0</v>
      </c>
      <c r="X26" s="49">
        <v>98.17512094877999</v>
      </c>
      <c r="Y26" s="49">
        <v>0</v>
      </c>
      <c r="Z26" s="49">
        <v>0</v>
      </c>
      <c r="AA26" s="49">
        <v>9.682390213012695</v>
      </c>
      <c r="AB26" s="49">
        <v>0</v>
      </c>
      <c r="AC26" s="49">
        <v>9.682390139470089</v>
      </c>
      <c r="AD26" s="49">
        <v>223.16927970024287</v>
      </c>
      <c r="AE26" s="49">
        <v>7.139981653545907</v>
      </c>
      <c r="AF26" s="49">
        <v>35.41423797607422</v>
      </c>
      <c r="AG26" s="49">
        <v>265.3997291856624</v>
      </c>
      <c r="AH26" s="49">
        <v>98.17512094877999</v>
      </c>
      <c r="AI26" s="48">
        <v>2.7033297908960763</v>
      </c>
      <c r="AJ26" s="49">
        <v>130.05435180664062</v>
      </c>
      <c r="AK26" s="49">
        <v>0</v>
      </c>
      <c r="AL26" s="49">
        <v>0</v>
      </c>
      <c r="AM26" s="49">
        <v>395.4540710449219</v>
      </c>
      <c r="AN26" s="49">
        <v>98.17512094877999</v>
      </c>
      <c r="AO26" s="48">
        <v>4.028047561645508</v>
      </c>
    </row>
    <row r="27" spans="1:41" ht="12.75" customHeight="1">
      <c r="A27" t="s">
        <v>195</v>
      </c>
      <c r="B27" t="s">
        <v>195</v>
      </c>
      <c r="C27" s="49">
        <v>70</v>
      </c>
      <c r="D27" s="49">
        <v>413.8775891128571</v>
      </c>
      <c r="E27" s="49">
        <v>256.56</v>
      </c>
      <c r="F27" s="49">
        <v>0</v>
      </c>
      <c r="G27" s="49">
        <v>0</v>
      </c>
      <c r="H27" s="49" t="s">
        <v>174</v>
      </c>
      <c r="I27" s="49">
        <v>0.178</v>
      </c>
      <c r="J27" s="49">
        <v>0.3659999966621399</v>
      </c>
      <c r="K27" s="49">
        <v>445.4357552827125</v>
      </c>
      <c r="L27" s="60">
        <v>0.10455433594137714</v>
      </c>
      <c r="M27" s="49">
        <v>0.28566758714452345</v>
      </c>
      <c r="N27" s="49"/>
      <c r="O27" s="49"/>
      <c r="P27" s="49">
        <v>256.5643547461533</v>
      </c>
      <c r="Q27" s="49">
        <v>0</v>
      </c>
      <c r="R27" s="49">
        <v>0</v>
      </c>
      <c r="S27" s="49">
        <v>0</v>
      </c>
      <c r="T27" s="49">
        <v>0</v>
      </c>
      <c r="U27" s="49">
        <v>0</v>
      </c>
      <c r="V27" s="49">
        <v>256.5643547461533</v>
      </c>
      <c r="W27" s="49">
        <v>0</v>
      </c>
      <c r="X27" s="49">
        <v>256.5643547461533</v>
      </c>
      <c r="Y27" s="49">
        <v>0</v>
      </c>
      <c r="Z27" s="49">
        <v>0</v>
      </c>
      <c r="AA27" s="49">
        <v>28.464704513549805</v>
      </c>
      <c r="AB27" s="49">
        <v>0</v>
      </c>
      <c r="AC27" s="49">
        <v>28.46470433025206</v>
      </c>
      <c r="AD27" s="49">
        <v>198.38333463658967</v>
      </c>
      <c r="AE27" s="49">
        <v>6.346990820497624</v>
      </c>
      <c r="AF27" s="49">
        <v>31.481008529663086</v>
      </c>
      <c r="AG27" s="49">
        <v>235.92352286441061</v>
      </c>
      <c r="AH27" s="49">
        <v>256.5643547461533</v>
      </c>
      <c r="AI27" s="69">
        <v>0.9195491053222694</v>
      </c>
      <c r="AJ27" s="49">
        <v>115.61003112792969</v>
      </c>
      <c r="AK27" s="49">
        <v>0</v>
      </c>
      <c r="AL27" s="49">
        <v>0</v>
      </c>
      <c r="AM27" s="49">
        <v>351.5335388183594</v>
      </c>
      <c r="AN27" s="49">
        <v>256.5643547461533</v>
      </c>
      <c r="AO27" s="48">
        <v>1.3701573610305786</v>
      </c>
    </row>
    <row r="28" spans="1:41" ht="12.75" customHeight="1">
      <c r="A28" t="s">
        <v>403</v>
      </c>
      <c r="B28" t="s">
        <v>403</v>
      </c>
      <c r="C28" s="49">
        <v>70</v>
      </c>
      <c r="D28" s="49">
        <v>825.5904662625544</v>
      </c>
      <c r="E28" s="49">
        <v>514.66</v>
      </c>
      <c r="F28" s="49">
        <v>0</v>
      </c>
      <c r="G28" s="49">
        <v>0</v>
      </c>
      <c r="H28" s="49" t="s">
        <v>174</v>
      </c>
      <c r="I28" s="49">
        <v>0.178</v>
      </c>
      <c r="J28" s="49">
        <v>0.3659999966621399</v>
      </c>
      <c r="K28" s="49">
        <v>888.5417393150742</v>
      </c>
      <c r="L28" s="60">
        <v>0.20856181931628007</v>
      </c>
      <c r="M28" s="49">
        <v>0.5698410415801359</v>
      </c>
      <c r="N28" s="49"/>
      <c r="O28" s="49"/>
      <c r="P28" s="49">
        <v>514.6559098181833</v>
      </c>
      <c r="Q28" s="49">
        <v>0</v>
      </c>
      <c r="R28" s="49">
        <v>0</v>
      </c>
      <c r="S28" s="49">
        <v>0</v>
      </c>
      <c r="T28" s="49">
        <v>0</v>
      </c>
      <c r="U28" s="49">
        <v>0</v>
      </c>
      <c r="V28" s="49">
        <v>514.6559098181833</v>
      </c>
      <c r="W28" s="49">
        <v>0</v>
      </c>
      <c r="X28" s="49">
        <v>514.6559098181833</v>
      </c>
      <c r="Y28" s="49">
        <v>0</v>
      </c>
      <c r="Z28" s="49">
        <v>0</v>
      </c>
      <c r="AA28" s="49">
        <v>28.624279022216797</v>
      </c>
      <c r="AB28" s="49">
        <v>0</v>
      </c>
      <c r="AC28" s="49">
        <v>28.624279523770156</v>
      </c>
      <c r="AD28" s="49">
        <v>395.7290610791729</v>
      </c>
      <c r="AE28" s="49">
        <v>12.660784852088057</v>
      </c>
      <c r="AF28" s="49">
        <v>62.79735565185547</v>
      </c>
      <c r="AG28" s="49">
        <v>470.6130846825194</v>
      </c>
      <c r="AH28" s="49">
        <v>514.6559098181833</v>
      </c>
      <c r="AI28" s="69">
        <v>0.9144227739438118</v>
      </c>
      <c r="AJ28" s="49">
        <v>230.61532592773438</v>
      </c>
      <c r="AK28" s="49">
        <v>0</v>
      </c>
      <c r="AL28" s="49">
        <v>0</v>
      </c>
      <c r="AM28" s="49">
        <v>701.2283935546875</v>
      </c>
      <c r="AN28" s="49">
        <v>514.6559098181833</v>
      </c>
      <c r="AO28" s="48">
        <v>1.3625189065933228</v>
      </c>
    </row>
    <row r="29" spans="1:41" ht="12.75" customHeight="1">
      <c r="A29" t="s">
        <v>357</v>
      </c>
      <c r="B29" t="s">
        <v>357</v>
      </c>
      <c r="C29" s="49">
        <v>70</v>
      </c>
      <c r="D29" s="49">
        <v>35.68117198945038</v>
      </c>
      <c r="E29" s="49">
        <v>30.63</v>
      </c>
      <c r="F29" s="49">
        <v>0</v>
      </c>
      <c r="G29" s="49">
        <v>0</v>
      </c>
      <c r="H29" s="49" t="s">
        <v>174</v>
      </c>
      <c r="I29" s="49">
        <v>0.178</v>
      </c>
      <c r="J29" s="49">
        <v>0.3659999966621399</v>
      </c>
      <c r="K29" s="49">
        <v>38.40186135364597</v>
      </c>
      <c r="L29" s="60">
        <v>0.009013827617396736</v>
      </c>
      <c r="M29" s="49">
        <v>0.024627944534429975</v>
      </c>
      <c r="N29" s="49"/>
      <c r="O29" s="49"/>
      <c r="P29" s="49">
        <v>30.6306065360127</v>
      </c>
      <c r="Q29" s="49">
        <v>0</v>
      </c>
      <c r="R29" s="49">
        <v>0</v>
      </c>
      <c r="S29" s="49">
        <v>0</v>
      </c>
      <c r="T29" s="49">
        <v>0</v>
      </c>
      <c r="U29" s="49">
        <v>0</v>
      </c>
      <c r="V29" s="49">
        <v>30.6306065360127</v>
      </c>
      <c r="W29" s="49">
        <v>0</v>
      </c>
      <c r="X29" s="49">
        <v>30.6306065360127</v>
      </c>
      <c r="Y29" s="49">
        <v>0</v>
      </c>
      <c r="Z29" s="49">
        <v>0</v>
      </c>
      <c r="AA29" s="49">
        <v>39.41837692260742</v>
      </c>
      <c r="AB29" s="49">
        <v>0</v>
      </c>
      <c r="AC29" s="49">
        <v>39.41837847384757</v>
      </c>
      <c r="AD29" s="49">
        <v>17.103003567266523</v>
      </c>
      <c r="AE29" s="49">
        <v>0.5471861174389043</v>
      </c>
      <c r="AF29" s="49">
        <v>2.7140374183654785</v>
      </c>
      <c r="AG29" s="49">
        <v>20.339414360301493</v>
      </c>
      <c r="AH29" s="49">
        <v>30.6306065360127</v>
      </c>
      <c r="AI29" s="69">
        <v>0.6640225793892865</v>
      </c>
      <c r="AJ29" s="49">
        <v>9.966959953308105</v>
      </c>
      <c r="AK29" s="49">
        <v>0</v>
      </c>
      <c r="AL29" s="49">
        <v>0</v>
      </c>
      <c r="AM29" s="49">
        <v>30.306373596191406</v>
      </c>
      <c r="AN29" s="49">
        <v>30.6306065360127</v>
      </c>
      <c r="AO29" s="69">
        <v>0.9894147515296936</v>
      </c>
    </row>
    <row r="30" spans="1:41" ht="12.75" customHeight="1">
      <c r="A30" t="s">
        <v>184</v>
      </c>
      <c r="B30" t="s">
        <v>184</v>
      </c>
      <c r="C30" s="49">
        <v>70</v>
      </c>
      <c r="D30" s="49">
        <v>644.6189414609544</v>
      </c>
      <c r="E30" s="49">
        <v>614.21</v>
      </c>
      <c r="F30" s="49">
        <v>0</v>
      </c>
      <c r="G30" s="49">
        <v>0</v>
      </c>
      <c r="H30" s="49" t="s">
        <v>174</v>
      </c>
      <c r="I30" s="49">
        <v>0.178</v>
      </c>
      <c r="J30" s="49">
        <v>0.3659999966621399</v>
      </c>
      <c r="K30" s="49">
        <v>693.7711357473521</v>
      </c>
      <c r="L30" s="60">
        <v>0.16284453938216348</v>
      </c>
      <c r="M30" s="49">
        <v>0.4449304395280848</v>
      </c>
      <c r="N30" s="49"/>
      <c r="O30" s="49"/>
      <c r="P30" s="49">
        <v>614.2055310602566</v>
      </c>
      <c r="Q30" s="49">
        <v>0</v>
      </c>
      <c r="R30" s="49">
        <v>0</v>
      </c>
      <c r="S30" s="49">
        <v>0</v>
      </c>
      <c r="T30" s="49">
        <v>0</v>
      </c>
      <c r="U30" s="49">
        <v>0</v>
      </c>
      <c r="V30" s="49">
        <v>614.2055310602566</v>
      </c>
      <c r="W30" s="49">
        <v>0</v>
      </c>
      <c r="X30" s="49">
        <v>614.2055310602566</v>
      </c>
      <c r="Y30" s="49">
        <v>0</v>
      </c>
      <c r="Z30" s="49">
        <v>0</v>
      </c>
      <c r="AA30" s="49">
        <v>43.75149917602539</v>
      </c>
      <c r="AB30" s="49">
        <v>0</v>
      </c>
      <c r="AC30" s="49">
        <v>43.75149823135831</v>
      </c>
      <c r="AD30" s="49">
        <v>308.9842468905993</v>
      </c>
      <c r="AE30" s="49">
        <v>9.885508690966887</v>
      </c>
      <c r="AF30" s="49">
        <v>49.03202438354492</v>
      </c>
      <c r="AG30" s="49">
        <v>367.4535109457109</v>
      </c>
      <c r="AH30" s="49">
        <v>614.2055310602566</v>
      </c>
      <c r="AI30" s="69">
        <v>0.5982582252416445</v>
      </c>
      <c r="AJ30" s="49">
        <v>180.06394958496094</v>
      </c>
      <c r="AK30" s="49">
        <v>0</v>
      </c>
      <c r="AL30" s="49">
        <v>0</v>
      </c>
      <c r="AM30" s="49">
        <v>547.5174560546875</v>
      </c>
      <c r="AN30" s="49">
        <v>614.2055310602566</v>
      </c>
      <c r="AO30" s="69">
        <v>0.8914238214492798</v>
      </c>
    </row>
    <row r="31" spans="1:41" ht="12.75" customHeight="1">
      <c r="A31" t="s">
        <v>339</v>
      </c>
      <c r="B31" t="s">
        <v>339</v>
      </c>
      <c r="C31" s="49">
        <v>70</v>
      </c>
      <c r="D31" s="49">
        <v>460.8478550814434</v>
      </c>
      <c r="E31" s="49">
        <v>510.51</v>
      </c>
      <c r="F31" s="49">
        <v>0</v>
      </c>
      <c r="G31" s="49">
        <v>0</v>
      </c>
      <c r="H31" s="49" t="s">
        <v>174</v>
      </c>
      <c r="I31" s="49">
        <v>0.178</v>
      </c>
      <c r="J31" s="49">
        <v>0.3659999966621399</v>
      </c>
      <c r="K31" s="49">
        <v>495.98750403140343</v>
      </c>
      <c r="L31" s="60">
        <v>0.11642003028317989</v>
      </c>
      <c r="M31" s="49">
        <v>0.31808751733582386</v>
      </c>
      <c r="N31" s="49"/>
      <c r="O31" s="49"/>
      <c r="P31" s="49">
        <v>510.51080893369436</v>
      </c>
      <c r="Q31" s="49">
        <v>0</v>
      </c>
      <c r="R31" s="49">
        <v>0</v>
      </c>
      <c r="S31" s="49">
        <v>0</v>
      </c>
      <c r="T31" s="49">
        <v>0</v>
      </c>
      <c r="U31" s="49">
        <v>0</v>
      </c>
      <c r="V31" s="49">
        <v>510.51080893369436</v>
      </c>
      <c r="W31" s="49">
        <v>0</v>
      </c>
      <c r="X31" s="49">
        <v>510.51080893369436</v>
      </c>
      <c r="Y31" s="49">
        <v>0</v>
      </c>
      <c r="Z31" s="49">
        <v>0</v>
      </c>
      <c r="AA31" s="49">
        <v>50.866241455078125</v>
      </c>
      <c r="AB31" s="49">
        <v>0</v>
      </c>
      <c r="AC31" s="49">
        <v>50.86624052151905</v>
      </c>
      <c r="AD31" s="49">
        <v>220.89752297809665</v>
      </c>
      <c r="AE31" s="49">
        <v>7.067300049074034</v>
      </c>
      <c r="AF31" s="49">
        <v>35.053733825683594</v>
      </c>
      <c r="AG31" s="49">
        <v>262.6980825341477</v>
      </c>
      <c r="AH31" s="49">
        <v>510.51080893369436</v>
      </c>
      <c r="AI31" s="69">
        <v>0.5145788843978565</v>
      </c>
      <c r="AJ31" s="49">
        <v>128.73040771484375</v>
      </c>
      <c r="AK31" s="49">
        <v>0</v>
      </c>
      <c r="AL31" s="49">
        <v>0</v>
      </c>
      <c r="AM31" s="49">
        <v>391.4284973144531</v>
      </c>
      <c r="AN31" s="49">
        <v>510.51080893369436</v>
      </c>
      <c r="AO31" s="69">
        <v>0.7667388916015625</v>
      </c>
    </row>
    <row r="32" spans="1:41" ht="12.75" customHeight="1">
      <c r="A32" t="s">
        <v>182</v>
      </c>
      <c r="B32" t="s">
        <v>182</v>
      </c>
      <c r="C32" s="49">
        <v>70</v>
      </c>
      <c r="D32" s="49">
        <v>460.16425113895093</v>
      </c>
      <c r="E32" s="49">
        <v>545.42</v>
      </c>
      <c r="F32" s="49">
        <v>0</v>
      </c>
      <c r="G32" s="49">
        <v>0</v>
      </c>
      <c r="H32" s="49" t="s">
        <v>174</v>
      </c>
      <c r="I32" s="49">
        <v>0.178</v>
      </c>
      <c r="J32" s="49">
        <v>0.3659999966621399</v>
      </c>
      <c r="K32" s="49">
        <v>495.2517752882959</v>
      </c>
      <c r="L32" s="60">
        <v>0.11624733729826277</v>
      </c>
      <c r="M32" s="49">
        <v>0.31761567857491657</v>
      </c>
      <c r="N32" s="49"/>
      <c r="O32" s="49"/>
      <c r="P32" s="49">
        <v>545.4175163821491</v>
      </c>
      <c r="Q32" s="49">
        <v>0</v>
      </c>
      <c r="R32" s="49">
        <v>0</v>
      </c>
      <c r="S32" s="49">
        <v>0</v>
      </c>
      <c r="T32" s="49">
        <v>0</v>
      </c>
      <c r="U32" s="49">
        <v>0</v>
      </c>
      <c r="V32" s="49">
        <v>545.4175163821491</v>
      </c>
      <c r="W32" s="49">
        <v>0</v>
      </c>
      <c r="X32" s="49">
        <v>545.4175163821491</v>
      </c>
      <c r="Y32" s="49">
        <v>0</v>
      </c>
      <c r="Z32" s="49">
        <v>0</v>
      </c>
      <c r="AA32" s="49">
        <v>54.42500305175781</v>
      </c>
      <c r="AB32" s="49">
        <v>0</v>
      </c>
      <c r="AC32" s="49">
        <v>54.42500456740646</v>
      </c>
      <c r="AD32" s="49">
        <v>220.569852108135</v>
      </c>
      <c r="AE32" s="49">
        <v>7.056816688626434</v>
      </c>
      <c r="AF32" s="49">
        <v>35.00173568725586</v>
      </c>
      <c r="AG32" s="49">
        <v>262.30840554456074</v>
      </c>
      <c r="AH32" s="49">
        <v>545.4175163821491</v>
      </c>
      <c r="AI32" s="69">
        <v>0.48093139231115795</v>
      </c>
      <c r="AJ32" s="49">
        <v>128.53945922851562</v>
      </c>
      <c r="AK32" s="49">
        <v>0</v>
      </c>
      <c r="AL32" s="49">
        <v>0</v>
      </c>
      <c r="AM32" s="49">
        <v>390.8478698730469</v>
      </c>
      <c r="AN32" s="49">
        <v>545.4175163821491</v>
      </c>
      <c r="AO32" s="69">
        <v>0.7166031002998352</v>
      </c>
    </row>
    <row r="33" spans="1:41" ht="12.75" customHeight="1">
      <c r="A33" t="s">
        <v>349</v>
      </c>
      <c r="B33" t="s">
        <v>349</v>
      </c>
      <c r="C33" s="49">
        <v>70</v>
      </c>
      <c r="D33" s="49">
        <v>693.7493457428027</v>
      </c>
      <c r="E33" s="49">
        <v>1129.77</v>
      </c>
      <c r="F33" s="49">
        <v>0</v>
      </c>
      <c r="G33" s="49">
        <v>0</v>
      </c>
      <c r="H33" s="49" t="s">
        <v>174</v>
      </c>
      <c r="I33" s="49">
        <v>0.178</v>
      </c>
      <c r="J33" s="49">
        <v>0.3659999966621399</v>
      </c>
      <c r="K33" s="49">
        <v>746.6477333556913</v>
      </c>
      <c r="L33" s="60">
        <v>0.17525593088860075</v>
      </c>
      <c r="M33" s="49">
        <v>0.4788413455926398</v>
      </c>
      <c r="N33" s="49"/>
      <c r="O33" s="49"/>
      <c r="P33" s="49">
        <v>1129.766941071657</v>
      </c>
      <c r="Q33" s="49">
        <v>0</v>
      </c>
      <c r="R33" s="49">
        <v>0</v>
      </c>
      <c r="S33" s="49">
        <v>0</v>
      </c>
      <c r="T33" s="49">
        <v>0</v>
      </c>
      <c r="U33" s="49">
        <v>0</v>
      </c>
      <c r="V33" s="49">
        <v>1129.766941071657</v>
      </c>
      <c r="W33" s="49">
        <v>0</v>
      </c>
      <c r="X33" s="49">
        <v>1129.766941071657</v>
      </c>
      <c r="Y33" s="49">
        <v>0</v>
      </c>
      <c r="Z33" s="49">
        <v>0</v>
      </c>
      <c r="AA33" s="49">
        <v>74.77708435058594</v>
      </c>
      <c r="AB33" s="49">
        <v>0</v>
      </c>
      <c r="AC33" s="49">
        <v>74.777087380932</v>
      </c>
      <c r="AD33" s="49">
        <v>332.53385114524974</v>
      </c>
      <c r="AE33" s="49">
        <v>10.638944569562373</v>
      </c>
      <c r="AF33" s="49">
        <v>52.76905059814453</v>
      </c>
      <c r="AG33" s="49">
        <v>395.4594119336304</v>
      </c>
      <c r="AH33" s="49">
        <v>1129.766941071657</v>
      </c>
      <c r="AI33" s="69">
        <v>0.3500362752325817</v>
      </c>
      <c r="AJ33" s="49">
        <v>193.7876434326172</v>
      </c>
      <c r="AK33" s="49">
        <v>0</v>
      </c>
      <c r="AL33" s="49">
        <v>0</v>
      </c>
      <c r="AM33" s="49">
        <v>589.2470703125</v>
      </c>
      <c r="AN33" s="49">
        <v>1129.766941071657</v>
      </c>
      <c r="AO33" s="69">
        <v>0.5215651392936707</v>
      </c>
    </row>
    <row r="34" spans="1:41" ht="12.75" customHeight="1">
      <c r="A34" t="s">
        <v>188</v>
      </c>
      <c r="B34" t="s">
        <v>188</v>
      </c>
      <c r="C34" s="49">
        <v>70</v>
      </c>
      <c r="D34" s="49">
        <v>774.699572407535</v>
      </c>
      <c r="E34" s="49">
        <v>1546</v>
      </c>
      <c r="F34" s="49">
        <v>0</v>
      </c>
      <c r="G34" s="49">
        <v>0</v>
      </c>
      <c r="H34" s="49" t="s">
        <v>174</v>
      </c>
      <c r="I34" s="49">
        <v>0.178</v>
      </c>
      <c r="J34" s="49">
        <v>0.3659999966621399</v>
      </c>
      <c r="K34" s="49">
        <v>833.7704148036095</v>
      </c>
      <c r="L34" s="60">
        <v>0.19570569046939107</v>
      </c>
      <c r="M34" s="49">
        <v>0.5347150061590026</v>
      </c>
      <c r="N34" s="49"/>
      <c r="O34" s="49"/>
      <c r="P34" s="49">
        <v>1545.9968298875228</v>
      </c>
      <c r="Q34" s="49">
        <v>0</v>
      </c>
      <c r="R34" s="49">
        <v>0</v>
      </c>
      <c r="S34" s="49">
        <v>0</v>
      </c>
      <c r="T34" s="49">
        <v>0</v>
      </c>
      <c r="U34" s="49">
        <v>0</v>
      </c>
      <c r="V34" s="49">
        <v>1545.9968298875228</v>
      </c>
      <c r="W34" s="49">
        <v>0</v>
      </c>
      <c r="X34" s="49">
        <v>1545.9968298875228</v>
      </c>
      <c r="Y34" s="49">
        <v>0</v>
      </c>
      <c r="Z34" s="49">
        <v>0</v>
      </c>
      <c r="AA34" s="49">
        <v>91.63419342041016</v>
      </c>
      <c r="AB34" s="49">
        <v>0</v>
      </c>
      <c r="AC34" s="49">
        <v>91.6341914317307</v>
      </c>
      <c r="AD34" s="49">
        <v>371.3356039527893</v>
      </c>
      <c r="AE34" s="49">
        <v>11.880351108774997</v>
      </c>
      <c r="AF34" s="49">
        <v>58.926414489746094</v>
      </c>
      <c r="AG34" s="49">
        <v>441.6036422578402</v>
      </c>
      <c r="AH34" s="49">
        <v>1545.9968298875228</v>
      </c>
      <c r="AI34" s="69">
        <v>0.28564330386755615</v>
      </c>
      <c r="AJ34" s="49">
        <v>216.39981079101562</v>
      </c>
      <c r="AK34" s="49">
        <v>0</v>
      </c>
      <c r="AL34" s="49">
        <v>0</v>
      </c>
      <c r="AM34" s="49">
        <v>658.0034790039062</v>
      </c>
      <c r="AN34" s="49">
        <v>1545.9968298875228</v>
      </c>
      <c r="AO34" s="69">
        <v>0.42561760544776917</v>
      </c>
    </row>
    <row r="35" spans="1:41" ht="12.75" customHeight="1">
      <c r="A35" t="s">
        <v>186</v>
      </c>
      <c r="B35" t="s">
        <v>186</v>
      </c>
      <c r="C35" s="49">
        <v>70</v>
      </c>
      <c r="D35" s="49">
        <v>169.60141810728237</v>
      </c>
      <c r="E35" s="49">
        <v>352.84</v>
      </c>
      <c r="F35" s="49">
        <v>0</v>
      </c>
      <c r="G35" s="49">
        <v>0</v>
      </c>
      <c r="H35" s="49" t="s">
        <v>174</v>
      </c>
      <c r="I35" s="49">
        <v>0.178</v>
      </c>
      <c r="J35" s="49">
        <v>0.3659999966621399</v>
      </c>
      <c r="K35" s="49">
        <v>182.53352623796263</v>
      </c>
      <c r="L35" s="60">
        <v>0.042844947664193056</v>
      </c>
      <c r="M35" s="49">
        <v>0.11706269960363927</v>
      </c>
      <c r="N35" s="49"/>
      <c r="O35" s="49"/>
      <c r="P35" s="49">
        <v>352.84147528993464</v>
      </c>
      <c r="Q35" s="49">
        <v>0</v>
      </c>
      <c r="R35" s="49">
        <v>0</v>
      </c>
      <c r="S35" s="49">
        <v>0</v>
      </c>
      <c r="T35" s="49">
        <v>0</v>
      </c>
      <c r="U35" s="49">
        <v>0</v>
      </c>
      <c r="V35" s="49">
        <v>352.84147528993464</v>
      </c>
      <c r="W35" s="49">
        <v>0</v>
      </c>
      <c r="X35" s="49">
        <v>352.84147528993464</v>
      </c>
      <c r="Y35" s="49">
        <v>0</v>
      </c>
      <c r="Z35" s="49">
        <v>0</v>
      </c>
      <c r="AA35" s="49">
        <v>95.52838134765625</v>
      </c>
      <c r="AB35" s="49">
        <v>0</v>
      </c>
      <c r="AC35" s="49">
        <v>95.52838140041605</v>
      </c>
      <c r="AD35" s="49">
        <v>81.29479770899694</v>
      </c>
      <c r="AE35" s="49">
        <v>2.6009106851561583</v>
      </c>
      <c r="AF35" s="49">
        <v>12.900491714477539</v>
      </c>
      <c r="AG35" s="49">
        <v>96.67825901740001</v>
      </c>
      <c r="AH35" s="49">
        <v>352.84147528993464</v>
      </c>
      <c r="AI35" s="69">
        <v>0.2739991349881931</v>
      </c>
      <c r="AJ35" s="49">
        <v>47.37543487548828</v>
      </c>
      <c r="AK35" s="49">
        <v>0</v>
      </c>
      <c r="AL35" s="49">
        <v>0</v>
      </c>
      <c r="AM35" s="49">
        <v>144.05369567871094</v>
      </c>
      <c r="AN35" s="49">
        <v>352.84147528993464</v>
      </c>
      <c r="AO35" s="69">
        <v>0.40826746821403503</v>
      </c>
    </row>
    <row r="36" spans="1:41" ht="12.75" customHeight="1">
      <c r="A36" t="s">
        <v>350</v>
      </c>
      <c r="B36" t="s">
        <v>350</v>
      </c>
      <c r="C36" s="49">
        <v>70</v>
      </c>
      <c r="D36" s="49">
        <v>85.65259123411124</v>
      </c>
      <c r="E36" s="49">
        <v>792.82</v>
      </c>
      <c r="F36" s="49">
        <v>0</v>
      </c>
      <c r="G36" s="49">
        <v>0</v>
      </c>
      <c r="H36" s="49" t="s">
        <v>174</v>
      </c>
      <c r="I36" s="49">
        <v>0.178</v>
      </c>
      <c r="J36" s="49">
        <v>0.3659999966621399</v>
      </c>
      <c r="K36" s="49">
        <v>92.18360131571221</v>
      </c>
      <c r="L36" s="60">
        <v>0.021637677501061197</v>
      </c>
      <c r="M36" s="49">
        <v>0.05911933797375212</v>
      </c>
      <c r="N36" s="49"/>
      <c r="O36" s="49"/>
      <c r="P36" s="49">
        <v>792.8188691730849</v>
      </c>
      <c r="Q36" s="49">
        <v>0</v>
      </c>
      <c r="R36" s="49">
        <v>0</v>
      </c>
      <c r="S36" s="49">
        <v>0</v>
      </c>
      <c r="T36" s="49">
        <v>0</v>
      </c>
      <c r="U36" s="49">
        <v>0</v>
      </c>
      <c r="V36" s="49">
        <v>792.8188691730849</v>
      </c>
      <c r="W36" s="49">
        <v>0</v>
      </c>
      <c r="X36" s="49">
        <v>792.8188691730849</v>
      </c>
      <c r="Y36" s="49">
        <v>0</v>
      </c>
      <c r="Z36" s="49">
        <v>0</v>
      </c>
      <c r="AA36" s="49">
        <v>425.0262451171875</v>
      </c>
      <c r="AB36" s="49">
        <v>0</v>
      </c>
      <c r="AC36" s="49">
        <v>425.0262379397169</v>
      </c>
      <c r="AD36" s="49">
        <v>41.05573028418873</v>
      </c>
      <c r="AE36" s="49">
        <v>1.3135193221745058</v>
      </c>
      <c r="AF36" s="49">
        <v>6.515042304992676</v>
      </c>
      <c r="AG36" s="49">
        <v>48.82472896554085</v>
      </c>
      <c r="AH36" s="49">
        <v>792.8188691730849</v>
      </c>
      <c r="AI36" s="69">
        <v>0.06158371207343406</v>
      </c>
      <c r="AJ36" s="49">
        <v>23.925670623779297</v>
      </c>
      <c r="AK36" s="49">
        <v>0</v>
      </c>
      <c r="AL36" s="49">
        <v>0</v>
      </c>
      <c r="AM36" s="49">
        <v>72.75039672851562</v>
      </c>
      <c r="AN36" s="49">
        <v>792.8188691730849</v>
      </c>
      <c r="AO36" s="69">
        <v>0.09176168590784073</v>
      </c>
    </row>
    <row r="37" spans="1:41" ht="12.75" customHeight="1">
      <c r="A37"/>
      <c r="B37"/>
      <c r="C37" s="49"/>
      <c r="D37" s="49"/>
      <c r="E37" s="49"/>
      <c r="F37" s="49"/>
      <c r="G37" s="49"/>
      <c r="H37" s="49"/>
      <c r="I37" s="49"/>
      <c r="J37" s="49"/>
      <c r="K37" s="49"/>
      <c r="L37" s="60"/>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61"/>
    </row>
    <row r="38" spans="1:41" ht="12.75" customHeight="1" thickBot="1">
      <c r="A38"/>
      <c r="B3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thickBot="1">
      <c r="A39" s="62" t="s">
        <v>130</v>
      </c>
      <c r="B39" s="71"/>
      <c r="C39" s="72" t="s">
        <v>101</v>
      </c>
      <c r="D39" s="63"/>
      <c r="E39" s="63"/>
      <c r="F39" s="63"/>
      <c r="G39" s="63"/>
      <c r="H39" s="63"/>
      <c r="I39" s="63"/>
      <c r="J39" s="64"/>
      <c r="K39" s="72" t="s">
        <v>45</v>
      </c>
      <c r="L39" s="63"/>
      <c r="M39" s="64"/>
      <c r="N39" s="72" t="s">
        <v>102</v>
      </c>
      <c r="O39" s="63"/>
      <c r="P39" s="63"/>
      <c r="Q39" s="63"/>
      <c r="R39" s="73" t="s">
        <v>103</v>
      </c>
      <c r="S39" s="72" t="s">
        <v>79</v>
      </c>
      <c r="T39" s="63"/>
      <c r="U39" s="63"/>
      <c r="V39" s="63"/>
      <c r="W39" s="63"/>
      <c r="X39" s="64"/>
      <c r="Y39" s="72" t="s">
        <v>80</v>
      </c>
      <c r="Z39" s="63"/>
      <c r="AA39" s="63"/>
      <c r="AB39" s="63"/>
      <c r="AC39" s="63"/>
      <c r="AD39" s="64"/>
      <c r="AE39" s="49"/>
      <c r="AF39" s="49"/>
      <c r="AG39" s="49"/>
      <c r="AH39" s="49"/>
      <c r="AI39" s="49"/>
      <c r="AJ39" s="49"/>
      <c r="AK39" s="49"/>
      <c r="AL39" s="49"/>
      <c r="AM39" s="49"/>
      <c r="AN39" s="49"/>
      <c r="AO39" s="49"/>
    </row>
    <row r="40" spans="1:41" ht="51">
      <c r="A40" s="57"/>
      <c r="B40" s="58" t="s">
        <v>51</v>
      </c>
      <c r="C40" s="59" t="s">
        <v>104</v>
      </c>
      <c r="D40" s="59" t="s">
        <v>82</v>
      </c>
      <c r="E40" s="59" t="s">
        <v>83</v>
      </c>
      <c r="F40" s="59" t="s">
        <v>84</v>
      </c>
      <c r="G40" s="59" t="s">
        <v>85</v>
      </c>
      <c r="H40" s="59" t="s">
        <v>86</v>
      </c>
      <c r="I40" s="59" t="s">
        <v>105</v>
      </c>
      <c r="J40" s="59" t="s">
        <v>106</v>
      </c>
      <c r="K40" s="59" t="s">
        <v>89</v>
      </c>
      <c r="L40" s="59" t="s">
        <v>90</v>
      </c>
      <c r="M40" s="59" t="s">
        <v>91</v>
      </c>
      <c r="N40" s="59" t="s">
        <v>46</v>
      </c>
      <c r="O40" s="59" t="s">
        <v>107</v>
      </c>
      <c r="P40" s="59" t="s">
        <v>108</v>
      </c>
      <c r="Q40" s="59" t="s">
        <v>109</v>
      </c>
      <c r="R40" s="59" t="s">
        <v>110</v>
      </c>
      <c r="S40" s="59" t="s">
        <v>92</v>
      </c>
      <c r="T40" s="59" t="s">
        <v>93</v>
      </c>
      <c r="U40" s="59" t="s">
        <v>56</v>
      </c>
      <c r="V40" s="59" t="s">
        <v>94</v>
      </c>
      <c r="W40" s="59" t="s">
        <v>95</v>
      </c>
      <c r="X40" s="59" t="s">
        <v>96</v>
      </c>
      <c r="Y40" s="59" t="s">
        <v>97</v>
      </c>
      <c r="Z40" s="59" t="s">
        <v>54</v>
      </c>
      <c r="AA40" s="59" t="s">
        <v>55</v>
      </c>
      <c r="AB40" s="59" t="s">
        <v>98</v>
      </c>
      <c r="AC40" s="59" t="s">
        <v>99</v>
      </c>
      <c r="AD40" s="59" t="s">
        <v>100</v>
      </c>
      <c r="AE40" s="49"/>
      <c r="AF40" s="49"/>
      <c r="AG40" s="49"/>
      <c r="AH40" s="49"/>
      <c r="AI40" s="49"/>
      <c r="AJ40" s="49"/>
      <c r="AK40" s="49"/>
      <c r="AL40" s="49"/>
      <c r="AM40" s="49"/>
      <c r="AN40" s="49"/>
      <c r="AO40" s="49"/>
    </row>
    <row r="41" spans="1:41" ht="12.75" customHeight="1">
      <c r="A41"/>
      <c r="B41" t="s">
        <v>194</v>
      </c>
      <c r="C41" s="49">
        <v>70</v>
      </c>
      <c r="D41" s="49">
        <v>56.43316730152583</v>
      </c>
      <c r="E41" s="49">
        <v>6.11</v>
      </c>
      <c r="F41" s="49">
        <v>0</v>
      </c>
      <c r="G41" s="49">
        <v>0</v>
      </c>
      <c r="H41" s="49"/>
      <c r="I41" s="49">
        <v>0.17800000000000002</v>
      </c>
      <c r="J41" s="49">
        <v>0.3659999966621399</v>
      </c>
      <c r="K41" s="49">
        <v>60.73619630826717</v>
      </c>
      <c r="L41" s="49">
        <v>0.014256225723472923</v>
      </c>
      <c r="M41" s="49">
        <v>0.038951437920331955</v>
      </c>
      <c r="N41" s="49">
        <v>6.108701303485429</v>
      </c>
      <c r="O41" s="49">
        <v>0</v>
      </c>
      <c r="P41" s="49">
        <v>0</v>
      </c>
      <c r="Q41" s="49">
        <v>6.108701229095459</v>
      </c>
      <c r="R41" s="49">
        <v>4.970461614895729</v>
      </c>
      <c r="S41" s="49">
        <v>27.05002688688346</v>
      </c>
      <c r="T41" s="49">
        <v>0.8654268980026245</v>
      </c>
      <c r="U41" s="49">
        <v>4.292508602142334</v>
      </c>
      <c r="V41" s="49">
        <v>32.16871866639738</v>
      </c>
      <c r="W41" s="49">
        <v>6.108701303485429</v>
      </c>
      <c r="X41" s="48">
        <v>5.266048717759853</v>
      </c>
      <c r="Y41" s="60">
        <v>15.763696670532227</v>
      </c>
      <c r="Z41" s="60">
        <v>0</v>
      </c>
      <c r="AA41" s="60">
        <v>0</v>
      </c>
      <c r="AB41" s="60">
        <v>47.93241500854492</v>
      </c>
      <c r="AC41" s="60">
        <v>6.108701229095459</v>
      </c>
      <c r="AD41" s="48">
        <v>7.846580505371094</v>
      </c>
      <c r="AE41" s="60"/>
      <c r="AF41" s="60"/>
      <c r="AG41" s="60"/>
      <c r="AH41" s="60"/>
      <c r="AI41" s="60"/>
      <c r="AJ41" s="60"/>
      <c r="AK41" s="60"/>
      <c r="AL41" s="49"/>
      <c r="AM41" s="49"/>
      <c r="AN41" s="49"/>
      <c r="AO41" s="49"/>
    </row>
    <row r="42" spans="1:41" ht="12.75" customHeight="1">
      <c r="A42"/>
      <c r="B42" t="s">
        <v>353</v>
      </c>
      <c r="C42" s="49">
        <v>70</v>
      </c>
      <c r="D42" s="49">
        <v>994.5895528087585</v>
      </c>
      <c r="E42" s="49">
        <v>198.2</v>
      </c>
      <c r="F42" s="49">
        <v>0</v>
      </c>
      <c r="G42" s="49">
        <v>0</v>
      </c>
      <c r="H42" s="49"/>
      <c r="I42" s="49">
        <v>0.178</v>
      </c>
      <c r="J42" s="49">
        <v>0.3659999966621399</v>
      </c>
      <c r="K42" s="49">
        <v>1070.4270062104265</v>
      </c>
      <c r="L42" s="49">
        <v>0.25125460513832054</v>
      </c>
      <c r="M42" s="49">
        <v>0.6864879727363586</v>
      </c>
      <c r="N42" s="49">
        <v>198.20474229327655</v>
      </c>
      <c r="O42" s="49">
        <v>0</v>
      </c>
      <c r="P42" s="49">
        <v>0</v>
      </c>
      <c r="Q42" s="49">
        <v>198.20474243164062</v>
      </c>
      <c r="R42" s="49">
        <v>9.150660321766745</v>
      </c>
      <c r="S42" s="49">
        <v>476.7351440889772</v>
      </c>
      <c r="T42" s="49">
        <v>15.252458572387695</v>
      </c>
      <c r="U42" s="49">
        <v>75.65203857421875</v>
      </c>
      <c r="V42" s="49">
        <v>566.9480020573948</v>
      </c>
      <c r="W42" s="49">
        <v>198.20474229327655</v>
      </c>
      <c r="X42" s="48">
        <v>2.860415928991759</v>
      </c>
      <c r="Y42" s="60">
        <v>277.82257080078125</v>
      </c>
      <c r="Z42" s="60">
        <v>0</v>
      </c>
      <c r="AA42" s="60">
        <v>0</v>
      </c>
      <c r="AB42" s="60">
        <v>844.7705688476562</v>
      </c>
      <c r="AC42" s="60">
        <v>198.20474243164062</v>
      </c>
      <c r="AD42" s="48">
        <v>4.262110710144043</v>
      </c>
      <c r="AE42" s="60"/>
      <c r="AF42" s="60"/>
      <c r="AG42" s="60"/>
      <c r="AH42" s="60"/>
      <c r="AI42" s="60"/>
      <c r="AJ42" s="60"/>
      <c r="AK42" s="60"/>
      <c r="AL42" s="49"/>
      <c r="AM42" s="49"/>
      <c r="AN42" s="49"/>
      <c r="AO42" s="49"/>
    </row>
    <row r="43" spans="1:41" ht="12.75" customHeight="1">
      <c r="A43"/>
      <c r="B43" t="s">
        <v>179</v>
      </c>
      <c r="C43" s="49">
        <v>70</v>
      </c>
      <c r="D43" s="49">
        <v>465.58731163375523</v>
      </c>
      <c r="E43" s="49">
        <v>98.18</v>
      </c>
      <c r="F43" s="49">
        <v>0</v>
      </c>
      <c r="G43" s="49">
        <v>0</v>
      </c>
      <c r="H43" s="49"/>
      <c r="I43" s="49">
        <v>0.178</v>
      </c>
      <c r="J43" s="49">
        <v>0.3659999966621399</v>
      </c>
      <c r="K43" s="49">
        <v>501.08834414582907</v>
      </c>
      <c r="L43" s="49">
        <v>0.1176173184321037</v>
      </c>
      <c r="M43" s="49">
        <v>0.3213587999343872</v>
      </c>
      <c r="N43" s="49">
        <v>98.17512094877999</v>
      </c>
      <c r="O43" s="49">
        <v>0</v>
      </c>
      <c r="P43" s="49">
        <v>0</v>
      </c>
      <c r="Q43" s="49">
        <v>98.17511749267578</v>
      </c>
      <c r="R43" s="49">
        <v>9.682389768518874</v>
      </c>
      <c r="S43" s="49">
        <v>223.16927970024287</v>
      </c>
      <c r="T43" s="49">
        <v>7.139981746673584</v>
      </c>
      <c r="U43" s="49">
        <v>35.41423797607422</v>
      </c>
      <c r="V43" s="49">
        <v>265.3997291856624</v>
      </c>
      <c r="W43" s="49">
        <v>98.17512094877999</v>
      </c>
      <c r="X43" s="48">
        <v>2.7033297908960763</v>
      </c>
      <c r="Y43" s="60">
        <v>130.05435180664062</v>
      </c>
      <c r="Z43" s="60">
        <v>0</v>
      </c>
      <c r="AA43" s="60">
        <v>0</v>
      </c>
      <c r="AB43" s="60">
        <v>395.4540710449219</v>
      </c>
      <c r="AC43" s="60">
        <v>98.17511749267578</v>
      </c>
      <c r="AD43" s="48">
        <v>4.028048038482666</v>
      </c>
      <c r="AE43" s="60"/>
      <c r="AF43" s="60"/>
      <c r="AG43" s="60"/>
      <c r="AH43" s="60"/>
      <c r="AI43" s="60"/>
      <c r="AJ43" s="60"/>
      <c r="AK43" s="60"/>
      <c r="AL43" s="49"/>
      <c r="AM43" s="49"/>
      <c r="AN43" s="49"/>
      <c r="AO43" s="49"/>
    </row>
    <row r="44" spans="1:41" ht="12.75" customHeight="1">
      <c r="A44"/>
      <c r="B44" t="s">
        <v>195</v>
      </c>
      <c r="C44" s="49">
        <v>70</v>
      </c>
      <c r="D44" s="49">
        <v>413.8775891128571</v>
      </c>
      <c r="E44" s="49">
        <v>256.56</v>
      </c>
      <c r="F44" s="49">
        <v>0</v>
      </c>
      <c r="G44" s="49">
        <v>0</v>
      </c>
      <c r="H44" s="49"/>
      <c r="I44" s="49">
        <v>0.17799999999999996</v>
      </c>
      <c r="J44" s="49">
        <v>0.3659999966621399</v>
      </c>
      <c r="K44" s="49">
        <v>445.4357552827125</v>
      </c>
      <c r="L44" s="49">
        <v>0.10455433594137714</v>
      </c>
      <c r="M44" s="49">
        <v>0.2856675982475281</v>
      </c>
      <c r="N44" s="49">
        <v>256.5643547461533</v>
      </c>
      <c r="O44" s="49">
        <v>0</v>
      </c>
      <c r="P44" s="49">
        <v>0</v>
      </c>
      <c r="Q44" s="49">
        <v>256.5643615722656</v>
      </c>
      <c r="R44" s="49">
        <v>28.464704843802565</v>
      </c>
      <c r="S44" s="49">
        <v>198.38333463658967</v>
      </c>
      <c r="T44" s="49">
        <v>6.346990585327148</v>
      </c>
      <c r="U44" s="49">
        <v>31.481008529663086</v>
      </c>
      <c r="V44" s="49">
        <v>235.92352286441061</v>
      </c>
      <c r="W44" s="49">
        <v>256.5643547461533</v>
      </c>
      <c r="X44" s="69">
        <v>0.9195491053222694</v>
      </c>
      <c r="Y44" s="60">
        <v>115.61003112792969</v>
      </c>
      <c r="Z44" s="60">
        <v>0</v>
      </c>
      <c r="AA44" s="60">
        <v>0</v>
      </c>
      <c r="AB44" s="60">
        <v>351.5335388183594</v>
      </c>
      <c r="AC44" s="60">
        <v>256.5643615722656</v>
      </c>
      <c r="AD44" s="48">
        <v>1.3701573610305786</v>
      </c>
      <c r="AE44" s="60"/>
      <c r="AF44" s="60"/>
      <c r="AG44" s="60"/>
      <c r="AH44" s="60"/>
      <c r="AI44" s="60"/>
      <c r="AJ44" s="60"/>
      <c r="AK44" s="60"/>
      <c r="AL44" s="49"/>
      <c r="AM44" s="49"/>
      <c r="AN44" s="49"/>
      <c r="AO44" s="49"/>
    </row>
    <row r="45" spans="1:41" ht="12.75" customHeight="1">
      <c r="A45"/>
      <c r="B45" t="s">
        <v>403</v>
      </c>
      <c r="C45" s="49">
        <v>70</v>
      </c>
      <c r="D45" s="49">
        <v>825.5904662625544</v>
      </c>
      <c r="E45" s="49">
        <v>514.66</v>
      </c>
      <c r="F45" s="49">
        <v>0</v>
      </c>
      <c r="G45" s="49">
        <v>0</v>
      </c>
      <c r="H45" s="49"/>
      <c r="I45" s="49">
        <v>0.178</v>
      </c>
      <c r="J45" s="49">
        <v>0.3659999966621399</v>
      </c>
      <c r="K45" s="49">
        <v>888.5417393150742</v>
      </c>
      <c r="L45" s="49">
        <v>0.20856181931628007</v>
      </c>
      <c r="M45" s="49">
        <v>0.5698410272598267</v>
      </c>
      <c r="N45" s="49">
        <v>514.6559098181833</v>
      </c>
      <c r="O45" s="49">
        <v>0</v>
      </c>
      <c r="P45" s="49">
        <v>0</v>
      </c>
      <c r="Q45" s="49">
        <v>514.6558837890625</v>
      </c>
      <c r="R45" s="49">
        <v>28.624277587242478</v>
      </c>
      <c r="S45" s="49">
        <v>395.7290610791729</v>
      </c>
      <c r="T45" s="49">
        <v>12.660784721374512</v>
      </c>
      <c r="U45" s="49">
        <v>62.79735565185547</v>
      </c>
      <c r="V45" s="49">
        <v>470.6130846825194</v>
      </c>
      <c r="W45" s="49">
        <v>514.6559098181833</v>
      </c>
      <c r="X45" s="69">
        <v>0.9144227739438118</v>
      </c>
      <c r="Y45" s="60">
        <v>230.61532592773438</v>
      </c>
      <c r="Z45" s="60">
        <v>0</v>
      </c>
      <c r="AA45" s="60">
        <v>0</v>
      </c>
      <c r="AB45" s="60">
        <v>701.2284545898438</v>
      </c>
      <c r="AC45" s="60">
        <v>514.6558837890625</v>
      </c>
      <c r="AD45" s="48">
        <v>1.3625190258026123</v>
      </c>
      <c r="AE45" s="60"/>
      <c r="AF45" s="60"/>
      <c r="AG45" s="60"/>
      <c r="AH45" s="60"/>
      <c r="AI45" s="60"/>
      <c r="AJ45" s="60"/>
      <c r="AK45" s="60"/>
      <c r="AL45" s="49"/>
      <c r="AM45" s="49"/>
      <c r="AN45" s="49"/>
      <c r="AO45" s="49"/>
    </row>
    <row r="46" spans="1:41" ht="12.75" customHeight="1">
      <c r="A46"/>
      <c r="B46" t="s">
        <v>357</v>
      </c>
      <c r="C46" s="49">
        <v>70</v>
      </c>
      <c r="D46" s="49">
        <v>35.68117198945038</v>
      </c>
      <c r="E46" s="49">
        <v>30.63</v>
      </c>
      <c r="F46" s="49">
        <v>0</v>
      </c>
      <c r="G46" s="49">
        <v>0</v>
      </c>
      <c r="H46" s="49"/>
      <c r="I46" s="49">
        <v>0.178</v>
      </c>
      <c r="J46" s="49">
        <v>0.3659999966621399</v>
      </c>
      <c r="K46" s="49">
        <v>38.40186135364597</v>
      </c>
      <c r="L46" s="49">
        <v>0.009013827617396736</v>
      </c>
      <c r="M46" s="49">
        <v>0.024627944454550743</v>
      </c>
      <c r="N46" s="49">
        <v>30.6306065360127</v>
      </c>
      <c r="O46" s="49">
        <v>0</v>
      </c>
      <c r="P46" s="49">
        <v>0</v>
      </c>
      <c r="Q46" s="49">
        <v>30.630605697631836</v>
      </c>
      <c r="R46" s="49">
        <v>39.41837710039239</v>
      </c>
      <c r="S46" s="49">
        <v>17.103003567266523</v>
      </c>
      <c r="T46" s="49">
        <v>0.5471861362457275</v>
      </c>
      <c r="U46" s="49">
        <v>2.7140374183654785</v>
      </c>
      <c r="V46" s="49">
        <v>20.339414360301493</v>
      </c>
      <c r="W46" s="49">
        <v>30.6306065360127</v>
      </c>
      <c r="X46" s="69">
        <v>0.6640225793892865</v>
      </c>
      <c r="Y46" s="60">
        <v>9.966959953308105</v>
      </c>
      <c r="Z46" s="60">
        <v>0</v>
      </c>
      <c r="AA46" s="60">
        <v>0</v>
      </c>
      <c r="AB46" s="60">
        <v>30.30637550354004</v>
      </c>
      <c r="AC46" s="60">
        <v>30.630605697631836</v>
      </c>
      <c r="AD46" s="69">
        <v>0.9894148111343384</v>
      </c>
      <c r="AE46" s="60"/>
      <c r="AF46" s="60"/>
      <c r="AG46" s="60"/>
      <c r="AH46" s="60"/>
      <c r="AI46" s="60"/>
      <c r="AJ46" s="60"/>
      <c r="AK46" s="60"/>
      <c r="AL46" s="49"/>
      <c r="AM46" s="49"/>
      <c r="AN46" s="49"/>
      <c r="AO46" s="49"/>
    </row>
    <row r="47" spans="1:41" ht="12.75" customHeight="1">
      <c r="A47"/>
      <c r="B47" t="s">
        <v>184</v>
      </c>
      <c r="C47" s="49">
        <v>70</v>
      </c>
      <c r="D47" s="49">
        <v>644.6189414609544</v>
      </c>
      <c r="E47" s="49">
        <v>614.21</v>
      </c>
      <c r="F47" s="49">
        <v>0</v>
      </c>
      <c r="G47" s="49">
        <v>0</v>
      </c>
      <c r="H47" s="49"/>
      <c r="I47" s="49">
        <v>0.178</v>
      </c>
      <c r="J47" s="49">
        <v>0.3659999966621399</v>
      </c>
      <c r="K47" s="49">
        <v>693.7711357473521</v>
      </c>
      <c r="L47" s="49">
        <v>0.16284453938216348</v>
      </c>
      <c r="M47" s="49">
        <v>0.44493043422698975</v>
      </c>
      <c r="N47" s="49">
        <v>614.2055310602566</v>
      </c>
      <c r="O47" s="49">
        <v>0</v>
      </c>
      <c r="P47" s="49">
        <v>0</v>
      </c>
      <c r="Q47" s="49">
        <v>614.2055053710938</v>
      </c>
      <c r="R47" s="49">
        <v>43.75149601885338</v>
      </c>
      <c r="S47" s="49">
        <v>308.9842468905993</v>
      </c>
      <c r="T47" s="49">
        <v>9.88550853729248</v>
      </c>
      <c r="U47" s="49">
        <v>49.03202438354492</v>
      </c>
      <c r="V47" s="49">
        <v>367.4535109457109</v>
      </c>
      <c r="W47" s="49">
        <v>614.2055310602566</v>
      </c>
      <c r="X47" s="69">
        <v>0.5982582252416445</v>
      </c>
      <c r="Y47" s="60">
        <v>180.06394958496094</v>
      </c>
      <c r="Z47" s="60">
        <v>0</v>
      </c>
      <c r="AA47" s="60">
        <v>0</v>
      </c>
      <c r="AB47" s="60">
        <v>547.5174560546875</v>
      </c>
      <c r="AC47" s="60">
        <v>614.2055053710938</v>
      </c>
      <c r="AD47" s="69">
        <v>0.8914238810539246</v>
      </c>
      <c r="AE47" s="60"/>
      <c r="AF47" s="60"/>
      <c r="AG47" s="60"/>
      <c r="AH47" s="60"/>
      <c r="AI47" s="60"/>
      <c r="AJ47" s="60"/>
      <c r="AK47" s="60"/>
      <c r="AL47" s="49"/>
      <c r="AM47" s="49"/>
      <c r="AN47" s="49"/>
      <c r="AO47" s="49"/>
    </row>
    <row r="48" spans="1:41" ht="12.75" customHeight="1">
      <c r="A48"/>
      <c r="B48" t="s">
        <v>339</v>
      </c>
      <c r="C48" s="49">
        <v>70</v>
      </c>
      <c r="D48" s="49">
        <v>460.8478550814434</v>
      </c>
      <c r="E48" s="49">
        <v>510.51</v>
      </c>
      <c r="F48" s="49">
        <v>0</v>
      </c>
      <c r="G48" s="49">
        <v>0</v>
      </c>
      <c r="H48" s="49"/>
      <c r="I48" s="49">
        <v>0.178</v>
      </c>
      <c r="J48" s="49">
        <v>0.3659999966621399</v>
      </c>
      <c r="K48" s="49">
        <v>495.98750403140343</v>
      </c>
      <c r="L48" s="49">
        <v>0.11642003028317989</v>
      </c>
      <c r="M48" s="49">
        <v>0.31808751821517944</v>
      </c>
      <c r="N48" s="49">
        <v>510.51080893369436</v>
      </c>
      <c r="O48" s="49">
        <v>0</v>
      </c>
      <c r="P48" s="49">
        <v>0</v>
      </c>
      <c r="Q48" s="49">
        <v>510.51080322265625</v>
      </c>
      <c r="R48" s="49">
        <v>50.86624087685836</v>
      </c>
      <c r="S48" s="49">
        <v>220.89752297809665</v>
      </c>
      <c r="T48" s="49">
        <v>7.067299842834473</v>
      </c>
      <c r="U48" s="49">
        <v>35.053733825683594</v>
      </c>
      <c r="V48" s="49">
        <v>262.6980825341477</v>
      </c>
      <c r="W48" s="49">
        <v>510.51080893369436</v>
      </c>
      <c r="X48" s="69">
        <v>0.5145788843978565</v>
      </c>
      <c r="Y48" s="60">
        <v>128.73040771484375</v>
      </c>
      <c r="Z48" s="60">
        <v>0</v>
      </c>
      <c r="AA48" s="60">
        <v>0</v>
      </c>
      <c r="AB48" s="60">
        <v>391.4284973144531</v>
      </c>
      <c r="AC48" s="60">
        <v>510.51080322265625</v>
      </c>
      <c r="AD48" s="69">
        <v>0.7667388916015625</v>
      </c>
      <c r="AE48" s="60"/>
      <c r="AF48" s="60"/>
      <c r="AG48" s="60"/>
      <c r="AH48" s="60"/>
      <c r="AI48" s="60"/>
      <c r="AJ48" s="60"/>
      <c r="AK48" s="60"/>
      <c r="AL48" s="49"/>
      <c r="AM48" s="49"/>
      <c r="AN48" s="49"/>
      <c r="AO48" s="49"/>
    </row>
    <row r="49" spans="1:41" ht="12.75" customHeight="1">
      <c r="A49"/>
      <c r="B49" t="s">
        <v>182</v>
      </c>
      <c r="C49" s="49">
        <v>70</v>
      </c>
      <c r="D49" s="49">
        <v>460.16425113895093</v>
      </c>
      <c r="E49" s="49">
        <v>545.42</v>
      </c>
      <c r="F49" s="49">
        <v>0</v>
      </c>
      <c r="G49" s="49">
        <v>0</v>
      </c>
      <c r="H49" s="49"/>
      <c r="I49" s="49">
        <v>0.178</v>
      </c>
      <c r="J49" s="49">
        <v>0.3659999966621399</v>
      </c>
      <c r="K49" s="49">
        <v>495.2517752882959</v>
      </c>
      <c r="L49" s="49">
        <v>0.11624733729826277</v>
      </c>
      <c r="M49" s="49">
        <v>0.31761568784713745</v>
      </c>
      <c r="N49" s="49">
        <v>545.4175163821491</v>
      </c>
      <c r="O49" s="49">
        <v>0</v>
      </c>
      <c r="P49" s="49">
        <v>0</v>
      </c>
      <c r="Q49" s="49">
        <v>545.4175415039062</v>
      </c>
      <c r="R49" s="49">
        <v>54.42500916931999</v>
      </c>
      <c r="S49" s="49">
        <v>220.569852108135</v>
      </c>
      <c r="T49" s="49">
        <v>7.056816577911377</v>
      </c>
      <c r="U49" s="49">
        <v>35.00173568725586</v>
      </c>
      <c r="V49" s="49">
        <v>262.30840554456074</v>
      </c>
      <c r="W49" s="49">
        <v>545.4175163821491</v>
      </c>
      <c r="X49" s="69">
        <v>0.48093139231115795</v>
      </c>
      <c r="Y49" s="60">
        <v>128.53945922851562</v>
      </c>
      <c r="Z49" s="60">
        <v>0</v>
      </c>
      <c r="AA49" s="60">
        <v>0</v>
      </c>
      <c r="AB49" s="60">
        <v>390.8478698730469</v>
      </c>
      <c r="AC49" s="60">
        <v>545.4175415039062</v>
      </c>
      <c r="AD49" s="69">
        <v>0.7166030406951904</v>
      </c>
      <c r="AE49" s="60"/>
      <c r="AF49" s="60"/>
      <c r="AG49" s="60"/>
      <c r="AH49" s="60"/>
      <c r="AI49" s="60"/>
      <c r="AJ49" s="60"/>
      <c r="AK49" s="60"/>
      <c r="AL49" s="49"/>
      <c r="AM49" s="49"/>
      <c r="AN49" s="49"/>
      <c r="AO49" s="49"/>
    </row>
    <row r="50" spans="1:41" ht="12.75" customHeight="1">
      <c r="A50"/>
      <c r="B50" t="s">
        <v>349</v>
      </c>
      <c r="C50" s="49">
        <v>70</v>
      </c>
      <c r="D50" s="49">
        <v>693.7493457428027</v>
      </c>
      <c r="E50" s="49">
        <v>1129.77</v>
      </c>
      <c r="F50" s="49">
        <v>0</v>
      </c>
      <c r="G50" s="49">
        <v>0</v>
      </c>
      <c r="H50" s="49"/>
      <c r="I50" s="49">
        <v>0.178</v>
      </c>
      <c r="J50" s="49">
        <v>0.3659999966621399</v>
      </c>
      <c r="K50" s="49">
        <v>746.6477333556913</v>
      </c>
      <c r="L50" s="49">
        <v>0.17525593088860075</v>
      </c>
      <c r="M50" s="49">
        <v>0.4788413345813751</v>
      </c>
      <c r="N50" s="49">
        <v>1129.766941071657</v>
      </c>
      <c r="O50" s="49">
        <v>0</v>
      </c>
      <c r="P50" s="49">
        <v>0</v>
      </c>
      <c r="Q50" s="49">
        <v>1129.7669677734375</v>
      </c>
      <c r="R50" s="49">
        <v>74.77709128128498</v>
      </c>
      <c r="S50" s="49">
        <v>332.53385114524974</v>
      </c>
      <c r="T50" s="49">
        <v>10.638944625854492</v>
      </c>
      <c r="U50" s="49">
        <v>52.76905059814453</v>
      </c>
      <c r="V50" s="49">
        <v>395.4594119336304</v>
      </c>
      <c r="W50" s="49">
        <v>1129.766941071657</v>
      </c>
      <c r="X50" s="69">
        <v>0.3500362752325817</v>
      </c>
      <c r="Y50" s="60">
        <v>193.7876434326172</v>
      </c>
      <c r="Z50" s="60">
        <v>0</v>
      </c>
      <c r="AA50" s="60">
        <v>0</v>
      </c>
      <c r="AB50" s="60">
        <v>589.2470703125</v>
      </c>
      <c r="AC50" s="60">
        <v>1129.7669677734375</v>
      </c>
      <c r="AD50" s="69">
        <v>0.5215651392936707</v>
      </c>
      <c r="AE50" s="60"/>
      <c r="AF50" s="60"/>
      <c r="AG50" s="60"/>
      <c r="AH50" s="60"/>
      <c r="AI50" s="60"/>
      <c r="AJ50" s="60"/>
      <c r="AK50" s="60"/>
      <c r="AL50" s="49"/>
      <c r="AM50" s="49"/>
      <c r="AN50" s="49"/>
      <c r="AO50" s="49"/>
    </row>
    <row r="51" spans="1:41" ht="12.75" customHeight="1">
      <c r="A51"/>
      <c r="B51" t="s">
        <v>188</v>
      </c>
      <c r="C51" s="49">
        <v>70</v>
      </c>
      <c r="D51" s="49">
        <v>774.699572407535</v>
      </c>
      <c r="E51" s="49">
        <v>1546</v>
      </c>
      <c r="F51" s="49">
        <v>0</v>
      </c>
      <c r="G51" s="49">
        <v>0</v>
      </c>
      <c r="H51" s="49"/>
      <c r="I51" s="49">
        <v>0.178</v>
      </c>
      <c r="J51" s="49">
        <v>0.3659999966621399</v>
      </c>
      <c r="K51" s="49">
        <v>833.7704148036095</v>
      </c>
      <c r="L51" s="49">
        <v>0.19570569046939107</v>
      </c>
      <c r="M51" s="49">
        <v>0.5347149968147278</v>
      </c>
      <c r="N51" s="49">
        <v>1545.9968298875228</v>
      </c>
      <c r="O51" s="49">
        <v>0</v>
      </c>
      <c r="P51" s="49">
        <v>0</v>
      </c>
      <c r="Q51" s="49">
        <v>1545.996826171875</v>
      </c>
      <c r="R51" s="49">
        <v>91.63419410563357</v>
      </c>
      <c r="S51" s="49">
        <v>371.3356039527893</v>
      </c>
      <c r="T51" s="49">
        <v>11.880351066589355</v>
      </c>
      <c r="U51" s="49">
        <v>58.926414489746094</v>
      </c>
      <c r="V51" s="49">
        <v>441.6036422578402</v>
      </c>
      <c r="W51" s="49">
        <v>1545.9968298875228</v>
      </c>
      <c r="X51" s="69">
        <v>0.28564330386755615</v>
      </c>
      <c r="Y51" s="60">
        <v>216.39981079101562</v>
      </c>
      <c r="Z51" s="60">
        <v>0</v>
      </c>
      <c r="AA51" s="60">
        <v>0</v>
      </c>
      <c r="AB51" s="60">
        <v>658.0034790039062</v>
      </c>
      <c r="AC51" s="60">
        <v>1545.996826171875</v>
      </c>
      <c r="AD51" s="69">
        <v>0.42561760544776917</v>
      </c>
      <c r="AE51" s="60"/>
      <c r="AF51" s="60"/>
      <c r="AG51" s="60"/>
      <c r="AH51" s="60"/>
      <c r="AI51" s="60"/>
      <c r="AJ51" s="60"/>
      <c r="AK51" s="60"/>
      <c r="AL51" s="49"/>
      <c r="AM51" s="49"/>
      <c r="AN51" s="49"/>
      <c r="AO51" s="49"/>
    </row>
    <row r="52" spans="1:41" ht="12.75" customHeight="1">
      <c r="A52"/>
      <c r="B52" t="s">
        <v>186</v>
      </c>
      <c r="C52" s="49">
        <v>70</v>
      </c>
      <c r="D52" s="49">
        <v>169.60141810728237</v>
      </c>
      <c r="E52" s="49">
        <v>352.84</v>
      </c>
      <c r="F52" s="49">
        <v>0</v>
      </c>
      <c r="G52" s="49">
        <v>0</v>
      </c>
      <c r="H52" s="49"/>
      <c r="I52" s="49">
        <v>0.178</v>
      </c>
      <c r="J52" s="49">
        <v>0.3659999966621399</v>
      </c>
      <c r="K52" s="49">
        <v>182.53352623796263</v>
      </c>
      <c r="L52" s="49">
        <v>0.042844947664193056</v>
      </c>
      <c r="M52" s="49">
        <v>0.11706270277500153</v>
      </c>
      <c r="N52" s="49">
        <v>352.84147528993464</v>
      </c>
      <c r="O52" s="49">
        <v>0</v>
      </c>
      <c r="P52" s="49">
        <v>0</v>
      </c>
      <c r="Q52" s="49">
        <v>352.8414611816406</v>
      </c>
      <c r="R52" s="49">
        <v>95.52837962979265</v>
      </c>
      <c r="S52" s="49">
        <v>81.29479770899694</v>
      </c>
      <c r="T52" s="49">
        <v>2.6009106636047363</v>
      </c>
      <c r="U52" s="49">
        <v>12.900491714477539</v>
      </c>
      <c r="V52" s="49">
        <v>96.67825901740001</v>
      </c>
      <c r="W52" s="49">
        <v>352.84147528993464</v>
      </c>
      <c r="X52" s="69">
        <v>0.2739991349881931</v>
      </c>
      <c r="Y52" s="60">
        <v>47.37543487548828</v>
      </c>
      <c r="Z52" s="60">
        <v>0</v>
      </c>
      <c r="AA52" s="60">
        <v>0</v>
      </c>
      <c r="AB52" s="60">
        <v>144.0537109375</v>
      </c>
      <c r="AC52" s="60">
        <v>352.8414611816406</v>
      </c>
      <c r="AD52" s="69">
        <v>0.4082675278186798</v>
      </c>
      <c r="AE52" s="60"/>
      <c r="AF52" s="60"/>
      <c r="AG52" s="60"/>
      <c r="AH52" s="60"/>
      <c r="AI52" s="60"/>
      <c r="AJ52" s="60"/>
      <c r="AK52" s="60"/>
      <c r="AL52" s="49"/>
      <c r="AM52" s="49"/>
      <c r="AN52" s="49"/>
      <c r="AO52" s="49"/>
    </row>
    <row r="53" spans="1:41" ht="12.75" customHeight="1">
      <c r="A53"/>
      <c r="B53" t="s">
        <v>350</v>
      </c>
      <c r="C53" s="49">
        <v>70</v>
      </c>
      <c r="D53" s="49">
        <v>85.65259123411124</v>
      </c>
      <c r="E53" s="49">
        <v>792.82</v>
      </c>
      <c r="F53" s="49">
        <v>0</v>
      </c>
      <c r="G53" s="49">
        <v>0</v>
      </c>
      <c r="H53" s="49"/>
      <c r="I53" s="49">
        <v>0.178</v>
      </c>
      <c r="J53" s="49">
        <v>0.3659999966621399</v>
      </c>
      <c r="K53" s="49">
        <v>92.18360131571221</v>
      </c>
      <c r="L53" s="49">
        <v>0.021637677501061197</v>
      </c>
      <c r="M53" s="49">
        <v>0.0591193363070488</v>
      </c>
      <c r="N53" s="49">
        <v>792.8188691730849</v>
      </c>
      <c r="O53" s="49">
        <v>0</v>
      </c>
      <c r="P53" s="49">
        <v>0</v>
      </c>
      <c r="Q53" s="49">
        <v>792.81884765625</v>
      </c>
      <c r="R53" s="49">
        <v>425.026241063497</v>
      </c>
      <c r="S53" s="49">
        <v>41.05573028418873</v>
      </c>
      <c r="T53" s="49">
        <v>1.3135193586349487</v>
      </c>
      <c r="U53" s="49">
        <v>6.515042304992676</v>
      </c>
      <c r="V53" s="49">
        <v>48.82472896554085</v>
      </c>
      <c r="W53" s="49">
        <v>792.8188691730849</v>
      </c>
      <c r="X53" s="69">
        <v>0.06158371207343406</v>
      </c>
      <c r="Y53" s="60">
        <v>23.925670623779297</v>
      </c>
      <c r="Z53" s="60">
        <v>0</v>
      </c>
      <c r="AA53" s="60">
        <v>0</v>
      </c>
      <c r="AB53" s="60">
        <v>72.75041961669922</v>
      </c>
      <c r="AC53" s="60">
        <v>792.81884765625</v>
      </c>
      <c r="AD53" s="69">
        <v>0.09176171571016312</v>
      </c>
      <c r="AE53" s="60"/>
      <c r="AF53" s="60"/>
      <c r="AG53" s="60"/>
      <c r="AH53" s="60"/>
      <c r="AI53" s="60"/>
      <c r="AJ53" s="60"/>
      <c r="AK53" s="60"/>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60"/>
      <c r="Y54" s="60"/>
      <c r="Z54" s="60"/>
      <c r="AA54" s="60"/>
      <c r="AB54" s="60"/>
      <c r="AC54" s="60"/>
      <c r="AD54" s="60"/>
      <c r="AE54" s="60"/>
      <c r="AF54" s="60"/>
      <c r="AG54" s="60"/>
      <c r="AH54" s="60"/>
      <c r="AI54" s="60"/>
      <c r="AJ54" s="60"/>
      <c r="AK54" s="60"/>
      <c r="AL54" s="49"/>
      <c r="AM54" s="49"/>
      <c r="AN54" s="49"/>
      <c r="AO54" s="49"/>
    </row>
    <row r="55" spans="1:41" ht="12.75" customHeight="1" thickBo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thickBot="1">
      <c r="A56" s="65" t="s">
        <v>62</v>
      </c>
      <c r="B56" s="66"/>
      <c r="C56" s="67"/>
      <c r="D56" s="67"/>
      <c r="E56" s="67"/>
      <c r="F56" s="67"/>
      <c r="G56" s="67"/>
      <c r="H56" s="67"/>
      <c r="I56" s="67"/>
      <c r="J56" s="67"/>
      <c r="K56" s="68"/>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25.5">
      <c r="A57" s="57"/>
      <c r="B57" s="58" t="s">
        <v>63</v>
      </c>
      <c r="C57" s="59" t="s">
        <v>59</v>
      </c>
      <c r="D57" s="59" t="s">
        <v>60</v>
      </c>
      <c r="E57" s="59" t="s">
        <v>64</v>
      </c>
      <c r="F57" s="59" t="s">
        <v>65</v>
      </c>
      <c r="G57" s="59" t="s">
        <v>66</v>
      </c>
      <c r="H57" s="59" t="s">
        <v>67</v>
      </c>
      <c r="I57" s="59" t="s">
        <v>61</v>
      </c>
      <c r="J57" s="59" t="s">
        <v>50</v>
      </c>
      <c r="K57" s="59" t="s">
        <v>58</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t="s">
        <v>68</v>
      </c>
      <c r="C58" s="49">
        <v>1632.2515466645227</v>
      </c>
      <c r="D58" s="49">
        <v>302.488564545542</v>
      </c>
      <c r="E58" s="49">
        <v>302.49</v>
      </c>
      <c r="F58" s="49">
        <v>60.4977</v>
      </c>
      <c r="G58" s="49">
        <v>362.986264545542</v>
      </c>
      <c r="H58" s="49">
        <v>1948.0819091796875</v>
      </c>
      <c r="I58" s="49">
        <v>10.990021359673745</v>
      </c>
      <c r="J58" s="49">
        <v>726.9544506761035</v>
      </c>
      <c r="K58" s="48">
        <v>2.00270512049884</v>
      </c>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t="s">
        <v>69</v>
      </c>
      <c r="C59" s="49">
        <v>0</v>
      </c>
      <c r="D59" s="49">
        <v>0</v>
      </c>
      <c r="E59" s="49">
        <v>0</v>
      </c>
      <c r="F59" s="49">
        <v>0</v>
      </c>
      <c r="G59" s="49">
        <v>0</v>
      </c>
      <c r="H59" s="49">
        <v>0</v>
      </c>
      <c r="I59" s="49">
        <v>0</v>
      </c>
      <c r="J59" s="49">
        <v>2914.8414550271887</v>
      </c>
      <c r="K59" s="69">
        <v>0</v>
      </c>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t="s">
        <v>70</v>
      </c>
      <c r="C60" s="49">
        <v>1901.9828105052734</v>
      </c>
      <c r="D60" s="49">
        <v>1994.795166015625</v>
      </c>
      <c r="E60" s="49">
        <v>1994.7949001031377</v>
      </c>
      <c r="F60" s="49">
        <v>398.95898002062756</v>
      </c>
      <c r="G60" s="49">
        <v>2393.7541460362527</v>
      </c>
      <c r="H60" s="49">
        <v>11024.9609375</v>
      </c>
      <c r="I60" s="49">
        <v>62.19684992982423</v>
      </c>
      <c r="J60" s="49">
        <v>847.0844288870079</v>
      </c>
      <c r="K60" s="69">
        <v>0.3538727777410517</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71</v>
      </c>
      <c r="C61" s="49">
        <v>60.73619630826717</v>
      </c>
      <c r="D61" s="49">
        <v>6.108701303485429</v>
      </c>
      <c r="E61" s="49">
        <v>6.11</v>
      </c>
      <c r="F61" s="49">
        <v>1.22174</v>
      </c>
      <c r="G61" s="49">
        <v>7.330441303485429</v>
      </c>
      <c r="H61" s="49">
        <v>1057.271728515625</v>
      </c>
      <c r="I61" s="49">
        <v>5.964553854258515</v>
      </c>
      <c r="J61" s="49">
        <v>27.05002688688346</v>
      </c>
      <c r="K61" s="48">
        <v>3.690095284443775</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72</v>
      </c>
      <c r="C62" s="49">
        <v>1571.5153503562556</v>
      </c>
      <c r="D62" s="49">
        <v>296.37986324205656</v>
      </c>
      <c r="E62" s="49">
        <v>296.38</v>
      </c>
      <c r="F62" s="49">
        <v>59.275960000000005</v>
      </c>
      <c r="G62" s="49">
        <v>355.65582324205656</v>
      </c>
      <c r="H62" s="49">
        <v>1982.5101318359375</v>
      </c>
      <c r="I62" s="49">
        <v>11.184246494592422</v>
      </c>
      <c r="J62" s="49">
        <v>699.9044237892201</v>
      </c>
      <c r="K62" s="104">
        <v>1.9679262310654497</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73</v>
      </c>
      <c r="C63" s="49">
        <v>0</v>
      </c>
      <c r="D63" s="49">
        <v>0</v>
      </c>
      <c r="E63" s="49">
        <v>0</v>
      </c>
      <c r="F63" s="49">
        <v>0</v>
      </c>
      <c r="G63" s="49">
        <v>0</v>
      </c>
      <c r="H63" s="49">
        <v>0</v>
      </c>
      <c r="I63" s="49">
        <v>0</v>
      </c>
      <c r="J63" s="49">
        <v>0</v>
      </c>
      <c r="K63" s="70">
        <v>0</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74</v>
      </c>
      <c r="C64" s="49">
        <v>1333.9774945977867</v>
      </c>
      <c r="D64" s="49">
        <v>771.2202645643366</v>
      </c>
      <c r="E64" s="49">
        <v>771.22</v>
      </c>
      <c r="F64" s="49">
        <v>154.24402</v>
      </c>
      <c r="G64" s="49">
        <v>925.4642845643366</v>
      </c>
      <c r="H64" s="49">
        <v>6077.3642578125</v>
      </c>
      <c r="I64" s="49">
        <v>34.28519265355916</v>
      </c>
      <c r="J64" s="49">
        <v>594.1123957157625</v>
      </c>
      <c r="K64" s="70">
        <v>0.6419614518084203</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t="s">
        <v>75</v>
      </c>
      <c r="C65" s="49">
        <v>38.40186135364597</v>
      </c>
      <c r="D65" s="49">
        <v>30.6306065360127</v>
      </c>
      <c r="E65" s="49">
        <v>30.63</v>
      </c>
      <c r="F65" s="49">
        <v>6.12612</v>
      </c>
      <c r="G65" s="49">
        <v>36.7567265360127</v>
      </c>
      <c r="H65" s="49">
        <v>8384.7216796875</v>
      </c>
      <c r="I65" s="49">
        <v>47.30205248638449</v>
      </c>
      <c r="J65" s="49">
        <v>17.103003567266523</v>
      </c>
      <c r="K65" s="70">
        <v>0.4653026854964823</v>
      </c>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t="s">
        <v>76</v>
      </c>
      <c r="C66" s="49">
        <v>693.7711357473521</v>
      </c>
      <c r="D66" s="49">
        <v>614.2055310602566</v>
      </c>
      <c r="E66" s="49">
        <v>614.21</v>
      </c>
      <c r="F66" s="49">
        <v>122.84108</v>
      </c>
      <c r="G66" s="49">
        <v>737.0466110602566</v>
      </c>
      <c r="H66" s="49">
        <v>9306.423828125</v>
      </c>
      <c r="I66" s="49">
        <v>52.50179601047564</v>
      </c>
      <c r="J66" s="49">
        <v>308.9842468905993</v>
      </c>
      <c r="K66" s="70">
        <v>0.4192194119800906</v>
      </c>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t="s">
        <v>77</v>
      </c>
      <c r="C67" s="49">
        <v>2846.374555032675</v>
      </c>
      <c r="D67" s="49">
        <v>4877.352440738043</v>
      </c>
      <c r="E67" s="49">
        <v>4877.35</v>
      </c>
      <c r="F67" s="49">
        <v>975.47028</v>
      </c>
      <c r="G67" s="49">
        <v>5852.822720738042</v>
      </c>
      <c r="H67" s="49">
        <v>18012.642578125</v>
      </c>
      <c r="I67" s="49">
        <v>101.61755823293952</v>
      </c>
      <c r="J67" s="49">
        <v>1267.6873581774562</v>
      </c>
      <c r="K67" s="70">
        <v>0.21659418346735787</v>
      </c>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39"/>
      <c r="AF519" s="39"/>
      <c r="AG519" s="39"/>
      <c r="AH519" s="39"/>
      <c r="AI519" s="39"/>
      <c r="AJ519" s="39"/>
      <c r="AK519" s="39"/>
      <c r="AL519" s="39"/>
      <c r="AM519" s="39"/>
      <c r="AN519" s="39"/>
      <c r="AO519" s="3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39"/>
      <c r="AF520" s="39"/>
      <c r="AG520" s="39"/>
      <c r="AH520" s="39"/>
      <c r="AI520" s="39"/>
      <c r="AJ520" s="39"/>
      <c r="AK520" s="39"/>
      <c r="AL520" s="39"/>
      <c r="AM520" s="39"/>
      <c r="AN520" s="39"/>
      <c r="AO520" s="39"/>
    </row>
    <row r="521" spans="3:41" ht="12.75">
      <c r="C521" s="39"/>
      <c r="D521" s="39"/>
      <c r="E521" s="39"/>
      <c r="F521" s="39"/>
      <c r="G521" s="39"/>
      <c r="H521" s="39"/>
      <c r="I521" s="105"/>
      <c r="J521" s="105"/>
      <c r="K521" s="105"/>
      <c r="L521" s="105"/>
      <c r="M521" s="105"/>
      <c r="S521" s="39"/>
      <c r="T521" s="39"/>
      <c r="U521" s="39"/>
      <c r="X521" s="39"/>
      <c r="Y521" s="39"/>
      <c r="Z521" s="39"/>
      <c r="AA521" s="39"/>
      <c r="AB521" s="39"/>
      <c r="AC521" s="39"/>
      <c r="AD521" s="39"/>
      <c r="AE521" s="39"/>
      <c r="AF521" s="39"/>
      <c r="AG521" s="39"/>
      <c r="AH521" s="39"/>
      <c r="AI521" s="39"/>
      <c r="AJ521" s="39"/>
      <c r="AK521" s="39"/>
      <c r="AL521" s="39"/>
      <c r="AM521" s="39"/>
      <c r="AN521" s="39"/>
      <c r="AO521" s="39"/>
    </row>
    <row r="522" spans="3:41" ht="12.75">
      <c r="C522" s="39"/>
      <c r="D522" s="39"/>
      <c r="E522" s="39"/>
      <c r="F522" s="39"/>
      <c r="G522" s="39"/>
      <c r="H522" s="39"/>
      <c r="I522" s="105"/>
      <c r="J522" s="105"/>
      <c r="K522" s="105"/>
      <c r="L522" s="105"/>
      <c r="M522" s="105"/>
      <c r="S522" s="39"/>
      <c r="T522" s="39"/>
      <c r="U522" s="39"/>
      <c r="X522" s="39"/>
      <c r="Y522" s="39"/>
      <c r="Z522" s="39"/>
      <c r="AA522" s="39"/>
      <c r="AB522" s="39"/>
      <c r="AC522" s="39"/>
      <c r="AD522" s="39"/>
      <c r="AE522" s="39"/>
      <c r="AF522" s="39"/>
      <c r="AG522" s="39"/>
      <c r="AH522" s="39"/>
      <c r="AI522" s="39"/>
      <c r="AJ522" s="39"/>
      <c r="AK522" s="39"/>
      <c r="AL522" s="39"/>
      <c r="AM522" s="39"/>
      <c r="AN522" s="39"/>
      <c r="AO522" s="39"/>
    </row>
    <row r="523" spans="3:30" ht="12.75">
      <c r="C523" s="39"/>
      <c r="D523" s="39"/>
      <c r="E523" s="39"/>
      <c r="F523" s="39"/>
      <c r="G523" s="39"/>
      <c r="H523" s="39"/>
      <c r="I523" s="105"/>
      <c r="J523" s="105"/>
      <c r="K523" s="105"/>
      <c r="L523" s="105"/>
      <c r="M523" s="105"/>
      <c r="S523" s="39"/>
      <c r="T523" s="39"/>
      <c r="U523" s="39"/>
      <c r="X523" s="39"/>
      <c r="Y523" s="39"/>
      <c r="Z523" s="39"/>
      <c r="AA523" s="39"/>
      <c r="AB523" s="39"/>
      <c r="AC523" s="39"/>
      <c r="AD523" s="39"/>
    </row>
    <row r="524" spans="3:30" ht="12.75">
      <c r="C524" s="39"/>
      <c r="D524" s="39"/>
      <c r="E524" s="39"/>
      <c r="F524" s="39"/>
      <c r="G524" s="39"/>
      <c r="H524" s="39"/>
      <c r="I524" s="105"/>
      <c r="J524" s="105"/>
      <c r="K524" s="105"/>
      <c r="L524" s="105"/>
      <c r="M524" s="105"/>
      <c r="S524" s="39"/>
      <c r="T524" s="39"/>
      <c r="U524" s="39"/>
      <c r="X524" s="39"/>
      <c r="Y524" s="39"/>
      <c r="Z524" s="39"/>
      <c r="AA524" s="39"/>
      <c r="AB524" s="39"/>
      <c r="AC524" s="39"/>
      <c r="AD524" s="39"/>
    </row>
  </sheetData>
  <printOptions gridLines="1" headings="1"/>
  <pageMargins left="0.75" right="0.75" top="1" bottom="1" header="0.5" footer="0.5"/>
  <pageSetup blackAndWhite="1" horizontalDpi="300" verticalDpi="300" orientation="landscape"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7"/>
  <dimension ref="A1:BK272"/>
  <sheetViews>
    <sheetView zoomScale="75" zoomScaleNormal="75" workbookViewId="0" topLeftCell="A1">
      <selection activeCell="A3" sqref="A3:C4"/>
    </sheetView>
  </sheetViews>
  <sheetFormatPr defaultColWidth="9.140625" defaultRowHeight="12.75"/>
  <cols>
    <col min="1" max="1" width="36.00390625" style="113" customWidth="1"/>
    <col min="2" max="2" width="10.8515625" style="113" customWidth="1"/>
    <col min="3" max="3" width="15.57421875" style="113" customWidth="1"/>
    <col min="4" max="4" width="12.140625" style="113" customWidth="1"/>
    <col min="5" max="5" width="14.57421875" style="113" customWidth="1"/>
    <col min="6" max="6" width="13.57421875" style="113" customWidth="1"/>
    <col min="7" max="7" width="12.57421875" style="113" customWidth="1"/>
    <col min="8" max="8" width="11.8515625" style="113" customWidth="1"/>
    <col min="9" max="9" width="12.00390625" style="113" customWidth="1"/>
    <col min="10" max="10" width="13.140625" style="113" customWidth="1"/>
    <col min="11" max="11" width="10.28125" style="113" customWidth="1"/>
    <col min="12" max="12" width="17.28125" style="113" customWidth="1"/>
    <col min="13" max="13" width="11.7109375" style="113" customWidth="1"/>
    <col min="14" max="14" width="13.140625" style="113" customWidth="1"/>
    <col min="15" max="15" width="9.57421875" style="113" customWidth="1"/>
    <col min="16" max="16" width="11.421875" style="113" customWidth="1"/>
    <col min="17" max="17" width="25.57421875" style="113" customWidth="1"/>
    <col min="18" max="18" width="12.140625" style="113" customWidth="1"/>
    <col min="19" max="20" width="18.421875" style="113" customWidth="1"/>
    <col min="21" max="21" width="11.421875" style="113" customWidth="1"/>
    <col min="22" max="22" width="8.7109375" style="113" customWidth="1"/>
    <col min="23" max="23" width="27.8515625" style="113" customWidth="1"/>
    <col min="24" max="24" width="12.7109375" style="113" customWidth="1"/>
    <col min="25" max="26" width="11.421875" style="113" customWidth="1"/>
    <col min="27" max="27" width="12.140625" style="113" customWidth="1"/>
    <col min="28" max="28" width="20.8515625" style="113" customWidth="1"/>
    <col min="29" max="29" width="26.00390625" style="113" customWidth="1"/>
    <col min="30" max="30" width="11.57421875" style="113" customWidth="1"/>
    <col min="31" max="32" width="12.57421875" style="113" customWidth="1"/>
    <col min="33" max="33" width="11.421875" style="113" customWidth="1"/>
    <col min="34" max="34" width="10.57421875" style="113" customWidth="1"/>
    <col min="35" max="35" width="8.7109375" style="113" customWidth="1"/>
    <col min="36" max="36" width="11.421875" style="113" customWidth="1"/>
    <col min="37" max="37" width="10.8515625" style="113" customWidth="1"/>
    <col min="38" max="38" width="10.57421875" style="113" customWidth="1"/>
    <col min="39" max="41" width="8.7109375" style="113" customWidth="1"/>
    <col min="42" max="42" width="8.57421875" style="113" customWidth="1"/>
    <col min="43" max="43" width="11.421875" style="113" customWidth="1"/>
    <col min="44" max="44" width="11.140625" style="113" customWidth="1"/>
    <col min="45" max="45" width="11.00390625" style="113" customWidth="1"/>
    <col min="46" max="47" width="10.8515625" style="113" customWidth="1"/>
    <col min="48" max="48" width="12.421875" style="113" customWidth="1"/>
    <col min="49" max="49" width="8.7109375" style="113" customWidth="1"/>
    <col min="50" max="50" width="6.421875" style="113" customWidth="1"/>
    <col min="51" max="51" width="10.57421875" style="113" customWidth="1"/>
    <col min="52" max="52" width="8.7109375" style="113" customWidth="1"/>
    <col min="53" max="53" width="10.421875" style="113" customWidth="1"/>
    <col min="54" max="55" width="11.421875" style="113" customWidth="1"/>
    <col min="56" max="57" width="8.7109375" style="113" customWidth="1"/>
    <col min="58" max="58" width="6.140625" style="113" customWidth="1"/>
    <col min="59" max="59" width="9.57421875" style="113" customWidth="1"/>
    <col min="60" max="60" width="8.7109375" style="113" customWidth="1"/>
    <col min="61" max="61" width="10.421875" style="113" customWidth="1"/>
    <col min="62" max="63" width="10.8515625" style="113" customWidth="1"/>
    <col min="64" max="16384" width="8.7109375" style="113" customWidth="1"/>
  </cols>
  <sheetData>
    <row r="1" spans="1:63" ht="12.75">
      <c r="A1" s="5"/>
      <c r="B1" s="5"/>
      <c r="D1" s="5"/>
      <c r="E1" s="5"/>
      <c r="F1" s="5"/>
      <c r="G1" s="5"/>
      <c r="H1" s="5"/>
      <c r="I1" s="5"/>
      <c r="J1" s="5"/>
      <c r="K1" s="5"/>
      <c r="AP1" s="383" t="s">
        <v>197</v>
      </c>
      <c r="AQ1" s="150"/>
      <c r="AR1" s="141"/>
      <c r="AS1" s="141"/>
      <c r="AT1" s="141"/>
      <c r="AU1" s="141"/>
      <c r="AV1" s="270"/>
      <c r="AW1" s="270"/>
      <c r="AX1" s="383" t="s">
        <v>198</v>
      </c>
      <c r="AY1" s="150"/>
      <c r="AZ1" s="141"/>
      <c r="BA1" s="141"/>
      <c r="BB1" s="141"/>
      <c r="BC1" s="141"/>
      <c r="BD1" s="361"/>
      <c r="BE1" s="361"/>
      <c r="BF1" s="384" t="s">
        <v>199</v>
      </c>
      <c r="BG1" s="150"/>
      <c r="BH1" s="141"/>
      <c r="BI1" s="141"/>
      <c r="BJ1" s="141"/>
      <c r="BK1" s="141"/>
    </row>
    <row r="2" spans="1:63" ht="12.75">
      <c r="A2" s="5"/>
      <c r="B2" s="5"/>
      <c r="Q2" s="269">
        <f>$A2</f>
        <v>0</v>
      </c>
      <c r="R2" s="312">
        <f>IF(J2=0,0,(M2/J2))</f>
        <v>0</v>
      </c>
      <c r="S2" s="312">
        <f>IF(J2&gt;0,J2,0)</f>
        <v>0</v>
      </c>
      <c r="T2" s="159">
        <f>IF(J2&gt;0,M2,0)</f>
        <v>0</v>
      </c>
      <c r="V2" s="118"/>
      <c r="W2" s="269">
        <f>$A2</f>
        <v>0</v>
      </c>
      <c r="X2" s="312">
        <f>IF(K2=0,0,(N2/K2))</f>
        <v>0</v>
      </c>
      <c r="Y2" s="312">
        <f>IF(K2&gt;0,K2,0)</f>
        <v>0</v>
      </c>
      <c r="Z2" s="159">
        <f>IF(K2&gt;0,N2,0)</f>
        <v>0</v>
      </c>
      <c r="AA2" s="118"/>
      <c r="AC2" s="269">
        <f>$A2</f>
        <v>0</v>
      </c>
      <c r="AD2" s="312">
        <f>IF(L2=0,0,(O2/L2))</f>
        <v>0</v>
      </c>
      <c r="AE2" s="312">
        <f>IF(L2&gt;0,L2,0)</f>
        <v>0</v>
      </c>
      <c r="AF2" s="159">
        <f>IF(L2&gt;0,O2,0)</f>
        <v>0</v>
      </c>
      <c r="AO2" s="5"/>
      <c r="AP2" s="385" t="s">
        <v>200</v>
      </c>
      <c r="AQ2" s="383" t="s">
        <v>201</v>
      </c>
      <c r="AR2" s="383" t="s">
        <v>202</v>
      </c>
      <c r="AS2" s="383" t="s">
        <v>203</v>
      </c>
      <c r="AT2" s="386" t="s">
        <v>204</v>
      </c>
      <c r="AU2" s="386" t="s">
        <v>205</v>
      </c>
      <c r="AV2" s="270"/>
      <c r="AW2" s="141"/>
      <c r="AX2" s="385" t="s">
        <v>200</v>
      </c>
      <c r="AY2" s="383" t="s">
        <v>201</v>
      </c>
      <c r="AZ2" s="383" t="s">
        <v>202</v>
      </c>
      <c r="BA2" s="383" t="s">
        <v>203</v>
      </c>
      <c r="BB2" s="386" t="s">
        <v>204</v>
      </c>
      <c r="BC2" s="386" t="s">
        <v>205</v>
      </c>
      <c r="BD2" s="141"/>
      <c r="BE2" s="141"/>
      <c r="BF2" s="385" t="s">
        <v>200</v>
      </c>
      <c r="BG2" s="383" t="s">
        <v>201</v>
      </c>
      <c r="BH2" s="383" t="s">
        <v>202</v>
      </c>
      <c r="BI2" s="383" t="s">
        <v>203</v>
      </c>
      <c r="BJ2" s="386" t="s">
        <v>204</v>
      </c>
      <c r="BK2" s="386" t="s">
        <v>205</v>
      </c>
    </row>
    <row r="3" spans="1:63" ht="12.75">
      <c r="A3" s="156"/>
      <c r="B3" s="156"/>
      <c r="C3" s="285"/>
      <c r="D3" s="532" t="s">
        <v>290</v>
      </c>
      <c r="E3" s="532"/>
      <c r="F3" s="532"/>
      <c r="G3" s="532" t="s">
        <v>359</v>
      </c>
      <c r="H3" s="532"/>
      <c r="I3" s="532"/>
      <c r="J3" s="532" t="s">
        <v>360</v>
      </c>
      <c r="K3" s="532"/>
      <c r="L3" s="532"/>
      <c r="M3" s="532" t="s">
        <v>361</v>
      </c>
      <c r="N3" s="532"/>
      <c r="O3" s="532"/>
      <c r="Q3" s="120" t="s">
        <v>206</v>
      </c>
      <c r="R3" s="120">
        <v>1344</v>
      </c>
      <c r="W3" s="310" t="s">
        <v>206</v>
      </c>
      <c r="X3" s="310">
        <v>2200</v>
      </c>
      <c r="Y3" s="270"/>
      <c r="Z3" s="270"/>
      <c r="AC3" s="310" t="s">
        <v>206</v>
      </c>
      <c r="AD3" s="310">
        <v>2283</v>
      </c>
      <c r="AE3" s="270"/>
      <c r="AF3" s="270"/>
      <c r="AO3" s="5"/>
      <c r="AP3" s="150">
        <v>19168.50278347495</v>
      </c>
      <c r="AQ3" s="150">
        <v>21998.740111338997</v>
      </c>
      <c r="AR3" s="150">
        <v>29697.77322004102</v>
      </c>
      <c r="AS3" s="150">
        <v>34659.12686785819</v>
      </c>
      <c r="AT3" s="273">
        <v>800</v>
      </c>
      <c r="AU3" s="273">
        <f>('Cost-Effectiveness'!$B$3*AP3)+('Cost-Effectiveness'!$C$3*AQ3)+('Cost-Effectiveness'!$D$3*AR3)+('Cost-Effectiveness'!$E$3*AS3)</f>
        <v>34659.12686785819</v>
      </c>
      <c r="AV3" s="270"/>
      <c r="AW3" s="141"/>
      <c r="AX3" s="150">
        <v>16438.353354819807</v>
      </c>
      <c r="AY3" s="150">
        <v>18783.357749780254</v>
      </c>
      <c r="AZ3" s="150">
        <v>26097.714620568415</v>
      </c>
      <c r="BA3" s="150">
        <v>30627.658951069443</v>
      </c>
      <c r="BB3" s="273">
        <v>800</v>
      </c>
      <c r="BC3" s="273">
        <f>('Cost-Effectiveness'!$B$3*AX3)+('Cost-Effectiveness'!$C$3*AY3)+('Cost-Effectiveness'!$D$3*AZ3)+('Cost-Effectiveness'!$E$3*BA3)</f>
        <v>30627.658951069443</v>
      </c>
      <c r="BD3" s="141"/>
      <c r="BE3" s="141"/>
      <c r="BF3" s="150">
        <v>18123.20539115148</v>
      </c>
      <c r="BG3" s="150">
        <v>20804.68795780838</v>
      </c>
      <c r="BH3" s="150">
        <v>28541.136829768533</v>
      </c>
      <c r="BI3" s="150">
        <v>33284.29534134193</v>
      </c>
      <c r="BJ3" s="273">
        <v>800</v>
      </c>
      <c r="BK3" s="273">
        <f>('Cost-Effectiveness'!$B$3*BF3)+('Cost-Effectiveness'!$C$3*BG3)+('Cost-Effectiveness'!$D$3*BH3)+('Cost-Effectiveness'!$E$3*BI3)</f>
        <v>33284.29534134193</v>
      </c>
    </row>
    <row r="4" spans="1:63" ht="38.25">
      <c r="A4" s="286" t="s">
        <v>295</v>
      </c>
      <c r="B4" s="286" t="s">
        <v>207</v>
      </c>
      <c r="C4" s="287" t="s">
        <v>362</v>
      </c>
      <c r="D4" s="286">
        <v>1344</v>
      </c>
      <c r="E4" s="286">
        <v>2200</v>
      </c>
      <c r="F4" s="286">
        <v>2283</v>
      </c>
      <c r="G4" s="286">
        <v>1344</v>
      </c>
      <c r="H4" s="286">
        <v>2200</v>
      </c>
      <c r="I4" s="286">
        <v>2283</v>
      </c>
      <c r="J4" s="288">
        <v>1344</v>
      </c>
      <c r="K4" s="288">
        <v>2200</v>
      </c>
      <c r="L4" s="288">
        <v>2283</v>
      </c>
      <c r="M4" s="285">
        <v>1344</v>
      </c>
      <c r="N4" s="285">
        <v>2200</v>
      </c>
      <c r="O4" s="285">
        <v>2283</v>
      </c>
      <c r="Q4" s="310" t="s">
        <v>52</v>
      </c>
      <c r="R4" s="310" t="s">
        <v>208</v>
      </c>
      <c r="S4" s="310" t="s">
        <v>209</v>
      </c>
      <c r="T4" s="311" t="s">
        <v>210</v>
      </c>
      <c r="V4" s="122"/>
      <c r="W4" s="310" t="s">
        <v>52</v>
      </c>
      <c r="X4" s="310" t="s">
        <v>208</v>
      </c>
      <c r="Y4" s="310" t="s">
        <v>209</v>
      </c>
      <c r="Z4" s="311" t="s">
        <v>210</v>
      </c>
      <c r="AA4" s="122"/>
      <c r="AC4" s="310" t="s">
        <v>52</v>
      </c>
      <c r="AD4" s="310" t="s">
        <v>208</v>
      </c>
      <c r="AE4" s="310" t="s">
        <v>209</v>
      </c>
      <c r="AF4" s="311" t="s">
        <v>210</v>
      </c>
      <c r="AH4" s="5"/>
      <c r="AI4" s="5"/>
      <c r="AJ4" s="5"/>
      <c r="AO4" s="5"/>
      <c r="AP4" s="150">
        <v>18847.11397597422</v>
      </c>
      <c r="AQ4" s="150">
        <v>21628.391444477</v>
      </c>
      <c r="AR4" s="150">
        <v>29230.35452680926</v>
      </c>
      <c r="AS4" s="150">
        <v>34122.79519484325</v>
      </c>
      <c r="AT4" s="273">
        <v>790</v>
      </c>
      <c r="AU4" s="273">
        <f>('Cost-Effectiveness'!$B$3*AP4)+('Cost-Effectiveness'!$C$3*AQ4)+('Cost-Effectiveness'!$D$3*AR4)+('Cost-Effectiveness'!$E$3*AS4)</f>
        <v>34122.79519484325</v>
      </c>
      <c r="AV4" s="270"/>
      <c r="AW4" s="141"/>
      <c r="AX4" s="150">
        <v>16131.526516261354</v>
      </c>
      <c r="AY4" s="150">
        <v>18435.013184881336</v>
      </c>
      <c r="AZ4" s="150">
        <v>25651.274538529156</v>
      </c>
      <c r="BA4" s="150">
        <v>30111.837093466158</v>
      </c>
      <c r="BB4" s="273">
        <v>790</v>
      </c>
      <c r="BC4" s="273">
        <f>('Cost-Effectiveness'!$B$3*AX4)+('Cost-Effectiveness'!$C$3*AY4)+('Cost-Effectiveness'!$D$3*AZ4)+('Cost-Effectiveness'!$E$3*BA4)</f>
        <v>30111.837093466158</v>
      </c>
      <c r="BD4" s="141"/>
      <c r="BE4" s="141"/>
      <c r="BF4" s="150">
        <v>17808.086727219455</v>
      </c>
      <c r="BG4" s="150">
        <v>20438.763551128042</v>
      </c>
      <c r="BH4" s="150">
        <v>28078.523293290364</v>
      </c>
      <c r="BI4" s="150">
        <v>32751.538236155877</v>
      </c>
      <c r="BJ4" s="273">
        <v>790</v>
      </c>
      <c r="BK4" s="273">
        <f>('Cost-Effectiveness'!$B$3*BF4)+('Cost-Effectiveness'!$C$3*BG4)+('Cost-Effectiveness'!$D$3*BH4)+('Cost-Effectiveness'!$E$3*BI4)</f>
        <v>32751.538236155877</v>
      </c>
    </row>
    <row r="5" spans="1:63" ht="12.75">
      <c r="A5" s="271" t="str">
        <f>'SF Measure Cost'!B4</f>
        <v>WALL R11 STD</v>
      </c>
      <c r="B5" s="272">
        <f>'SF Measure Cost'!C4</f>
        <v>0.088</v>
      </c>
      <c r="C5" s="274">
        <f>VLOOKUP($A5,'SF Measure Cost'!$B$4:$I$40,7,0)</f>
        <v>0</v>
      </c>
      <c r="D5" s="282">
        <v>1231</v>
      </c>
      <c r="E5" s="282">
        <v>2122</v>
      </c>
      <c r="F5" s="282">
        <v>1817</v>
      </c>
      <c r="G5" s="273">
        <f>$B5*D5</f>
        <v>108.32799999999999</v>
      </c>
      <c r="H5" s="273">
        <f>$B5*E5</f>
        <v>186.736</v>
      </c>
      <c r="I5" s="273">
        <f>$B5*F5</f>
        <v>159.896</v>
      </c>
      <c r="J5" s="273">
        <v>0</v>
      </c>
      <c r="K5" s="273">
        <v>0</v>
      </c>
      <c r="L5" s="273">
        <v>0</v>
      </c>
      <c r="M5" s="275">
        <f>$C5*D5</f>
        <v>0</v>
      </c>
      <c r="N5" s="275">
        <f>$C5*E5</f>
        <v>0</v>
      </c>
      <c r="O5" s="275">
        <f>$C5*F5</f>
        <v>0</v>
      </c>
      <c r="P5"/>
      <c r="Q5" s="269" t="s">
        <v>346</v>
      </c>
      <c r="R5" s="312">
        <v>0</v>
      </c>
      <c r="S5" s="312">
        <v>0</v>
      </c>
      <c r="T5" s="159">
        <v>0</v>
      </c>
      <c r="V5" s="118"/>
      <c r="W5" s="269" t="s">
        <v>346</v>
      </c>
      <c r="X5" s="312">
        <v>0</v>
      </c>
      <c r="Y5" s="312">
        <v>0</v>
      </c>
      <c r="Z5" s="159">
        <v>0</v>
      </c>
      <c r="AA5" s="118"/>
      <c r="AC5" s="269" t="s">
        <v>346</v>
      </c>
      <c r="AD5" s="312">
        <v>0</v>
      </c>
      <c r="AE5" s="312">
        <v>0</v>
      </c>
      <c r="AF5" s="159">
        <v>0</v>
      </c>
      <c r="AH5" s="5"/>
      <c r="AI5" s="5"/>
      <c r="AJ5" s="5"/>
      <c r="AO5" s="5"/>
      <c r="AP5" s="150">
        <v>18526.193964254322</v>
      </c>
      <c r="AQ5" s="150">
        <v>21258.39437445063</v>
      </c>
      <c r="AR5" s="150">
        <v>28763.19953120422</v>
      </c>
      <c r="AS5" s="150">
        <v>33586.55142103721</v>
      </c>
      <c r="AT5" s="273">
        <v>780</v>
      </c>
      <c r="AU5" s="273">
        <f>('Cost-Effectiveness'!$B$3*AP5)+('Cost-Effectiveness'!$C$3*AQ5)+('Cost-Effectiveness'!$D$3*AR5)+('Cost-Effectiveness'!$E$3*AS5)</f>
        <v>33586.55142103721</v>
      </c>
      <c r="AV5" s="270"/>
      <c r="AW5" s="141"/>
      <c r="AX5" s="150">
        <v>15825.080574274833</v>
      </c>
      <c r="AY5" s="150">
        <v>18087.02021681805</v>
      </c>
      <c r="AZ5" s="150">
        <v>25205.098154116615</v>
      </c>
      <c r="BA5" s="150">
        <v>29597.36302373279</v>
      </c>
      <c r="BB5" s="273">
        <v>780</v>
      </c>
      <c r="BC5" s="273">
        <f>('Cost-Effectiveness'!$B$3*AX5)+('Cost-Effectiveness'!$C$3*AY5)+('Cost-Effectiveness'!$D$3*AZ5)+('Cost-Effectiveness'!$E$3*BA5)</f>
        <v>29597.36302373279</v>
      </c>
      <c r="BD5" s="141"/>
      <c r="BE5" s="141"/>
      <c r="BF5" s="150">
        <v>17493.8177556402</v>
      </c>
      <c r="BG5" s="150">
        <v>20072.663346029887</v>
      </c>
      <c r="BH5" s="150">
        <v>27615.76325813068</v>
      </c>
      <c r="BI5" s="150">
        <v>32219.425725168472</v>
      </c>
      <c r="BJ5" s="273">
        <v>780</v>
      </c>
      <c r="BK5" s="273">
        <f>('Cost-Effectiveness'!$B$3*BF5)+('Cost-Effectiveness'!$C$3*BG5)+('Cost-Effectiveness'!$D$3*BH5)+('Cost-Effectiveness'!$E$3*BI5)</f>
        <v>32219.425725168472</v>
      </c>
    </row>
    <row r="6" spans="1:63" ht="12.75">
      <c r="A6" s="271" t="str">
        <f>'SF Measure Cost'!B5</f>
        <v>WALL R13 STD</v>
      </c>
      <c r="B6" s="272">
        <f>'SF Measure Cost'!C5</f>
        <v>0.082</v>
      </c>
      <c r="C6" s="274">
        <f>VLOOKUP($A6,'SF Measure Cost'!$B$4:$I$40,7,0)</f>
        <v>0</v>
      </c>
      <c r="D6" s="282">
        <v>1231</v>
      </c>
      <c r="E6" s="282">
        <v>2122</v>
      </c>
      <c r="F6" s="282">
        <v>1817</v>
      </c>
      <c r="G6" s="273">
        <f aca="true" t="shared" si="0" ref="G6:G48">$B6*D6</f>
        <v>100.94200000000001</v>
      </c>
      <c r="H6" s="273">
        <f aca="true" t="shared" si="1" ref="H6:H48">$B6*E6</f>
        <v>174.00400000000002</v>
      </c>
      <c r="I6" s="273">
        <f aca="true" t="shared" si="2" ref="I6:I48">$B6*F6</f>
        <v>148.994</v>
      </c>
      <c r="J6" s="273">
        <v>0</v>
      </c>
      <c r="K6" s="273">
        <v>0</v>
      </c>
      <c r="L6" s="273">
        <v>0</v>
      </c>
      <c r="M6" s="275">
        <f aca="true" t="shared" si="3" ref="M6:M48">$C6*D6</f>
        <v>0</v>
      </c>
      <c r="N6" s="275">
        <f aca="true" t="shared" si="4" ref="N6:N48">$C6*E6</f>
        <v>0</v>
      </c>
      <c r="O6" s="275">
        <f aca="true" t="shared" si="5" ref="O6:O48">$C6*F6</f>
        <v>0</v>
      </c>
      <c r="P6"/>
      <c r="Q6" s="269" t="s">
        <v>347</v>
      </c>
      <c r="R6" s="312">
        <v>0</v>
      </c>
      <c r="S6" s="312">
        <v>0</v>
      </c>
      <c r="T6" s="159">
        <v>0</v>
      </c>
      <c r="V6" s="118"/>
      <c r="W6" s="269" t="s">
        <v>347</v>
      </c>
      <c r="X6" s="312">
        <v>0</v>
      </c>
      <c r="Y6" s="312">
        <v>0</v>
      </c>
      <c r="Z6" s="159">
        <v>0</v>
      </c>
      <c r="AA6" s="118"/>
      <c r="AC6" s="269" t="s">
        <v>347</v>
      </c>
      <c r="AD6" s="312">
        <v>0</v>
      </c>
      <c r="AE6" s="312">
        <v>0</v>
      </c>
      <c r="AF6" s="159">
        <v>0</v>
      </c>
      <c r="AH6" s="5"/>
      <c r="AI6" s="5"/>
      <c r="AJ6" s="5"/>
      <c r="AO6" s="5"/>
      <c r="AP6" s="150">
        <v>18205.566949897453</v>
      </c>
      <c r="AQ6" s="150">
        <v>20888.51450336947</v>
      </c>
      <c r="AR6" s="150">
        <v>28296.10313507179</v>
      </c>
      <c r="AS6" s="150">
        <v>33050.6006445942</v>
      </c>
      <c r="AT6" s="273">
        <v>770</v>
      </c>
      <c r="AU6" s="273">
        <f>('Cost-Effectiveness'!$B$3*AP6)+('Cost-Effectiveness'!$C$3*AQ6)+('Cost-Effectiveness'!$D$3*AR6)+('Cost-Effectiveness'!$E$3*AS6)</f>
        <v>33050.6006445942</v>
      </c>
      <c r="AV6" s="270"/>
      <c r="AW6" s="141"/>
      <c r="AX6" s="150">
        <v>15519.7187225315</v>
      </c>
      <c r="AY6" s="150">
        <v>17740.316437152065</v>
      </c>
      <c r="AZ6" s="150">
        <v>24759.419865221214</v>
      </c>
      <c r="BA6" s="150">
        <v>29082.83035452681</v>
      </c>
      <c r="BB6" s="273">
        <v>770</v>
      </c>
      <c r="BC6" s="273">
        <f>('Cost-Effectiveness'!$B$3*AX6)+('Cost-Effectiveness'!$C$3*AY6)+('Cost-Effectiveness'!$D$3*AZ6)+('Cost-Effectiveness'!$E$3*BA6)</f>
        <v>29082.83035452681</v>
      </c>
      <c r="BD6" s="141"/>
      <c r="BE6" s="141"/>
      <c r="BF6" s="150">
        <v>17180.398476413713</v>
      </c>
      <c r="BG6" s="150">
        <v>19707.3835335482</v>
      </c>
      <c r="BH6" s="150">
        <v>27152.68092587167</v>
      </c>
      <c r="BI6" s="150">
        <v>31687.98710811603</v>
      </c>
      <c r="BJ6" s="273">
        <v>770</v>
      </c>
      <c r="BK6" s="273">
        <f>('Cost-Effectiveness'!$B$3*BF6)+('Cost-Effectiveness'!$C$3*BG6)+('Cost-Effectiveness'!$D$3*BH6)+('Cost-Effectiveness'!$E$3*BI6)</f>
        <v>31687.98710811603</v>
      </c>
    </row>
    <row r="7" spans="1:63" ht="12.75">
      <c r="A7" s="422" t="str">
        <f>'SF Measure Cost'!B6</f>
        <v>WALL R19 STD</v>
      </c>
      <c r="B7" s="423">
        <f>'SF Measure Cost'!C6</f>
        <v>0.062</v>
      </c>
      <c r="C7" s="424">
        <f>VLOOKUP($A7,'SF Measure Cost'!$B$4:$I$40,7,0)</f>
        <v>0</v>
      </c>
      <c r="D7" s="425">
        <v>1231</v>
      </c>
      <c r="E7" s="425">
        <v>2122</v>
      </c>
      <c r="F7" s="425">
        <v>1817</v>
      </c>
      <c r="G7" s="426">
        <f t="shared" si="0"/>
        <v>76.322</v>
      </c>
      <c r="H7" s="426">
        <f t="shared" si="1"/>
        <v>131.564</v>
      </c>
      <c r="I7" s="426">
        <f t="shared" si="2"/>
        <v>112.654</v>
      </c>
      <c r="J7" s="426">
        <v>0</v>
      </c>
      <c r="K7" s="426">
        <v>0</v>
      </c>
      <c r="L7" s="426">
        <v>0</v>
      </c>
      <c r="M7" s="427">
        <f>$C7*D7</f>
        <v>0</v>
      </c>
      <c r="N7" s="427">
        <f>$C7*E7</f>
        <v>0</v>
      </c>
      <c r="O7" s="427">
        <f>$C7*F7</f>
        <v>0</v>
      </c>
      <c r="P7"/>
      <c r="Q7" s="269" t="s">
        <v>348</v>
      </c>
      <c r="R7" s="312">
        <v>0</v>
      </c>
      <c r="S7" s="312">
        <v>0</v>
      </c>
      <c r="T7" s="159">
        <v>0</v>
      </c>
      <c r="V7" s="118"/>
      <c r="W7" s="269" t="s">
        <v>348</v>
      </c>
      <c r="X7" s="312">
        <v>0</v>
      </c>
      <c r="Y7" s="312">
        <v>0</v>
      </c>
      <c r="Z7" s="159">
        <v>0</v>
      </c>
      <c r="AA7" s="118"/>
      <c r="AC7" s="269" t="s">
        <v>348</v>
      </c>
      <c r="AD7" s="312">
        <v>0</v>
      </c>
      <c r="AE7" s="312">
        <v>0</v>
      </c>
      <c r="AF7" s="159">
        <v>0</v>
      </c>
      <c r="AG7" s="126"/>
      <c r="AH7" s="5"/>
      <c r="AI7" s="5"/>
      <c r="AJ7" s="5"/>
      <c r="AO7" s="5"/>
      <c r="AP7" s="150">
        <v>17885.086434222092</v>
      </c>
      <c r="AQ7" s="150">
        <v>20519.835921476708</v>
      </c>
      <c r="AR7" s="150">
        <v>27829.065338411958</v>
      </c>
      <c r="AS7" s="150">
        <v>32514.679167887494</v>
      </c>
      <c r="AT7" s="273">
        <v>760</v>
      </c>
      <c r="AU7" s="273">
        <f>('Cost-Effectiveness'!$B$3*AP7)+('Cost-Effectiveness'!$C$3*AQ7)+('Cost-Effectiveness'!$D$3*AR7)+('Cost-Effectiveness'!$E$3*AS7)</f>
        <v>32514.679167887494</v>
      </c>
      <c r="AV7" s="270"/>
      <c r="AW7" s="141"/>
      <c r="AX7" s="150">
        <v>15215.353061822445</v>
      </c>
      <c r="AY7" s="150">
        <v>17393.8470553765</v>
      </c>
      <c r="AZ7" s="150">
        <v>24314.91356577791</v>
      </c>
      <c r="BA7" s="150">
        <v>28569.26457661881</v>
      </c>
      <c r="BB7" s="273">
        <v>760</v>
      </c>
      <c r="BC7" s="273">
        <f>('Cost-Effectiveness'!$B$3*AX7)+('Cost-Effectiveness'!$C$3*AY7)+('Cost-Effectiveness'!$D$3*AZ7)+('Cost-Effectiveness'!$E$3*BA7)</f>
        <v>28569.26457661881</v>
      </c>
      <c r="BD7" s="141"/>
      <c r="BE7" s="141"/>
      <c r="BF7" s="150">
        <v>16867.77029006739</v>
      </c>
      <c r="BG7" s="150">
        <v>19343.627307354236</v>
      </c>
      <c r="BH7" s="150">
        <v>26690.038089657195</v>
      </c>
      <c r="BI7" s="150">
        <v>31157.16378552593</v>
      </c>
      <c r="BJ7" s="273">
        <v>760</v>
      </c>
      <c r="BK7" s="273">
        <f>('Cost-Effectiveness'!$B$3*BF7)+('Cost-Effectiveness'!$C$3*BG7)+('Cost-Effectiveness'!$D$3*BH7)+('Cost-Effectiveness'!$E$3*BI7)</f>
        <v>31157.16378552593</v>
      </c>
    </row>
    <row r="8" spans="1:63" ht="12.75">
      <c r="A8" s="271" t="str">
        <f>'SF Measure Cost'!B7</f>
        <v>WALL R19 INT</v>
      </c>
      <c r="B8" s="272">
        <f>'SF Measure Cost'!C7</f>
        <v>0.058</v>
      </c>
      <c r="C8" s="274">
        <f>VLOOKUP($A8,'SF Measure Cost'!$B$4:$I$40,7,0)</f>
        <v>0</v>
      </c>
      <c r="D8" s="282">
        <v>1231</v>
      </c>
      <c r="E8" s="282">
        <v>2122</v>
      </c>
      <c r="F8" s="282">
        <v>1817</v>
      </c>
      <c r="G8" s="273">
        <f t="shared" si="0"/>
        <v>71.39800000000001</v>
      </c>
      <c r="H8" s="273">
        <f t="shared" si="1"/>
        <v>123.07600000000001</v>
      </c>
      <c r="I8" s="273">
        <f t="shared" si="2"/>
        <v>105.38600000000001</v>
      </c>
      <c r="J8" s="273">
        <v>0</v>
      </c>
      <c r="K8" s="273">
        <v>0</v>
      </c>
      <c r="L8" s="273">
        <v>0</v>
      </c>
      <c r="M8" s="275">
        <f t="shared" si="3"/>
        <v>0</v>
      </c>
      <c r="N8" s="275">
        <f t="shared" si="4"/>
        <v>0</v>
      </c>
      <c r="O8" s="275">
        <f t="shared" si="5"/>
        <v>0</v>
      </c>
      <c r="P8"/>
      <c r="Q8" s="269" t="s">
        <v>351</v>
      </c>
      <c r="R8" s="312">
        <v>0</v>
      </c>
      <c r="S8" s="312">
        <v>0</v>
      </c>
      <c r="T8" s="159">
        <v>0</v>
      </c>
      <c r="V8" s="118"/>
      <c r="W8" s="269" t="s">
        <v>351</v>
      </c>
      <c r="X8" s="312">
        <v>0</v>
      </c>
      <c r="Y8" s="312">
        <v>0</v>
      </c>
      <c r="Z8" s="159">
        <v>0</v>
      </c>
      <c r="AA8" s="118"/>
      <c r="AC8" s="269" t="s">
        <v>351</v>
      </c>
      <c r="AD8" s="312">
        <v>0</v>
      </c>
      <c r="AE8" s="312">
        <v>0</v>
      </c>
      <c r="AF8" s="159">
        <v>0</v>
      </c>
      <c r="AH8" s="5"/>
      <c r="AI8" s="5"/>
      <c r="AJ8" s="5"/>
      <c r="AO8" s="5"/>
      <c r="AP8" s="150">
        <v>17565.19191327278</v>
      </c>
      <c r="AQ8" s="150">
        <v>20151.508936419574</v>
      </c>
      <c r="AR8" s="150">
        <v>27362.261939642543</v>
      </c>
      <c r="AS8" s="150">
        <v>31978.904189862293</v>
      </c>
      <c r="AT8" s="273">
        <v>750</v>
      </c>
      <c r="AU8" s="273">
        <f>('Cost-Effectiveness'!$B$3*AP8)+('Cost-Effectiveness'!$C$3*AQ8)+('Cost-Effectiveness'!$D$3*AR8)+('Cost-Effectiveness'!$E$3*AS8)</f>
        <v>31978.904189862293</v>
      </c>
      <c r="AV8" s="270"/>
      <c r="AW8" s="141"/>
      <c r="AX8" s="150">
        <v>14911.280398476414</v>
      </c>
      <c r="AY8" s="150">
        <v>17047.319074128332</v>
      </c>
      <c r="AZ8" s="150">
        <v>23870.436566070908</v>
      </c>
      <c r="BA8" s="150">
        <v>28056.460591854673</v>
      </c>
      <c r="BB8" s="273">
        <v>750</v>
      </c>
      <c r="BC8" s="273">
        <f>('Cost-Effectiveness'!$B$3*AX8)+('Cost-Effectiveness'!$C$3*AY8)+('Cost-Effectiveness'!$D$3*AZ8)+('Cost-Effectiveness'!$E$3*BA8)</f>
        <v>28056.460591854673</v>
      </c>
      <c r="BD8" s="141"/>
      <c r="BE8" s="141"/>
      <c r="BF8" s="150">
        <v>16555.259302666276</v>
      </c>
      <c r="BG8" s="150">
        <v>18980.486375622622</v>
      </c>
      <c r="BH8" s="150">
        <v>26227.600351596837</v>
      </c>
      <c r="BI8" s="150">
        <v>30626.193964254322</v>
      </c>
      <c r="BJ8" s="273">
        <v>750</v>
      </c>
      <c r="BK8" s="273">
        <f>('Cost-Effectiveness'!$B$3*BF8)+('Cost-Effectiveness'!$C$3*BG8)+('Cost-Effectiveness'!$D$3*BH8)+('Cost-Effectiveness'!$E$3*BI8)</f>
        <v>30626.193964254322</v>
      </c>
    </row>
    <row r="9" spans="1:63" ht="12.75">
      <c r="A9" s="271" t="str">
        <f>'SF Measure Cost'!B8</f>
        <v>WALL R21 INT</v>
      </c>
      <c r="B9" s="272">
        <f>'SF Measure Cost'!C8</f>
        <v>0.054</v>
      </c>
      <c r="C9" s="274">
        <v>0</v>
      </c>
      <c r="D9" s="282">
        <v>1231</v>
      </c>
      <c r="E9" s="282">
        <v>2122</v>
      </c>
      <c r="F9" s="282">
        <v>1817</v>
      </c>
      <c r="G9" s="273">
        <f t="shared" si="0"/>
        <v>66.474</v>
      </c>
      <c r="H9" s="273">
        <f t="shared" si="1"/>
        <v>114.588</v>
      </c>
      <c r="I9" s="273">
        <f t="shared" si="2"/>
        <v>98.118</v>
      </c>
      <c r="J9" s="273">
        <v>0</v>
      </c>
      <c r="K9" s="273">
        <v>0</v>
      </c>
      <c r="L9" s="273">
        <v>0</v>
      </c>
      <c r="M9" s="275">
        <f t="shared" si="3"/>
        <v>0</v>
      </c>
      <c r="N9" s="275">
        <f t="shared" si="4"/>
        <v>0</v>
      </c>
      <c r="O9" s="275">
        <f t="shared" si="5"/>
        <v>0</v>
      </c>
      <c r="P9"/>
      <c r="Q9" s="269" t="s">
        <v>352</v>
      </c>
      <c r="R9" s="312">
        <v>0</v>
      </c>
      <c r="S9" s="312">
        <v>0</v>
      </c>
      <c r="T9" s="159">
        <v>0</v>
      </c>
      <c r="V9" s="118"/>
      <c r="W9" s="269" t="s">
        <v>352</v>
      </c>
      <c r="X9" s="312">
        <v>0</v>
      </c>
      <c r="Y9" s="312">
        <v>0</v>
      </c>
      <c r="Z9" s="159">
        <v>0</v>
      </c>
      <c r="AA9" s="118"/>
      <c r="AC9" s="269" t="s">
        <v>352</v>
      </c>
      <c r="AD9" s="312">
        <v>0</v>
      </c>
      <c r="AE9" s="312">
        <v>0</v>
      </c>
      <c r="AF9" s="159">
        <v>0</v>
      </c>
      <c r="AH9" s="5"/>
      <c r="AI9" s="5"/>
      <c r="AJ9" s="5"/>
      <c r="AO9" s="5"/>
      <c r="AP9" s="150">
        <v>17245.941986522124</v>
      </c>
      <c r="AQ9" s="150">
        <v>19784.383240550836</v>
      </c>
      <c r="AR9" s="150">
        <v>26896.425432171112</v>
      </c>
      <c r="AS9" s="150">
        <v>31443.275710518607</v>
      </c>
      <c r="AT9" s="273">
        <v>740</v>
      </c>
      <c r="AU9" s="273">
        <f>('Cost-Effectiveness'!$B$3*AP9)+('Cost-Effectiveness'!$C$3*AQ9)+('Cost-Effectiveness'!$D$3*AR9)+('Cost-Effectiveness'!$E$3*AS9)</f>
        <v>31443.275710518607</v>
      </c>
      <c r="AV9" s="270"/>
      <c r="AW9" s="141"/>
      <c r="AX9" s="150">
        <v>14607.354233811897</v>
      </c>
      <c r="AY9" s="150">
        <v>16700.73249340756</v>
      </c>
      <c r="AZ9" s="150">
        <v>23426.340462935837</v>
      </c>
      <c r="BA9" s="150">
        <v>27544.476999707003</v>
      </c>
      <c r="BB9" s="273">
        <v>740</v>
      </c>
      <c r="BC9" s="273">
        <f>('Cost-Effectiveness'!$B$3*AX9)+('Cost-Effectiveness'!$C$3*AY9)+('Cost-Effectiveness'!$D$3*AZ9)+('Cost-Effectiveness'!$E$3*BA9)</f>
        <v>27544.476999707003</v>
      </c>
      <c r="BD9" s="141"/>
      <c r="BE9" s="141"/>
      <c r="BF9" s="150">
        <v>16242.924113682977</v>
      </c>
      <c r="BG9" s="150">
        <v>18618.37093466159</v>
      </c>
      <c r="BH9" s="150">
        <v>25766.04160562555</v>
      </c>
      <c r="BI9" s="150">
        <v>30095.458540873136</v>
      </c>
      <c r="BJ9" s="273">
        <v>740</v>
      </c>
      <c r="BK9" s="273">
        <f>('Cost-Effectiveness'!$B$3*BF9)+('Cost-Effectiveness'!$C$3*BG9)+('Cost-Effectiveness'!$D$3*BH9)+('Cost-Effectiveness'!$E$3*BI9)</f>
        <v>30095.458540873136</v>
      </c>
    </row>
    <row r="10" spans="1:63" ht="12.75">
      <c r="A10" s="271" t="str">
        <f>'SF Measure Cost'!B9</f>
        <v>WALL R21 ADV</v>
      </c>
      <c r="B10" s="272">
        <f>'SF Measure Cost'!C9</f>
        <v>0.051</v>
      </c>
      <c r="C10" s="274">
        <f>VLOOKUP($A10,'SF Measure Cost'!$B$4:$I$40,7,0)</f>
        <v>0.10908347808317166</v>
      </c>
      <c r="D10" s="282">
        <v>1231</v>
      </c>
      <c r="E10" s="282">
        <v>2122</v>
      </c>
      <c r="F10" s="282">
        <v>1817</v>
      </c>
      <c r="G10" s="273">
        <f t="shared" si="0"/>
        <v>62.781</v>
      </c>
      <c r="H10" s="273">
        <f t="shared" si="1"/>
        <v>108.222</v>
      </c>
      <c r="I10" s="273">
        <f t="shared" si="2"/>
        <v>92.66699999999999</v>
      </c>
      <c r="J10" s="273">
        <f>G7-G10</f>
        <v>13.541000000000004</v>
      </c>
      <c r="K10" s="273">
        <f>H7-H10</f>
        <v>23.342</v>
      </c>
      <c r="L10" s="273">
        <f>I7-I10</f>
        <v>19.98700000000001</v>
      </c>
      <c r="M10" s="275">
        <f>$C10*D10</f>
        <v>134.28176152038432</v>
      </c>
      <c r="N10" s="275">
        <f>$C10*E10</f>
        <v>231.47514049249025</v>
      </c>
      <c r="O10" s="275">
        <f>$C10*F10</f>
        <v>198.2046796771229</v>
      </c>
      <c r="P10"/>
      <c r="Q10" s="269" t="s">
        <v>211</v>
      </c>
      <c r="R10" s="312">
        <v>0</v>
      </c>
      <c r="S10" s="312">
        <v>0</v>
      </c>
      <c r="T10" s="159">
        <v>0</v>
      </c>
      <c r="V10" s="118"/>
      <c r="W10" s="269" t="s">
        <v>211</v>
      </c>
      <c r="X10" s="312">
        <v>0</v>
      </c>
      <c r="Y10" s="312">
        <v>0</v>
      </c>
      <c r="Z10" s="159">
        <v>0</v>
      </c>
      <c r="AA10" s="118"/>
      <c r="AC10" s="269" t="s">
        <v>211</v>
      </c>
      <c r="AD10" s="312">
        <v>0</v>
      </c>
      <c r="AE10" s="312">
        <v>0</v>
      </c>
      <c r="AF10" s="159">
        <v>0</v>
      </c>
      <c r="AH10" s="5"/>
      <c r="AI10" s="5"/>
      <c r="AJ10" s="5"/>
      <c r="AO10" s="5"/>
      <c r="AP10" s="150">
        <v>16926.77995898037</v>
      </c>
      <c r="AQ10" s="150">
        <v>19417.491942572517</v>
      </c>
      <c r="AR10" s="150">
        <v>26431.555815997657</v>
      </c>
      <c r="AS10" s="150">
        <v>30907.64723117492</v>
      </c>
      <c r="AT10" s="273">
        <v>730</v>
      </c>
      <c r="AU10" s="273">
        <f>('Cost-Effectiveness'!$B$3*AP10)+('Cost-Effectiveness'!$C$3*AQ10)+('Cost-Effectiveness'!$D$3*AR10)+('Cost-Effectiveness'!$E$3*AS10)</f>
        <v>30907.64723117492</v>
      </c>
      <c r="AV10" s="270"/>
      <c r="AW10" s="141"/>
      <c r="AX10" s="150">
        <v>14303.428069147378</v>
      </c>
      <c r="AY10" s="150">
        <v>16355.112803984764</v>
      </c>
      <c r="AZ10" s="150">
        <v>22982.390858482275</v>
      </c>
      <c r="BA10" s="150">
        <v>27033.225900966892</v>
      </c>
      <c r="BB10" s="273">
        <v>730</v>
      </c>
      <c r="BC10" s="273">
        <f>('Cost-Effectiveness'!$B$3*AX10)+('Cost-Effectiveness'!$C$3*AY10)+('Cost-Effectiveness'!$D$3*AZ10)+('Cost-Effectiveness'!$E$3*BA10)</f>
        <v>27033.225900966892</v>
      </c>
      <c r="BD10" s="141"/>
      <c r="BE10" s="141"/>
      <c r="BF10" s="150">
        <v>15931.145619689423</v>
      </c>
      <c r="BG10" s="150">
        <v>18256.841488426606</v>
      </c>
      <c r="BH10" s="150">
        <v>25305.215353061823</v>
      </c>
      <c r="BI10" s="150">
        <v>29565.3970114269</v>
      </c>
      <c r="BJ10" s="273">
        <v>730</v>
      </c>
      <c r="BK10" s="273">
        <f>('Cost-Effectiveness'!$B$3*BF10)+('Cost-Effectiveness'!$C$3*BG10)+('Cost-Effectiveness'!$D$3*BH10)+('Cost-Effectiveness'!$E$3*BI10)</f>
        <v>29565.3970114269</v>
      </c>
    </row>
    <row r="11" spans="1:63" ht="12.75">
      <c r="A11" s="271" t="str">
        <f>'SF Measure Cost'!B10</f>
        <v>WALL R21 STD+R5</v>
      </c>
      <c r="B11" s="272">
        <f>'SF Measure Cost'!C10</f>
        <v>0.043</v>
      </c>
      <c r="C11" s="274">
        <f>VLOOKUP($A11,'SF Measure Cost'!$B$4:$I$40,7,0)</f>
        <v>0.6217758250740777</v>
      </c>
      <c r="D11" s="282">
        <v>1231</v>
      </c>
      <c r="E11" s="282">
        <v>2122</v>
      </c>
      <c r="F11" s="282">
        <v>1817</v>
      </c>
      <c r="G11" s="273">
        <f t="shared" si="0"/>
        <v>52.93299999999999</v>
      </c>
      <c r="H11" s="273">
        <f t="shared" si="1"/>
        <v>91.246</v>
      </c>
      <c r="I11" s="273">
        <f t="shared" si="2"/>
        <v>78.131</v>
      </c>
      <c r="J11" s="273">
        <f aca="true" t="shared" si="6" ref="J11:L13">G10-G11</f>
        <v>9.848000000000006</v>
      </c>
      <c r="K11" s="273">
        <f t="shared" si="6"/>
        <v>16.976</v>
      </c>
      <c r="L11" s="273">
        <f t="shared" si="6"/>
        <v>14.535999999999987</v>
      </c>
      <c r="M11" s="275">
        <f t="shared" si="3"/>
        <v>765.4060406661896</v>
      </c>
      <c r="N11" s="275">
        <f t="shared" si="4"/>
        <v>1319.408300807193</v>
      </c>
      <c r="O11" s="275">
        <f t="shared" si="5"/>
        <v>1129.7666741595992</v>
      </c>
      <c r="P11"/>
      <c r="Q11" s="269" t="s">
        <v>212</v>
      </c>
      <c r="R11" s="312">
        <v>0</v>
      </c>
      <c r="S11" s="312">
        <v>0</v>
      </c>
      <c r="T11" s="159">
        <v>0</v>
      </c>
      <c r="V11" s="118"/>
      <c r="W11" s="269" t="s">
        <v>212</v>
      </c>
      <c r="X11" s="312">
        <v>0</v>
      </c>
      <c r="Y11" s="312">
        <v>0</v>
      </c>
      <c r="Z11" s="159">
        <v>0</v>
      </c>
      <c r="AA11" s="118"/>
      <c r="AC11" s="269" t="s">
        <v>212</v>
      </c>
      <c r="AD11" s="312">
        <v>0</v>
      </c>
      <c r="AE11" s="312">
        <v>0</v>
      </c>
      <c r="AF11" s="159">
        <v>0</v>
      </c>
      <c r="AH11" s="5"/>
      <c r="AI11" s="5"/>
      <c r="AJ11" s="5"/>
      <c r="AO11" s="5"/>
      <c r="AP11" s="150">
        <v>16608.233225900967</v>
      </c>
      <c r="AQ11" s="150">
        <v>19050.922941693527</v>
      </c>
      <c r="AR11" s="150">
        <v>25967.12569586874</v>
      </c>
      <c r="AS11" s="150">
        <v>30372.165250512746</v>
      </c>
      <c r="AT11" s="273">
        <v>720</v>
      </c>
      <c r="AU11" s="273">
        <f>('Cost-Effectiveness'!$B$3*AP11)+('Cost-Effectiveness'!$C$3*AQ11)+('Cost-Effectiveness'!$D$3*AR11)+('Cost-Effectiveness'!$E$3*AS11)</f>
        <v>30372.165250512746</v>
      </c>
      <c r="AV11" s="270"/>
      <c r="AW11" s="141"/>
      <c r="AX11" s="150">
        <v>14000.820392616468</v>
      </c>
      <c r="AY11" s="150">
        <v>16010.811602695578</v>
      </c>
      <c r="AZ11" s="150">
        <v>22539.085848227365</v>
      </c>
      <c r="BA11" s="150">
        <v>26522.326399062407</v>
      </c>
      <c r="BB11" s="273">
        <v>720</v>
      </c>
      <c r="BC11" s="273">
        <f>('Cost-Effectiveness'!$B$3*AX11)+('Cost-Effectiveness'!$C$3*AY11)+('Cost-Effectiveness'!$D$3*AZ11)+('Cost-Effectiveness'!$E$3*BA11)</f>
        <v>26522.326399062407</v>
      </c>
      <c r="BD11" s="141"/>
      <c r="BE11" s="141"/>
      <c r="BF11" s="150">
        <v>15619.806621740405</v>
      </c>
      <c r="BG11" s="150">
        <v>17896.19103428069</v>
      </c>
      <c r="BH11" s="150">
        <v>24845.678288895404</v>
      </c>
      <c r="BI11" s="150">
        <v>29035.130383826545</v>
      </c>
      <c r="BJ11" s="273">
        <v>720</v>
      </c>
      <c r="BK11" s="273">
        <f>('Cost-Effectiveness'!$B$3*BF11)+('Cost-Effectiveness'!$C$3*BG11)+('Cost-Effectiveness'!$D$3*BH11)+('Cost-Effectiveness'!$E$3*BI11)</f>
        <v>29035.130383826545</v>
      </c>
    </row>
    <row r="12" spans="1:63" ht="12.75">
      <c r="A12" s="271" t="str">
        <f>'SF Measure Cost'!B11</f>
        <v>WALL 8" SSPANEL</v>
      </c>
      <c r="B12" s="272">
        <f>'SF Measure Cost'!C11</f>
        <v>0.034</v>
      </c>
      <c r="C12" s="274">
        <f>VLOOKUP($A12,'SF Measure Cost'!$B$4:$I$40,7,0)</f>
        <v>0.8508511290487379</v>
      </c>
      <c r="D12" s="282">
        <v>1231</v>
      </c>
      <c r="E12" s="282">
        <v>2122</v>
      </c>
      <c r="F12" s="282">
        <v>1817</v>
      </c>
      <c r="G12" s="273">
        <f t="shared" si="0"/>
        <v>41.854000000000006</v>
      </c>
      <c r="H12" s="273">
        <f t="shared" si="1"/>
        <v>72.14800000000001</v>
      </c>
      <c r="I12" s="273">
        <f t="shared" si="2"/>
        <v>61.778000000000006</v>
      </c>
      <c r="J12" s="273">
        <f t="shared" si="6"/>
        <v>11.078999999999986</v>
      </c>
      <c r="K12" s="273">
        <f t="shared" si="6"/>
        <v>19.097999999999985</v>
      </c>
      <c r="L12" s="273">
        <f t="shared" si="6"/>
        <v>16.352999999999994</v>
      </c>
      <c r="M12" s="275">
        <f t="shared" si="3"/>
        <v>1047.3977398589964</v>
      </c>
      <c r="N12" s="275">
        <f t="shared" si="4"/>
        <v>1805.506095841422</v>
      </c>
      <c r="O12" s="275">
        <f t="shared" si="5"/>
        <v>1545.9965014815568</v>
      </c>
      <c r="P12"/>
      <c r="Q12" s="269" t="s">
        <v>368</v>
      </c>
      <c r="R12" s="312">
        <v>0</v>
      </c>
      <c r="S12" s="312">
        <v>0</v>
      </c>
      <c r="T12" s="159">
        <v>0</v>
      </c>
      <c r="V12" s="118"/>
      <c r="W12" s="269" t="s">
        <v>368</v>
      </c>
      <c r="X12" s="312">
        <v>0</v>
      </c>
      <c r="Y12" s="312">
        <v>0</v>
      </c>
      <c r="Z12" s="159">
        <v>0</v>
      </c>
      <c r="AA12" s="118"/>
      <c r="AC12" s="269" t="s">
        <v>368</v>
      </c>
      <c r="AD12" s="312">
        <v>0</v>
      </c>
      <c r="AE12" s="312">
        <v>0</v>
      </c>
      <c r="AF12" s="159">
        <v>0</v>
      </c>
      <c r="AH12" s="5"/>
      <c r="AI12" s="5"/>
      <c r="AJ12" s="5"/>
      <c r="AO12" s="5"/>
      <c r="AP12" s="150">
        <v>16290.184588338707</v>
      </c>
      <c r="AQ12" s="150">
        <v>18684.353940814533</v>
      </c>
      <c r="AR12" s="150">
        <v>25503.57456782889</v>
      </c>
      <c r="AS12" s="150">
        <v>29837.29856431292</v>
      </c>
      <c r="AT12" s="273">
        <v>710</v>
      </c>
      <c r="AU12" s="273">
        <f>('Cost-Effectiveness'!$B$3*AP12)+('Cost-Effectiveness'!$C$3*AQ12)+('Cost-Effectiveness'!$D$3*AR12)+('Cost-Effectiveness'!$E$3*AS12)</f>
        <v>29837.29856431292</v>
      </c>
      <c r="AV12" s="270"/>
      <c r="AW12" s="141"/>
      <c r="AX12" s="150">
        <v>13699.355405801349</v>
      </c>
      <c r="AY12" s="150">
        <v>15667.184295341342</v>
      </c>
      <c r="AZ12" s="150">
        <v>22096.571930852624</v>
      </c>
      <c r="BA12" s="150">
        <v>26011.924992675067</v>
      </c>
      <c r="BB12" s="273">
        <v>710</v>
      </c>
      <c r="BC12" s="273">
        <f>('Cost-Effectiveness'!$B$3*AX12)+('Cost-Effectiveness'!$C$3*AY12)+('Cost-Effectiveness'!$D$3*AZ12)+('Cost-Effectiveness'!$E$3*BA12)</f>
        <v>26011.924992675067</v>
      </c>
      <c r="BD12" s="141"/>
      <c r="BE12" s="141"/>
      <c r="BF12" s="150">
        <v>15308.731321418107</v>
      </c>
      <c r="BG12" s="150">
        <v>17535.745678288895</v>
      </c>
      <c r="BH12" s="150">
        <v>24386.05332552007</v>
      </c>
      <c r="BI12" s="150">
        <v>28505.332552007032</v>
      </c>
      <c r="BJ12" s="273">
        <v>710</v>
      </c>
      <c r="BK12" s="273">
        <f>('Cost-Effectiveness'!$B$3*BF12)+('Cost-Effectiveness'!$C$3*BG12)+('Cost-Effectiveness'!$D$3*BH12)+('Cost-Effectiveness'!$E$3*BI12)</f>
        <v>28505.332552007032</v>
      </c>
    </row>
    <row r="13" spans="1:63" ht="12.75">
      <c r="A13" s="271" t="str">
        <f>'SF Measure Cost'!B12</f>
        <v>WALL R33 DBL</v>
      </c>
      <c r="B13" s="272">
        <f>'SF Measure Cost'!C12</f>
        <v>0.033</v>
      </c>
      <c r="C13" s="274">
        <f>VLOOKUP($A13,'SF Measure Cost'!$B$4:$I$40,7,0)</f>
        <v>0.43633391233268665</v>
      </c>
      <c r="D13" s="282">
        <v>1231</v>
      </c>
      <c r="E13" s="282">
        <v>2122</v>
      </c>
      <c r="F13" s="282">
        <v>1817</v>
      </c>
      <c r="G13" s="273">
        <f t="shared" si="0"/>
        <v>40.623000000000005</v>
      </c>
      <c r="H13" s="273">
        <f t="shared" si="1"/>
        <v>70.026</v>
      </c>
      <c r="I13" s="273">
        <f t="shared" si="2"/>
        <v>59.961000000000006</v>
      </c>
      <c r="J13" s="273">
        <f t="shared" si="6"/>
        <v>1.2310000000000016</v>
      </c>
      <c r="K13" s="273">
        <f t="shared" si="6"/>
        <v>2.122000000000014</v>
      </c>
      <c r="L13" s="273">
        <f t="shared" si="6"/>
        <v>1.8170000000000002</v>
      </c>
      <c r="M13" s="275">
        <f t="shared" si="3"/>
        <v>537.1270460815373</v>
      </c>
      <c r="N13" s="275">
        <f t="shared" si="4"/>
        <v>925.900561969961</v>
      </c>
      <c r="O13" s="275">
        <f t="shared" si="5"/>
        <v>792.8187187084916</v>
      </c>
      <c r="P13"/>
      <c r="Q13" s="269" t="s">
        <v>370</v>
      </c>
      <c r="R13" s="312">
        <v>0</v>
      </c>
      <c r="S13" s="312">
        <v>0</v>
      </c>
      <c r="T13" s="159">
        <v>0</v>
      </c>
      <c r="V13" s="118"/>
      <c r="W13" s="269" t="s">
        <v>370</v>
      </c>
      <c r="X13" s="312">
        <v>0</v>
      </c>
      <c r="Y13" s="312">
        <v>0</v>
      </c>
      <c r="Z13" s="159">
        <v>0</v>
      </c>
      <c r="AA13" s="118"/>
      <c r="AC13" s="269" t="s">
        <v>370</v>
      </c>
      <c r="AD13" s="312">
        <v>0</v>
      </c>
      <c r="AE13" s="312">
        <v>0</v>
      </c>
      <c r="AF13" s="159">
        <v>0</v>
      </c>
      <c r="AH13" s="5"/>
      <c r="AI13" s="5"/>
      <c r="AJ13" s="5"/>
      <c r="AO13" s="5"/>
      <c r="AP13" s="150">
        <v>15972.22384998535</v>
      </c>
      <c r="AQ13" s="150">
        <v>18317.93143861705</v>
      </c>
      <c r="AR13" s="150">
        <v>25040.40433636097</v>
      </c>
      <c r="AS13" s="150">
        <v>29302.754175212427</v>
      </c>
      <c r="AT13" s="273">
        <v>700</v>
      </c>
      <c r="AU13" s="273">
        <f>('Cost-Effectiveness'!$B$3*AP13)+('Cost-Effectiveness'!$C$3*AQ13)+('Cost-Effectiveness'!$D$3*AR13)+('Cost-Effectiveness'!$E$3*AS13)</f>
        <v>29302.754175212427</v>
      </c>
      <c r="AV13" s="270"/>
      <c r="AW13" s="141"/>
      <c r="AX13" s="150">
        <v>13398.38851450337</v>
      </c>
      <c r="AY13" s="150">
        <v>15324.758277175506</v>
      </c>
      <c r="AZ13" s="150">
        <v>21655.464400820394</v>
      </c>
      <c r="BA13" s="150">
        <v>25502.783474948727</v>
      </c>
      <c r="BB13" s="273">
        <v>700</v>
      </c>
      <c r="BC13" s="273">
        <f>('Cost-Effectiveness'!$B$3*AX13)+('Cost-Effectiveness'!$C$3*AY13)+('Cost-Effectiveness'!$D$3*AZ13)+('Cost-Effectiveness'!$E$3*BA13)</f>
        <v>25502.783474948727</v>
      </c>
      <c r="BD13" s="141"/>
      <c r="BE13" s="141"/>
      <c r="BF13" s="150">
        <v>14999.23820685614</v>
      </c>
      <c r="BG13" s="150">
        <v>17176.5309112218</v>
      </c>
      <c r="BH13" s="150">
        <v>23926.31116319953</v>
      </c>
      <c r="BI13" s="150">
        <v>27975.651919132728</v>
      </c>
      <c r="BJ13" s="273">
        <v>700</v>
      </c>
      <c r="BK13" s="273">
        <f>('Cost-Effectiveness'!$B$3*BF13)+('Cost-Effectiveness'!$C$3*BG13)+('Cost-Effectiveness'!$D$3*BH13)+('Cost-Effectiveness'!$E$3*BI13)</f>
        <v>27975.651919132728</v>
      </c>
    </row>
    <row r="14" spans="1:63" ht="12.75">
      <c r="A14" s="276" t="str">
        <f>'SF Measure Cost'!B13</f>
        <v>ATTIC R30 STD</v>
      </c>
      <c r="B14" s="277">
        <f>'SF Measure Cost'!C13</f>
        <v>0.036</v>
      </c>
      <c r="C14" s="279">
        <f>VLOOKUP($A14,'SF Measure Cost'!$B$4:$I$40,7,0)</f>
        <v>0</v>
      </c>
      <c r="D14" s="283">
        <v>960</v>
      </c>
      <c r="E14" s="283">
        <v>802</v>
      </c>
      <c r="F14" s="283">
        <v>1198</v>
      </c>
      <c r="G14" s="278">
        <f t="shared" si="0"/>
        <v>34.559999999999995</v>
      </c>
      <c r="H14" s="278">
        <f t="shared" si="1"/>
        <v>28.871999999999996</v>
      </c>
      <c r="I14" s="278">
        <f t="shared" si="2"/>
        <v>43.128</v>
      </c>
      <c r="J14" s="278">
        <v>0</v>
      </c>
      <c r="K14" s="278">
        <v>0</v>
      </c>
      <c r="L14" s="278">
        <v>0</v>
      </c>
      <c r="M14" s="280">
        <f t="shared" si="3"/>
        <v>0</v>
      </c>
      <c r="N14" s="280">
        <f t="shared" si="4"/>
        <v>0</v>
      </c>
      <c r="O14" s="280">
        <f t="shared" si="5"/>
        <v>0</v>
      </c>
      <c r="P14"/>
      <c r="Q14" s="269" t="s">
        <v>331</v>
      </c>
      <c r="R14" s="312">
        <v>0</v>
      </c>
      <c r="S14" s="312">
        <v>0</v>
      </c>
      <c r="T14" s="159">
        <v>0</v>
      </c>
      <c r="V14" s="118"/>
      <c r="W14" s="269" t="s">
        <v>331</v>
      </c>
      <c r="X14" s="312">
        <v>0</v>
      </c>
      <c r="Y14" s="312">
        <v>0</v>
      </c>
      <c r="Z14" s="159">
        <v>0</v>
      </c>
      <c r="AA14" s="118"/>
      <c r="AC14" s="269" t="s">
        <v>331</v>
      </c>
      <c r="AD14" s="312">
        <v>0</v>
      </c>
      <c r="AE14" s="312">
        <v>0</v>
      </c>
      <c r="AF14" s="159">
        <v>0</v>
      </c>
      <c r="AH14" s="5"/>
      <c r="AI14" s="5"/>
      <c r="AJ14" s="5"/>
      <c r="AO14" s="5"/>
      <c r="AP14" s="150">
        <v>15654.819806621741</v>
      </c>
      <c r="AQ14" s="150">
        <v>17951.8312335189</v>
      </c>
      <c r="AR14" s="150">
        <v>24577.585701728687</v>
      </c>
      <c r="AS14" s="150">
        <v>28768.356284793437</v>
      </c>
      <c r="AT14" s="273">
        <v>690</v>
      </c>
      <c r="AU14" s="273">
        <f>('Cost-Effectiveness'!$B$3*AP14)+('Cost-Effectiveness'!$C$3*AQ14)+('Cost-Effectiveness'!$D$3*AR14)+('Cost-Effectiveness'!$E$3*AS14)</f>
        <v>28768.356284793437</v>
      </c>
      <c r="AV14" s="270"/>
      <c r="AW14" s="141"/>
      <c r="AX14" s="150">
        <v>13098.798710811603</v>
      </c>
      <c r="AY14" s="150">
        <v>14984.236741869323</v>
      </c>
      <c r="AZ14" s="150">
        <v>21215.235862877238</v>
      </c>
      <c r="BA14" s="150">
        <v>24994.638148256665</v>
      </c>
      <c r="BB14" s="273">
        <v>690</v>
      </c>
      <c r="BC14" s="273">
        <f>('Cost-Effectiveness'!$B$3*AX14)+('Cost-Effectiveness'!$C$3*AY14)+('Cost-Effectiveness'!$D$3*AZ14)+('Cost-Effectiveness'!$E$3*BA14)</f>
        <v>24994.638148256665</v>
      </c>
      <c r="BD14" s="141"/>
      <c r="BE14" s="141"/>
      <c r="BF14" s="150">
        <v>14690.1259888661</v>
      </c>
      <c r="BG14" s="150">
        <v>16818.370934661587</v>
      </c>
      <c r="BH14" s="150">
        <v>23467.184295341343</v>
      </c>
      <c r="BI14" s="150">
        <v>27446.645180193376</v>
      </c>
      <c r="BJ14" s="273">
        <v>690</v>
      </c>
      <c r="BK14" s="273">
        <f>('Cost-Effectiveness'!$B$3*BF14)+('Cost-Effectiveness'!$C$3*BG14)+('Cost-Effectiveness'!$D$3*BH14)+('Cost-Effectiveness'!$E$3*BI14)</f>
        <v>27446.645180193376</v>
      </c>
    </row>
    <row r="15" spans="1:63" ht="12.75">
      <c r="A15" s="422" t="str">
        <f>'SF Measure Cost'!B14</f>
        <v>ATTIC R38 STD</v>
      </c>
      <c r="B15" s="423">
        <f>'SF Measure Cost'!C14</f>
        <v>0.031</v>
      </c>
      <c r="C15" s="424">
        <v>0</v>
      </c>
      <c r="D15" s="428">
        <v>960</v>
      </c>
      <c r="E15" s="428">
        <v>802</v>
      </c>
      <c r="F15" s="428">
        <v>1198</v>
      </c>
      <c r="G15" s="426">
        <f t="shared" si="0"/>
        <v>29.759999999999998</v>
      </c>
      <c r="H15" s="426">
        <f t="shared" si="1"/>
        <v>24.862</v>
      </c>
      <c r="I15" s="426">
        <f t="shared" si="2"/>
        <v>37.138</v>
      </c>
      <c r="J15" s="426">
        <v>0</v>
      </c>
      <c r="K15" s="426">
        <v>0</v>
      </c>
      <c r="L15" s="426">
        <v>0</v>
      </c>
      <c r="M15" s="427">
        <f t="shared" si="3"/>
        <v>0</v>
      </c>
      <c r="N15" s="427">
        <f t="shared" si="4"/>
        <v>0</v>
      </c>
      <c r="O15" s="427">
        <f t="shared" si="5"/>
        <v>0</v>
      </c>
      <c r="P15"/>
      <c r="Q15" s="269" t="s">
        <v>369</v>
      </c>
      <c r="R15" s="312">
        <v>0</v>
      </c>
      <c r="S15" s="312">
        <v>0</v>
      </c>
      <c r="T15" s="159">
        <v>0</v>
      </c>
      <c r="V15" s="118"/>
      <c r="W15" s="269" t="s">
        <v>369</v>
      </c>
      <c r="X15" s="312">
        <v>0</v>
      </c>
      <c r="Y15" s="312">
        <v>0</v>
      </c>
      <c r="Z15" s="159">
        <v>0</v>
      </c>
      <c r="AA15" s="118"/>
      <c r="AC15" s="269" t="s">
        <v>332</v>
      </c>
      <c r="AD15" s="312">
        <v>0</v>
      </c>
      <c r="AE15" s="312">
        <v>0</v>
      </c>
      <c r="AF15" s="159">
        <v>0</v>
      </c>
      <c r="AH15" s="5"/>
      <c r="AI15" s="5"/>
      <c r="AJ15" s="5"/>
      <c r="AO15" s="5"/>
      <c r="AP15" s="150">
        <v>15337.679460884852</v>
      </c>
      <c r="AQ15" s="150">
        <v>17586.3756226194</v>
      </c>
      <c r="AR15" s="150">
        <v>24115.675358921773</v>
      </c>
      <c r="AS15" s="150">
        <v>28233.95839437445</v>
      </c>
      <c r="AT15" s="273">
        <v>680</v>
      </c>
      <c r="AU15" s="273">
        <f>('Cost-Effectiveness'!$B$3*AP15)+('Cost-Effectiveness'!$C$3*AQ15)+('Cost-Effectiveness'!$D$3*AR15)+('Cost-Effectiveness'!$E$3*AS15)</f>
        <v>28233.95839437445</v>
      </c>
      <c r="AV15" s="270"/>
      <c r="AW15" s="141"/>
      <c r="AX15" s="150">
        <v>12800.644594198653</v>
      </c>
      <c r="AY15" s="150">
        <v>14644.916495751539</v>
      </c>
      <c r="AZ15" s="150">
        <v>20776.06211544096</v>
      </c>
      <c r="BA15" s="150">
        <v>24486.815118663933</v>
      </c>
      <c r="BB15" s="273">
        <v>680</v>
      </c>
      <c r="BC15" s="273">
        <f>('Cost-Effectiveness'!$B$3*AX15)+('Cost-Effectiveness'!$C$3*AY15)+('Cost-Effectiveness'!$D$3*AZ15)+('Cost-Effectiveness'!$E$3*BA15)</f>
        <v>24486.815118663933</v>
      </c>
      <c r="BD15" s="141"/>
      <c r="BE15" s="141"/>
      <c r="BF15" s="150">
        <v>14381.423967184297</v>
      </c>
      <c r="BG15" s="150">
        <v>16461.002050981544</v>
      </c>
      <c r="BH15" s="150">
        <v>23008.643422209203</v>
      </c>
      <c r="BI15" s="150">
        <v>26917.66774099033</v>
      </c>
      <c r="BJ15" s="273">
        <v>680</v>
      </c>
      <c r="BK15" s="273">
        <f>('Cost-Effectiveness'!$B$3*BF15)+('Cost-Effectiveness'!$C$3*BG15)+('Cost-Effectiveness'!$D$3*BH15)+('Cost-Effectiveness'!$E$3*BI15)</f>
        <v>26917.66774099033</v>
      </c>
    </row>
    <row r="16" spans="1:63" ht="12.75">
      <c r="A16" s="276" t="str">
        <f>'SF Measure Cost'!B15</f>
        <v>ATTIC R49 ADVrh</v>
      </c>
      <c r="B16" s="277">
        <f>'SF Measure Cost'!C15</f>
        <v>0.02</v>
      </c>
      <c r="C16" s="279">
        <f>VLOOKUP($A16,'SF Measure Cost'!$B$4:$I$40,7,0)</f>
        <v>0.5126923469909065</v>
      </c>
      <c r="D16" s="283">
        <v>960</v>
      </c>
      <c r="E16" s="283">
        <v>802</v>
      </c>
      <c r="F16" s="283">
        <v>1198</v>
      </c>
      <c r="G16" s="278">
        <f t="shared" si="0"/>
        <v>19.2</v>
      </c>
      <c r="H16" s="278">
        <f t="shared" si="1"/>
        <v>16.04</v>
      </c>
      <c r="I16" s="278">
        <f t="shared" si="2"/>
        <v>23.96</v>
      </c>
      <c r="J16" s="278">
        <f aca="true" t="shared" si="7" ref="J16:L17">G15-G16</f>
        <v>10.559999999999999</v>
      </c>
      <c r="K16" s="278">
        <f t="shared" si="7"/>
        <v>8.822</v>
      </c>
      <c r="L16" s="278">
        <f t="shared" si="7"/>
        <v>13.177999999999997</v>
      </c>
      <c r="M16" s="280">
        <f t="shared" si="3"/>
        <v>492.1846531112702</v>
      </c>
      <c r="N16" s="280">
        <f t="shared" si="4"/>
        <v>411.179262286707</v>
      </c>
      <c r="O16" s="280">
        <f t="shared" si="5"/>
        <v>614.205431695106</v>
      </c>
      <c r="P16"/>
      <c r="Q16" s="269" t="s">
        <v>213</v>
      </c>
      <c r="R16" s="312">
        <v>0</v>
      </c>
      <c r="S16" s="312">
        <v>0</v>
      </c>
      <c r="T16" s="159">
        <v>0</v>
      </c>
      <c r="V16" s="118"/>
      <c r="W16" s="269" t="s">
        <v>213</v>
      </c>
      <c r="X16" s="312">
        <v>0</v>
      </c>
      <c r="Y16" s="312">
        <v>0</v>
      </c>
      <c r="Z16" s="159">
        <v>0</v>
      </c>
      <c r="AA16" s="118"/>
      <c r="AC16" s="269" t="s">
        <v>185</v>
      </c>
      <c r="AD16" s="312">
        <v>0</v>
      </c>
      <c r="AE16" s="312">
        <v>0</v>
      </c>
      <c r="AF16" s="159">
        <v>0</v>
      </c>
      <c r="AH16" s="5"/>
      <c r="AI16" s="5"/>
      <c r="AJ16" s="5"/>
      <c r="AO16" s="5"/>
      <c r="AP16" s="150">
        <v>15021.769704072665</v>
      </c>
      <c r="AQ16" s="150">
        <v>17220.920011719896</v>
      </c>
      <c r="AR16" s="150">
        <v>23654.3217111046</v>
      </c>
      <c r="AS16" s="150">
        <v>27699.794901845882</v>
      </c>
      <c r="AT16" s="273">
        <v>670</v>
      </c>
      <c r="AU16" s="273">
        <f>('Cost-Effectiveness'!$B$3*AP16)+('Cost-Effectiveness'!$C$3*AQ16)+('Cost-Effectiveness'!$D$3*AR16)+('Cost-Effectiveness'!$E$3*AS16)</f>
        <v>27699.794901845882</v>
      </c>
      <c r="AV16" s="270"/>
      <c r="AW16" s="141"/>
      <c r="AX16" s="150">
        <v>12503.31087020217</v>
      </c>
      <c r="AY16" s="150">
        <v>14307.03193671257</v>
      </c>
      <c r="AZ16" s="150">
        <v>20337.796659830063</v>
      </c>
      <c r="BA16" s="150">
        <v>23978.992089071202</v>
      </c>
      <c r="BB16" s="273">
        <v>670</v>
      </c>
      <c r="BC16" s="273">
        <f>('Cost-Effectiveness'!$B$3*AX16)+('Cost-Effectiveness'!$C$3*AY16)+('Cost-Effectiveness'!$D$3*AZ16)+('Cost-Effectiveness'!$E$3*BA16)</f>
        <v>23978.992089071202</v>
      </c>
      <c r="BD16" s="141"/>
      <c r="BE16" s="141"/>
      <c r="BF16" s="150">
        <v>14073.07354233812</v>
      </c>
      <c r="BG16" s="150">
        <v>16105.332552007032</v>
      </c>
      <c r="BH16" s="150">
        <v>22550.48344564899</v>
      </c>
      <c r="BI16" s="150">
        <v>26388.63170231468</v>
      </c>
      <c r="BJ16" s="273">
        <v>670</v>
      </c>
      <c r="BK16" s="273">
        <f>('Cost-Effectiveness'!$B$3*BF16)+('Cost-Effectiveness'!$C$3*BG16)+('Cost-Effectiveness'!$D$3*BH16)+('Cost-Effectiveness'!$E$3*BI16)</f>
        <v>26388.63170231468</v>
      </c>
    </row>
    <row r="17" spans="1:63" ht="12.75">
      <c r="A17" s="276" t="str">
        <f>'SF Measure Cost'!B16</f>
        <v>ATTIC R60 ADVrh</v>
      </c>
      <c r="B17" s="277">
        <f>'SF Measure Cost'!C16</f>
        <v>0.017</v>
      </c>
      <c r="C17" s="279">
        <f>VLOOKUP($A17,'SF Measure Cost'!$B$4:$I$40,7,0)</f>
        <v>0.29452539082456325</v>
      </c>
      <c r="D17" s="283">
        <v>960</v>
      </c>
      <c r="E17" s="283">
        <v>802</v>
      </c>
      <c r="F17" s="283">
        <v>1198</v>
      </c>
      <c r="G17" s="278">
        <f t="shared" si="0"/>
        <v>16.32</v>
      </c>
      <c r="H17" s="278">
        <f t="shared" si="1"/>
        <v>13.634</v>
      </c>
      <c r="I17" s="278">
        <f t="shared" si="2"/>
        <v>20.366000000000003</v>
      </c>
      <c r="J17" s="278">
        <f t="shared" si="7"/>
        <v>2.879999999999999</v>
      </c>
      <c r="K17" s="278">
        <f t="shared" si="7"/>
        <v>2.405999999999999</v>
      </c>
      <c r="L17" s="278">
        <f t="shared" si="7"/>
        <v>3.5939999999999976</v>
      </c>
      <c r="M17" s="280">
        <f t="shared" si="3"/>
        <v>282.74437519158073</v>
      </c>
      <c r="N17" s="280">
        <f t="shared" si="4"/>
        <v>236.20936344129973</v>
      </c>
      <c r="O17" s="280">
        <f t="shared" si="5"/>
        <v>352.8414182078268</v>
      </c>
      <c r="P17"/>
      <c r="Q17" s="269" t="s">
        <v>183</v>
      </c>
      <c r="R17" s="312">
        <v>0</v>
      </c>
      <c r="S17" s="312">
        <v>0</v>
      </c>
      <c r="T17" s="159">
        <v>0</v>
      </c>
      <c r="V17" s="118"/>
      <c r="W17" s="269" t="s">
        <v>183</v>
      </c>
      <c r="X17" s="312">
        <v>0</v>
      </c>
      <c r="Y17" s="312">
        <v>0</v>
      </c>
      <c r="Z17" s="159">
        <v>0</v>
      </c>
      <c r="AA17" s="118"/>
      <c r="AC17" s="269" t="s">
        <v>369</v>
      </c>
      <c r="AD17" s="312">
        <v>0</v>
      </c>
      <c r="AE17" s="312">
        <v>0</v>
      </c>
      <c r="AF17" s="159">
        <v>0</v>
      </c>
      <c r="AH17" s="5"/>
      <c r="AI17" s="5"/>
      <c r="AJ17" s="5"/>
      <c r="AO17" s="5"/>
      <c r="AP17" s="150">
        <v>14706.651040140641</v>
      </c>
      <c r="AQ17" s="150">
        <v>16856.138294755347</v>
      </c>
      <c r="AR17" s="150">
        <v>23193.495458540874</v>
      </c>
      <c r="AS17" s="150">
        <v>27166.04160562555</v>
      </c>
      <c r="AT17" s="273">
        <v>660</v>
      </c>
      <c r="AU17" s="273">
        <f>('Cost-Effectiveness'!$B$3*AP17)+('Cost-Effectiveness'!$C$3*AQ17)+('Cost-Effectiveness'!$D$3*AR17)+('Cost-Effectiveness'!$E$3*AS17)</f>
        <v>27166.04160562555</v>
      </c>
      <c r="AV17" s="270"/>
      <c r="AW17" s="141"/>
      <c r="AX17" s="150">
        <v>12207.002636976267</v>
      </c>
      <c r="AY17" s="150">
        <v>13970.436566070906</v>
      </c>
      <c r="AZ17" s="150">
        <v>19900.175798417815</v>
      </c>
      <c r="BA17" s="150">
        <v>23471.696454731908</v>
      </c>
      <c r="BB17" s="273">
        <v>660</v>
      </c>
      <c r="BC17" s="273">
        <f>('Cost-Effectiveness'!$B$3*AX17)+('Cost-Effectiveness'!$C$3*AY17)+('Cost-Effectiveness'!$D$3*AZ17)+('Cost-Effectiveness'!$E$3*BA17)</f>
        <v>23471.696454731908</v>
      </c>
      <c r="BD17" s="141"/>
      <c r="BE17" s="141"/>
      <c r="BF17" s="150">
        <v>13764.693817755642</v>
      </c>
      <c r="BG17" s="150">
        <v>15750.161148549665</v>
      </c>
      <c r="BH17" s="150">
        <v>22094.081453266925</v>
      </c>
      <c r="BI17" s="150">
        <v>25860.62115440961</v>
      </c>
      <c r="BJ17" s="273">
        <v>660</v>
      </c>
      <c r="BK17" s="273">
        <f>('Cost-Effectiveness'!$B$3*BF17)+('Cost-Effectiveness'!$C$3*BG17)+('Cost-Effectiveness'!$D$3*BH17)+('Cost-Effectiveness'!$E$3*BI17)</f>
        <v>25860.62115440961</v>
      </c>
    </row>
    <row r="18" spans="1:63" ht="12.75">
      <c r="A18" s="271" t="s">
        <v>368</v>
      </c>
      <c r="B18" s="272">
        <v>0.05</v>
      </c>
      <c r="C18" s="274">
        <v>0</v>
      </c>
      <c r="D18" s="284">
        <v>405</v>
      </c>
      <c r="E18" s="284">
        <v>684</v>
      </c>
      <c r="F18" s="284">
        <v>0</v>
      </c>
      <c r="G18" s="273">
        <f t="shared" si="0"/>
        <v>20.25</v>
      </c>
      <c r="H18" s="273">
        <f t="shared" si="1"/>
        <v>34.2</v>
      </c>
      <c r="I18" s="273">
        <f t="shared" si="2"/>
        <v>0</v>
      </c>
      <c r="J18" s="273">
        <v>0</v>
      </c>
      <c r="K18" s="273">
        <v>0</v>
      </c>
      <c r="L18" s="273">
        <v>0</v>
      </c>
      <c r="M18" s="275">
        <f aca="true" t="shared" si="8" ref="M18:O19">$C18*D18</f>
        <v>0</v>
      </c>
      <c r="N18" s="275">
        <f t="shared" si="8"/>
        <v>0</v>
      </c>
      <c r="O18" s="275">
        <f t="shared" si="8"/>
        <v>0</v>
      </c>
      <c r="P18"/>
      <c r="Q18" s="269" t="s">
        <v>214</v>
      </c>
      <c r="R18" s="312">
        <v>0</v>
      </c>
      <c r="S18" s="312">
        <v>0</v>
      </c>
      <c r="T18" s="159">
        <v>0</v>
      </c>
      <c r="V18" s="118"/>
      <c r="W18" s="269" t="s">
        <v>214</v>
      </c>
      <c r="X18" s="312">
        <v>0</v>
      </c>
      <c r="Y18" s="312">
        <v>0</v>
      </c>
      <c r="Z18" s="159">
        <v>0</v>
      </c>
      <c r="AA18" s="118"/>
      <c r="AC18" s="269" t="s">
        <v>213</v>
      </c>
      <c r="AD18" s="312">
        <v>0</v>
      </c>
      <c r="AE18" s="312">
        <v>0</v>
      </c>
      <c r="AF18" s="159">
        <v>0</v>
      </c>
      <c r="AH18" s="5"/>
      <c r="AI18" s="5"/>
      <c r="AJ18" s="5"/>
      <c r="AO18" s="5"/>
      <c r="AP18" s="150">
        <v>14392.411368297688</v>
      </c>
      <c r="AQ18" s="150">
        <v>16491.82537357164</v>
      </c>
      <c r="AR18" s="150">
        <v>22733.870495165545</v>
      </c>
      <c r="AS18" s="150">
        <v>26632.464107823034</v>
      </c>
      <c r="AT18" s="273">
        <v>650</v>
      </c>
      <c r="AU18" s="273">
        <f>('Cost-Effectiveness'!$B$3*AP18)+('Cost-Effectiveness'!$C$3*AQ18)+('Cost-Effectiveness'!$D$3*AR18)+('Cost-Effectiveness'!$E$3*AS18)</f>
        <v>26632.464107823034</v>
      </c>
      <c r="AV18" s="270"/>
      <c r="AW18" s="141"/>
      <c r="AX18" s="150">
        <v>11912.012891883973</v>
      </c>
      <c r="AY18" s="150">
        <v>13634.602988573104</v>
      </c>
      <c r="AZ18" s="150">
        <v>19462.906533841197</v>
      </c>
      <c r="BA18" s="150">
        <v>22965.631409317317</v>
      </c>
      <c r="BB18" s="273">
        <v>650</v>
      </c>
      <c r="BC18" s="273">
        <f>('Cost-Effectiveness'!$B$3*AX18)+('Cost-Effectiveness'!$C$3*AY18)+('Cost-Effectiveness'!$D$3*AZ18)+('Cost-Effectiveness'!$E$3*BA18)</f>
        <v>22965.631409317317</v>
      </c>
      <c r="BD18" s="141"/>
      <c r="BE18" s="141"/>
      <c r="BF18" s="150">
        <v>13456.343392909464</v>
      </c>
      <c r="BG18" s="150">
        <v>15396.806328743043</v>
      </c>
      <c r="BH18" s="150">
        <v>21638.910049809554</v>
      </c>
      <c r="BI18" s="150">
        <v>25333.489598593613</v>
      </c>
      <c r="BJ18" s="273">
        <v>650</v>
      </c>
      <c r="BK18" s="273">
        <f>('Cost-Effectiveness'!$B$3*BF18)+('Cost-Effectiveness'!$C$3*BG18)+('Cost-Effectiveness'!$D$3*BH18)+('Cost-Effectiveness'!$E$3*BI18)</f>
        <v>25333.489598593613</v>
      </c>
    </row>
    <row r="19" spans="1:63" ht="12.75">
      <c r="A19" s="271" t="s">
        <v>370</v>
      </c>
      <c r="B19" s="272">
        <v>0.043</v>
      </c>
      <c r="C19" s="274">
        <v>0</v>
      </c>
      <c r="D19" s="284">
        <v>405</v>
      </c>
      <c r="E19" s="284">
        <v>684</v>
      </c>
      <c r="F19" s="284">
        <v>0</v>
      </c>
      <c r="G19" s="273">
        <f t="shared" si="0"/>
        <v>17.415</v>
      </c>
      <c r="H19" s="273">
        <f t="shared" si="1"/>
        <v>29.412</v>
      </c>
      <c r="I19" s="273">
        <f t="shared" si="2"/>
        <v>0</v>
      </c>
      <c r="J19" s="273">
        <v>0</v>
      </c>
      <c r="K19" s="273">
        <v>0</v>
      </c>
      <c r="L19" s="273">
        <v>0</v>
      </c>
      <c r="M19" s="275">
        <f t="shared" si="8"/>
        <v>0</v>
      </c>
      <c r="N19" s="275">
        <f t="shared" si="8"/>
        <v>0</v>
      </c>
      <c r="O19" s="275">
        <f t="shared" si="8"/>
        <v>0</v>
      </c>
      <c r="P19"/>
      <c r="Q19" s="269" t="s">
        <v>180</v>
      </c>
      <c r="R19" s="312">
        <v>0</v>
      </c>
      <c r="S19" s="312">
        <v>0</v>
      </c>
      <c r="T19" s="159">
        <v>0</v>
      </c>
      <c r="V19" s="118"/>
      <c r="W19" s="269" t="s">
        <v>180</v>
      </c>
      <c r="X19" s="312">
        <v>0</v>
      </c>
      <c r="Y19" s="312">
        <v>0</v>
      </c>
      <c r="Z19" s="159">
        <v>0</v>
      </c>
      <c r="AA19" s="118"/>
      <c r="AC19" s="269" t="s">
        <v>183</v>
      </c>
      <c r="AD19" s="312">
        <v>0</v>
      </c>
      <c r="AE19" s="312">
        <v>3.831999999999997</v>
      </c>
      <c r="AF19" s="159">
        <v>0</v>
      </c>
      <c r="AH19" s="5"/>
      <c r="AI19" s="5"/>
      <c r="AJ19" s="5"/>
      <c r="AO19" s="5"/>
      <c r="AP19" s="150">
        <v>14078.28889539994</v>
      </c>
      <c r="AQ19" s="150">
        <v>16127.834749487256</v>
      </c>
      <c r="AR19" s="150">
        <v>22275.09522414298</v>
      </c>
      <c r="AS19" s="150">
        <v>26099.150307647233</v>
      </c>
      <c r="AT19" s="273">
        <v>640</v>
      </c>
      <c r="AU19" s="273">
        <f>('Cost-Effectiveness'!$B$3*AP19)+('Cost-Effectiveness'!$C$3*AQ19)+('Cost-Effectiveness'!$D$3*AR19)+('Cost-Effectiveness'!$E$3*AS19)</f>
        <v>26099.150307647233</v>
      </c>
      <c r="AV19" s="270"/>
      <c r="AW19" s="141"/>
      <c r="AX19" s="150">
        <v>11618.048637562262</v>
      </c>
      <c r="AY19" s="150">
        <v>13299.73630237328</v>
      </c>
      <c r="AZ19" s="150">
        <v>19026.076765309113</v>
      </c>
      <c r="BA19" s="150">
        <v>22461.148549663052</v>
      </c>
      <c r="BB19" s="273">
        <v>640</v>
      </c>
      <c r="BC19" s="273">
        <f>('Cost-Effectiveness'!$B$3*AX19)+('Cost-Effectiveness'!$C$3*AY19)+('Cost-Effectiveness'!$D$3*AZ19)+('Cost-Effectiveness'!$E$3*BA19)</f>
        <v>22461.148549663052</v>
      </c>
      <c r="BD19" s="141"/>
      <c r="BE19" s="141"/>
      <c r="BF19" s="150">
        <v>13147.992968063289</v>
      </c>
      <c r="BG19" s="150">
        <v>15045.355991796076</v>
      </c>
      <c r="BH19" s="150">
        <v>21185.057134485793</v>
      </c>
      <c r="BI19" s="150">
        <v>24806.62174040434</v>
      </c>
      <c r="BJ19" s="273">
        <v>640</v>
      </c>
      <c r="BK19" s="273">
        <f>('Cost-Effectiveness'!$B$3*BF19)+('Cost-Effectiveness'!$C$3*BG19)+('Cost-Effectiveness'!$D$3*BH19)+('Cost-Effectiveness'!$E$3*BI19)</f>
        <v>24806.62174040434</v>
      </c>
    </row>
    <row r="20" spans="1:63" ht="12.75">
      <c r="A20" s="422" t="str">
        <f>'SF Measure Cost'!B17</f>
        <v>VAULT R30 HD</v>
      </c>
      <c r="B20" s="423">
        <f>'SF Measure Cost'!C17</f>
        <v>0.034</v>
      </c>
      <c r="C20" s="424">
        <f>VLOOKUP($A20,'SF Measure Cost'!$B$4:$I$40,7,0)</f>
        <v>0</v>
      </c>
      <c r="D20" s="428">
        <v>405</v>
      </c>
      <c r="E20" s="428">
        <v>684</v>
      </c>
      <c r="F20" s="428">
        <v>0</v>
      </c>
      <c r="G20" s="426">
        <f t="shared" si="0"/>
        <v>13.770000000000001</v>
      </c>
      <c r="H20" s="426">
        <f t="shared" si="1"/>
        <v>23.256</v>
      </c>
      <c r="I20" s="426">
        <f t="shared" si="2"/>
        <v>0</v>
      </c>
      <c r="J20" s="426">
        <v>0</v>
      </c>
      <c r="K20" s="426">
        <v>0</v>
      </c>
      <c r="L20" s="426">
        <v>0</v>
      </c>
      <c r="M20" s="427">
        <f t="shared" si="3"/>
        <v>0</v>
      </c>
      <c r="N20" s="427">
        <f t="shared" si="4"/>
        <v>0</v>
      </c>
      <c r="O20" s="427">
        <f t="shared" si="5"/>
        <v>0</v>
      </c>
      <c r="P20"/>
      <c r="Q20" s="269" t="s">
        <v>181</v>
      </c>
      <c r="R20" s="312">
        <v>0</v>
      </c>
      <c r="S20" s="312">
        <v>0</v>
      </c>
      <c r="T20" s="159">
        <v>0</v>
      </c>
      <c r="V20" s="118"/>
      <c r="W20" s="269" t="s">
        <v>181</v>
      </c>
      <c r="X20" s="312">
        <v>0</v>
      </c>
      <c r="Y20" s="312">
        <v>0</v>
      </c>
      <c r="Z20" s="159">
        <v>0</v>
      </c>
      <c r="AA20" s="118"/>
      <c r="AC20" s="269" t="s">
        <v>214</v>
      </c>
      <c r="AD20" s="312">
        <v>0</v>
      </c>
      <c r="AE20" s="312">
        <v>0</v>
      </c>
      <c r="AF20" s="159">
        <v>0</v>
      </c>
      <c r="AH20" s="5"/>
      <c r="AI20" s="5"/>
      <c r="AJ20" s="5"/>
      <c r="AO20" s="5"/>
      <c r="AP20" s="150">
        <v>13764.488719601524</v>
      </c>
      <c r="AQ20" s="150">
        <v>15765.338411954293</v>
      </c>
      <c r="AR20" s="150">
        <v>21816.730149428655</v>
      </c>
      <c r="AS20" s="150">
        <v>25566.01230588925</v>
      </c>
      <c r="AT20" s="273">
        <v>630</v>
      </c>
      <c r="AU20" s="273">
        <f>('Cost-Effectiveness'!$B$3*AP20)+('Cost-Effectiveness'!$C$3*AQ20)+('Cost-Effectiveness'!$D$3*AR20)+('Cost-Effectiveness'!$E$3*AS20)</f>
        <v>25566.01230588925</v>
      </c>
      <c r="AV20" s="270"/>
      <c r="AW20" s="141"/>
      <c r="AX20" s="150">
        <v>11325.227072956344</v>
      </c>
      <c r="AY20" s="150">
        <v>12965.865807207736</v>
      </c>
      <c r="AZ20" s="150">
        <v>18589.71579255787</v>
      </c>
      <c r="BA20" s="150">
        <v>21958.130676823912</v>
      </c>
      <c r="BB20" s="273">
        <v>630</v>
      </c>
      <c r="BC20" s="273">
        <f>('Cost-Effectiveness'!$B$3*AX20)+('Cost-Effectiveness'!$C$3*AY20)+('Cost-Effectiveness'!$D$3*AZ20)+('Cost-Effectiveness'!$E$3*BA20)</f>
        <v>21958.130676823912</v>
      </c>
      <c r="BD20" s="141"/>
      <c r="BE20" s="141"/>
      <c r="BF20" s="150">
        <v>12839.99414005274</v>
      </c>
      <c r="BG20" s="150">
        <v>14694.608848520364</v>
      </c>
      <c r="BH20" s="150">
        <v>20732.698505713448</v>
      </c>
      <c r="BI20" s="150">
        <v>24279.87108116027</v>
      </c>
      <c r="BJ20" s="273">
        <v>630</v>
      </c>
      <c r="BK20" s="273">
        <f>('Cost-Effectiveness'!$B$3*BF20)+('Cost-Effectiveness'!$C$3*BG20)+('Cost-Effectiveness'!$D$3*BH20)+('Cost-Effectiveness'!$E$3*BI20)</f>
        <v>24279.87108116027</v>
      </c>
    </row>
    <row r="21" spans="1:63" ht="12.75">
      <c r="A21" s="271" t="str">
        <f>'SF Measure Cost'!B18</f>
        <v>VAULT R38 HD</v>
      </c>
      <c r="B21" s="272">
        <f>'SF Measure Cost'!C18</f>
        <v>0.027</v>
      </c>
      <c r="C21" s="274">
        <f>VLOOKUP($A21,'SF Measure Cost'!$B$4:$I$40,7,0)</f>
        <v>0.44724226014100305</v>
      </c>
      <c r="D21" s="284">
        <v>405</v>
      </c>
      <c r="E21" s="284">
        <v>684</v>
      </c>
      <c r="F21" s="284">
        <v>0</v>
      </c>
      <c r="G21" s="273">
        <f t="shared" si="0"/>
        <v>10.935</v>
      </c>
      <c r="H21" s="273">
        <f t="shared" si="1"/>
        <v>18.468</v>
      </c>
      <c r="I21" s="273">
        <f t="shared" si="2"/>
        <v>0</v>
      </c>
      <c r="J21" s="273">
        <f aca="true" t="shared" si="9" ref="J21:L22">G20-G21</f>
        <v>2.835000000000001</v>
      </c>
      <c r="K21" s="273">
        <f t="shared" si="9"/>
        <v>4.788</v>
      </c>
      <c r="L21" s="273">
        <f t="shared" si="9"/>
        <v>0</v>
      </c>
      <c r="M21" s="275">
        <f t="shared" si="3"/>
        <v>181.13311535710622</v>
      </c>
      <c r="N21" s="275">
        <f t="shared" si="4"/>
        <v>305.9137059364461</v>
      </c>
      <c r="O21" s="275">
        <f t="shared" si="5"/>
        <v>0</v>
      </c>
      <c r="P21"/>
      <c r="Q21" s="269" t="s">
        <v>233</v>
      </c>
      <c r="R21" s="312">
        <v>0</v>
      </c>
      <c r="S21" s="312">
        <v>0</v>
      </c>
      <c r="T21" s="159">
        <v>0</v>
      </c>
      <c r="V21" s="118"/>
      <c r="W21" s="269" t="s">
        <v>233</v>
      </c>
      <c r="X21" s="312">
        <v>0</v>
      </c>
      <c r="Y21" s="312">
        <v>0</v>
      </c>
      <c r="Z21" s="159">
        <v>0</v>
      </c>
      <c r="AA21" s="118"/>
      <c r="AC21" s="269" t="s">
        <v>180</v>
      </c>
      <c r="AD21" s="312">
        <v>0</v>
      </c>
      <c r="AE21" s="312">
        <v>0</v>
      </c>
      <c r="AF21" s="159">
        <v>0</v>
      </c>
      <c r="AH21" s="5"/>
      <c r="AI21" s="5"/>
      <c r="AJ21" s="5"/>
      <c r="AO21" s="5"/>
      <c r="AP21" s="150">
        <v>13451.245238792852</v>
      </c>
      <c r="AQ21" s="150">
        <v>15403.45736888368</v>
      </c>
      <c r="AR21" s="150">
        <v>21359.068268385585</v>
      </c>
      <c r="AS21" s="150">
        <v>25033.54819806622</v>
      </c>
      <c r="AT21" s="273">
        <v>620</v>
      </c>
      <c r="AU21" s="273">
        <f>('Cost-Effectiveness'!$B$3*AP21)+('Cost-Effectiveness'!$C$3*AQ21)+('Cost-Effectiveness'!$D$3*AR21)+('Cost-Effectiveness'!$E$3*AS21)</f>
        <v>25033.54819806622</v>
      </c>
      <c r="AV21" s="270"/>
      <c r="AW21" s="141"/>
      <c r="AX21" s="150">
        <v>11033.46029885731</v>
      </c>
      <c r="AY21" s="150">
        <v>12633.636097275124</v>
      </c>
      <c r="AZ21" s="150">
        <v>18154.3217111046</v>
      </c>
      <c r="BA21" s="150">
        <v>21456.40199238207</v>
      </c>
      <c r="BB21" s="273">
        <v>620</v>
      </c>
      <c r="BC21" s="273">
        <f>('Cost-Effectiveness'!$B$3*AX21)+('Cost-Effectiveness'!$C$3*AY21)+('Cost-Effectiveness'!$D$3*AZ21)+('Cost-Effectiveness'!$E$3*BA21)</f>
        <v>21456.40199238207</v>
      </c>
      <c r="BD21" s="141"/>
      <c r="BE21" s="141"/>
      <c r="BF21" s="150">
        <v>12532.786404922357</v>
      </c>
      <c r="BG21" s="150">
        <v>14344.418400234399</v>
      </c>
      <c r="BH21" s="150">
        <v>20281.365367711693</v>
      </c>
      <c r="BI21" s="150">
        <v>23753.296220334018</v>
      </c>
      <c r="BJ21" s="273">
        <v>620</v>
      </c>
      <c r="BK21" s="273">
        <f>('Cost-Effectiveness'!$B$3*BF21)+('Cost-Effectiveness'!$C$3*BG21)+('Cost-Effectiveness'!$D$3*BH21)+('Cost-Effectiveness'!$E$3*BI21)</f>
        <v>23753.296220334018</v>
      </c>
    </row>
    <row r="22" spans="1:63" ht="12.75">
      <c r="A22" s="271" t="str">
        <f>'SF Measure Cost'!B19</f>
        <v>VAULT 10" SS Panel</v>
      </c>
      <c r="B22" s="272">
        <f>'SF Measure Cost'!C19</f>
        <v>0.026</v>
      </c>
      <c r="C22" s="274">
        <f>VLOOKUP($A22,'SF Measure Cost'!$B$4:$I$40,7,0)</f>
        <v>1.5598937365893535</v>
      </c>
      <c r="D22" s="284">
        <v>405</v>
      </c>
      <c r="E22" s="284">
        <v>684</v>
      </c>
      <c r="F22" s="284">
        <v>0</v>
      </c>
      <c r="G22" s="273">
        <f t="shared" si="0"/>
        <v>10.53</v>
      </c>
      <c r="H22" s="273">
        <f t="shared" si="1"/>
        <v>17.784</v>
      </c>
      <c r="I22" s="273">
        <f t="shared" si="2"/>
        <v>0</v>
      </c>
      <c r="J22" s="281">
        <f t="shared" si="9"/>
        <v>0.40500000000000114</v>
      </c>
      <c r="K22" s="281">
        <f t="shared" si="9"/>
        <v>0.684000000000001</v>
      </c>
      <c r="L22" s="281">
        <f t="shared" si="9"/>
        <v>0</v>
      </c>
      <c r="M22" s="275">
        <f t="shared" si="3"/>
        <v>631.7569633186881</v>
      </c>
      <c r="N22" s="275">
        <f t="shared" si="4"/>
        <v>1066.9673158271178</v>
      </c>
      <c r="O22" s="275">
        <f t="shared" si="5"/>
        <v>0</v>
      </c>
      <c r="P22"/>
      <c r="Q22" s="269" t="s">
        <v>238</v>
      </c>
      <c r="R22" s="312">
        <v>0</v>
      </c>
      <c r="S22" s="312">
        <v>0</v>
      </c>
      <c r="T22" s="159">
        <v>0</v>
      </c>
      <c r="V22" s="118"/>
      <c r="W22" s="269" t="s">
        <v>238</v>
      </c>
      <c r="X22" s="312">
        <v>0</v>
      </c>
      <c r="Y22" s="312">
        <v>0</v>
      </c>
      <c r="Z22" s="159">
        <v>0</v>
      </c>
      <c r="AA22" s="118"/>
      <c r="AC22" s="269" t="s">
        <v>181</v>
      </c>
      <c r="AD22" s="312">
        <v>0</v>
      </c>
      <c r="AE22" s="312">
        <v>0</v>
      </c>
      <c r="AF22" s="159">
        <v>0</v>
      </c>
      <c r="AH22" s="5"/>
      <c r="AI22" s="5"/>
      <c r="AJ22" s="5"/>
      <c r="AO22" s="5"/>
      <c r="AP22" s="150">
        <v>13138.060357456783</v>
      </c>
      <c r="AQ22" s="150">
        <v>15042.045121593907</v>
      </c>
      <c r="AR22" s="150">
        <v>20902.666276003518</v>
      </c>
      <c r="AS22" s="150">
        <v>24501.58218576033</v>
      </c>
      <c r="AT22" s="273">
        <v>610</v>
      </c>
      <c r="AU22" s="273">
        <f>('Cost-Effectiveness'!$B$3*AP22)+('Cost-Effectiveness'!$C$3*AQ22)+('Cost-Effectiveness'!$D$3*AR22)+('Cost-Effectiveness'!$E$3*AS22)</f>
        <v>24501.58218576033</v>
      </c>
      <c r="AV22" s="270"/>
      <c r="AW22" s="141"/>
      <c r="AX22" s="150">
        <v>10742.777615001465</v>
      </c>
      <c r="AY22" s="150">
        <v>12301.963082332259</v>
      </c>
      <c r="AZ22" s="150">
        <v>17718.98622912394</v>
      </c>
      <c r="BA22" s="150">
        <v>20956.431292118374</v>
      </c>
      <c r="BB22" s="273">
        <v>610</v>
      </c>
      <c r="BC22" s="273">
        <f>('Cost-Effectiveness'!$B$3*AX22)+('Cost-Effectiveness'!$C$3*AY22)+('Cost-Effectiveness'!$D$3*AZ22)+('Cost-Effectiveness'!$E$3*BA22)</f>
        <v>20956.431292118374</v>
      </c>
      <c r="BD22" s="141"/>
      <c r="BE22" s="141"/>
      <c r="BF22" s="150">
        <v>12226.369762672137</v>
      </c>
      <c r="BG22" s="150">
        <v>13995.605039554644</v>
      </c>
      <c r="BH22" s="150">
        <v>19830.96982127161</v>
      </c>
      <c r="BI22" s="150">
        <v>23228.332845004395</v>
      </c>
      <c r="BJ22" s="273">
        <v>610</v>
      </c>
      <c r="BK22" s="273">
        <f>('Cost-Effectiveness'!$B$3*BF22)+('Cost-Effectiveness'!$C$3*BG22)+('Cost-Effectiveness'!$D$3*BH22)+('Cost-Effectiveness'!$E$3*BI22)</f>
        <v>23228.332845004395</v>
      </c>
    </row>
    <row r="23" spans="1:63" ht="12.75">
      <c r="A23" s="276" t="s">
        <v>369</v>
      </c>
      <c r="B23" s="277">
        <v>0.052</v>
      </c>
      <c r="C23" s="279">
        <v>0</v>
      </c>
      <c r="D23" s="283">
        <v>0</v>
      </c>
      <c r="E23" s="283">
        <v>0</v>
      </c>
      <c r="F23" s="283">
        <v>479</v>
      </c>
      <c r="G23" s="278">
        <f t="shared" si="0"/>
        <v>0</v>
      </c>
      <c r="H23" s="278">
        <f t="shared" si="1"/>
        <v>0</v>
      </c>
      <c r="I23" s="278">
        <f t="shared" si="2"/>
        <v>24.907999999999998</v>
      </c>
      <c r="J23" s="278">
        <v>0</v>
      </c>
      <c r="K23" s="278">
        <v>0</v>
      </c>
      <c r="L23" s="278">
        <v>0</v>
      </c>
      <c r="M23" s="280">
        <f>$C23*D23</f>
        <v>0</v>
      </c>
      <c r="N23" s="280">
        <f>$C23*E23</f>
        <v>0</v>
      </c>
      <c r="O23" s="280">
        <f>$C23*F23</f>
        <v>0</v>
      </c>
      <c r="P23"/>
      <c r="Q23" s="269" t="s">
        <v>215</v>
      </c>
      <c r="R23" s="312">
        <v>0</v>
      </c>
      <c r="S23" s="312">
        <v>0</v>
      </c>
      <c r="T23" s="159">
        <v>0</v>
      </c>
      <c r="V23" s="118"/>
      <c r="W23" s="269" t="s">
        <v>215</v>
      </c>
      <c r="X23" s="312">
        <v>0</v>
      </c>
      <c r="Y23" s="312">
        <v>0</v>
      </c>
      <c r="Z23" s="159">
        <v>0</v>
      </c>
      <c r="AA23" s="118"/>
      <c r="AC23" s="269" t="s">
        <v>233</v>
      </c>
      <c r="AD23" s="312">
        <v>0</v>
      </c>
      <c r="AE23" s="312">
        <v>0</v>
      </c>
      <c r="AF23" s="159">
        <v>0</v>
      </c>
      <c r="AH23" s="5"/>
      <c r="AI23" s="5"/>
      <c r="AJ23" s="5"/>
      <c r="AO23" s="5"/>
      <c r="AP23" s="150">
        <v>12825.080574274833</v>
      </c>
      <c r="AQ23" s="150">
        <v>14680.808672721945</v>
      </c>
      <c r="AR23" s="150">
        <v>20446.879578083797</v>
      </c>
      <c r="AS23" s="150">
        <v>23970.876062115443</v>
      </c>
      <c r="AT23" s="273">
        <v>600</v>
      </c>
      <c r="AU23" s="273">
        <f>('Cost-Effectiveness'!$B$3*AP23)+('Cost-Effectiveness'!$C$3*AQ23)+('Cost-Effectiveness'!$D$3*AR23)+('Cost-Effectiveness'!$E$3*AS23)</f>
        <v>23970.876062115443</v>
      </c>
      <c r="AV23" s="270"/>
      <c r="AW23" s="141"/>
      <c r="AX23" s="150">
        <v>10452.563726926457</v>
      </c>
      <c r="AY23" s="150">
        <v>11970.846762379138</v>
      </c>
      <c r="AZ23" s="150">
        <v>17284.266041605624</v>
      </c>
      <c r="BA23" s="150">
        <v>20457.222384998535</v>
      </c>
      <c r="BB23" s="273">
        <v>600</v>
      </c>
      <c r="BC23" s="273">
        <f>('Cost-Effectiveness'!$B$3*AX23)+('Cost-Effectiveness'!$C$3*AY23)+('Cost-Effectiveness'!$D$3*AZ23)+('Cost-Effectiveness'!$E$3*BA23)</f>
        <v>20457.222384998535</v>
      </c>
      <c r="BD23" s="141"/>
      <c r="BE23" s="141"/>
      <c r="BF23" s="150">
        <v>11921.97480222678</v>
      </c>
      <c r="BG23" s="150">
        <v>13647.465572809846</v>
      </c>
      <c r="BH23" s="150">
        <v>19380.60357456783</v>
      </c>
      <c r="BI23" s="150">
        <v>22705.186053325524</v>
      </c>
      <c r="BJ23" s="273">
        <v>600</v>
      </c>
      <c r="BK23" s="273">
        <f>('Cost-Effectiveness'!$B$3*BF23)+('Cost-Effectiveness'!$C$3*BG23)+('Cost-Effectiveness'!$D$3*BH23)+('Cost-Effectiveness'!$E$3*BI23)</f>
        <v>22705.186053325524</v>
      </c>
    </row>
    <row r="24" spans="1:63" ht="12.75">
      <c r="A24" s="276" t="str">
        <f>'SF Measure Cost'!B20</f>
        <v>VAULT R30 SCI</v>
      </c>
      <c r="B24" s="277">
        <f>'SF Measure Cost'!C20</f>
        <v>0.043</v>
      </c>
      <c r="C24" s="279">
        <f>VLOOKUP($A24,'SF Measure Cost'!$B$4:$I$40,7,0)</f>
        <v>0</v>
      </c>
      <c r="D24" s="283">
        <v>0</v>
      </c>
      <c r="E24" s="283">
        <v>0</v>
      </c>
      <c r="F24" s="283">
        <v>479</v>
      </c>
      <c r="G24" s="278">
        <f t="shared" si="0"/>
        <v>0</v>
      </c>
      <c r="H24" s="278">
        <f t="shared" si="1"/>
        <v>0</v>
      </c>
      <c r="I24" s="278">
        <f t="shared" si="2"/>
        <v>20.596999999999998</v>
      </c>
      <c r="J24" s="278">
        <v>0</v>
      </c>
      <c r="K24" s="278">
        <v>0</v>
      </c>
      <c r="L24" s="278">
        <v>0</v>
      </c>
      <c r="M24" s="280">
        <f t="shared" si="3"/>
        <v>0</v>
      </c>
      <c r="N24" s="280">
        <f t="shared" si="4"/>
        <v>0</v>
      </c>
      <c r="O24" s="280">
        <f t="shared" si="5"/>
        <v>0</v>
      </c>
      <c r="P24"/>
      <c r="Q24" s="269" t="s">
        <v>216</v>
      </c>
      <c r="R24" s="312">
        <v>0</v>
      </c>
      <c r="S24" s="312">
        <v>0</v>
      </c>
      <c r="T24" s="159">
        <v>0</v>
      </c>
      <c r="V24" s="118"/>
      <c r="W24" s="269" t="s">
        <v>216</v>
      </c>
      <c r="X24" s="312">
        <v>0</v>
      </c>
      <c r="Y24" s="312">
        <v>0</v>
      </c>
      <c r="Z24" s="159">
        <v>0</v>
      </c>
      <c r="AA24" s="118"/>
      <c r="AC24" s="269" t="s">
        <v>238</v>
      </c>
      <c r="AD24" s="312">
        <v>0</v>
      </c>
      <c r="AE24" s="312">
        <v>0</v>
      </c>
      <c r="AF24" s="159">
        <v>0</v>
      </c>
      <c r="AG24" s="126"/>
      <c r="AH24" s="4"/>
      <c r="AI24" s="5"/>
      <c r="AJ24" s="5"/>
      <c r="AO24" s="5"/>
      <c r="AP24" s="150">
        <v>12512.657486082626</v>
      </c>
      <c r="AQ24" s="150">
        <v>14320.597714620568</v>
      </c>
      <c r="AR24" s="150">
        <v>19991.796073835336</v>
      </c>
      <c r="AS24" s="150">
        <v>23440.668033987695</v>
      </c>
      <c r="AT24" s="273">
        <v>590</v>
      </c>
      <c r="AU24" s="273">
        <f>('Cost-Effectiveness'!$B$3*AP24)+('Cost-Effectiveness'!$C$3*AQ24)+('Cost-Effectiveness'!$D$3*AR24)+('Cost-Effectiveness'!$E$3*AS24)</f>
        <v>23440.668033987695</v>
      </c>
      <c r="AV24" s="270"/>
      <c r="AW24" s="141"/>
      <c r="AX24" s="150">
        <v>10163.08233225901</v>
      </c>
      <c r="AY24" s="150">
        <v>11641.400527395253</v>
      </c>
      <c r="AZ24" s="150">
        <v>16850.512745385295</v>
      </c>
      <c r="BA24" s="150">
        <v>19958.042777615003</v>
      </c>
      <c r="BB24" s="273">
        <v>590</v>
      </c>
      <c r="BC24" s="273">
        <f>('Cost-Effectiveness'!$B$3*AX24)+('Cost-Effectiveness'!$C$3*AY24)+('Cost-Effectiveness'!$D$3*AZ24)+('Cost-Effectiveness'!$E$3*BA24)</f>
        <v>19958.042777615003</v>
      </c>
      <c r="BD24" s="141"/>
      <c r="BE24" s="141"/>
      <c r="BF24" s="150">
        <v>11619.24992675066</v>
      </c>
      <c r="BG24" s="150">
        <v>13300.087899208907</v>
      </c>
      <c r="BH24" s="150">
        <v>18930.325227072957</v>
      </c>
      <c r="BI24" s="150">
        <v>22183.82654556109</v>
      </c>
      <c r="BJ24" s="273">
        <v>590</v>
      </c>
      <c r="BK24" s="273">
        <f>('Cost-Effectiveness'!$B$3*BF24)+('Cost-Effectiveness'!$C$3*BG24)+('Cost-Effectiveness'!$D$3*BH24)+('Cost-Effectiveness'!$E$3*BI24)</f>
        <v>22183.82654556109</v>
      </c>
    </row>
    <row r="25" spans="1:63" ht="12.75">
      <c r="A25" s="422" t="str">
        <f>'SF Measure Cost'!B21</f>
        <v>VAULT R38 SCI</v>
      </c>
      <c r="B25" s="423">
        <f>'SF Measure Cost'!C21</f>
        <v>0.035</v>
      </c>
      <c r="C25" s="424">
        <f>VLOOKUP($A25,'SF Measure Cost'!$B$4:$I$40,7,0)</f>
        <v>0</v>
      </c>
      <c r="D25" s="428">
        <v>0</v>
      </c>
      <c r="E25" s="428">
        <v>0</v>
      </c>
      <c r="F25" s="428">
        <v>479</v>
      </c>
      <c r="G25" s="426">
        <f t="shared" si="0"/>
        <v>0</v>
      </c>
      <c r="H25" s="426">
        <f t="shared" si="1"/>
        <v>0</v>
      </c>
      <c r="I25" s="426">
        <f t="shared" si="2"/>
        <v>16.765</v>
      </c>
      <c r="J25" s="426">
        <f>G24-G25</f>
        <v>0</v>
      </c>
      <c r="K25" s="426">
        <f>H24-H25</f>
        <v>0</v>
      </c>
      <c r="L25" s="426">
        <f>I24-I25</f>
        <v>3.831999999999997</v>
      </c>
      <c r="M25" s="427">
        <f t="shared" si="3"/>
        <v>0</v>
      </c>
      <c r="N25" s="427">
        <f t="shared" si="4"/>
        <v>0</v>
      </c>
      <c r="O25" s="427">
        <f t="shared" si="5"/>
        <v>0</v>
      </c>
      <c r="P25"/>
      <c r="Q25" s="269" t="s">
        <v>217</v>
      </c>
      <c r="R25" s="312">
        <v>0</v>
      </c>
      <c r="S25" s="312">
        <v>0</v>
      </c>
      <c r="T25" s="159">
        <v>0</v>
      </c>
      <c r="V25" s="118"/>
      <c r="W25" s="269" t="s">
        <v>217</v>
      </c>
      <c r="X25" s="312">
        <v>0</v>
      </c>
      <c r="Y25" s="312">
        <v>0</v>
      </c>
      <c r="Z25" s="159">
        <v>0</v>
      </c>
      <c r="AA25" s="118"/>
      <c r="AC25" s="269" t="s">
        <v>215</v>
      </c>
      <c r="AD25" s="312">
        <v>0</v>
      </c>
      <c r="AE25" s="312">
        <v>0</v>
      </c>
      <c r="AF25" s="159">
        <v>0</v>
      </c>
      <c r="AG25" s="119"/>
      <c r="AH25" s="5"/>
      <c r="AI25" s="5"/>
      <c r="AJ25" s="5"/>
      <c r="AO25" s="5"/>
      <c r="AP25" s="150">
        <v>12200.820392616468</v>
      </c>
      <c r="AQ25" s="150">
        <v>13962.408438324055</v>
      </c>
      <c r="AR25" s="150">
        <v>19537.474362730736</v>
      </c>
      <c r="AS25" s="150">
        <v>22910.48930559625</v>
      </c>
      <c r="AT25" s="273">
        <v>580</v>
      </c>
      <c r="AU25" s="273">
        <f>('Cost-Effectiveness'!$B$3*AP25)+('Cost-Effectiveness'!$C$3*AQ25)+('Cost-Effectiveness'!$D$3*AR25)+('Cost-Effectiveness'!$E$3*AS25)</f>
        <v>22910.48930559625</v>
      </c>
      <c r="AV25" s="270"/>
      <c r="AW25" s="141"/>
      <c r="AX25" s="150">
        <v>9874.68502783475</v>
      </c>
      <c r="AY25" s="150">
        <v>11314.210372106652</v>
      </c>
      <c r="AZ25" s="150">
        <v>16418.927629651334</v>
      </c>
      <c r="BA25" s="150">
        <v>19461.61734544389</v>
      </c>
      <c r="BB25" s="273">
        <v>580</v>
      </c>
      <c r="BC25" s="273">
        <f>('Cost-Effectiveness'!$B$3*AX25)+('Cost-Effectiveness'!$C$3*AY25)+('Cost-Effectiveness'!$D$3*AZ25)+('Cost-Effectiveness'!$E$3*BA25)</f>
        <v>19461.61734544389</v>
      </c>
      <c r="BD25" s="141"/>
      <c r="BE25" s="141"/>
      <c r="BF25" s="150">
        <v>11317.433343099914</v>
      </c>
      <c r="BG25" s="150">
        <v>12954.292411368298</v>
      </c>
      <c r="BH25" s="150">
        <v>18480.2519777322</v>
      </c>
      <c r="BI25" s="150">
        <v>21663.93202461178</v>
      </c>
      <c r="BJ25" s="273">
        <v>580</v>
      </c>
      <c r="BK25" s="273">
        <f>('Cost-Effectiveness'!$B$3*BF25)+('Cost-Effectiveness'!$C$3*BG25)+('Cost-Effectiveness'!$D$3*BH25)+('Cost-Effectiveness'!$E$3*BI25)</f>
        <v>21663.93202461178</v>
      </c>
    </row>
    <row r="26" spans="1:63" ht="12.75">
      <c r="A26" s="271" t="str">
        <f>'SF Measure Cost'!B22</f>
        <v>FLOOR R19 STD</v>
      </c>
      <c r="B26" s="272">
        <f>'SF Measure Cost'!C22</f>
        <v>0.041</v>
      </c>
      <c r="C26" s="274">
        <f>VLOOKUP($A26,'SF Measure Cost'!$B$4:$I$40,7,0)</f>
        <v>0</v>
      </c>
      <c r="D26" s="284">
        <v>1344</v>
      </c>
      <c r="E26" s="284">
        <v>1721</v>
      </c>
      <c r="F26" s="284">
        <v>104</v>
      </c>
      <c r="G26" s="273">
        <f t="shared" si="0"/>
        <v>55.104</v>
      </c>
      <c r="H26" s="273">
        <f t="shared" si="1"/>
        <v>70.561</v>
      </c>
      <c r="I26" s="273">
        <f t="shared" si="2"/>
        <v>4.264</v>
      </c>
      <c r="J26" s="273">
        <v>0</v>
      </c>
      <c r="K26" s="273">
        <v>0</v>
      </c>
      <c r="L26" s="273">
        <v>0</v>
      </c>
      <c r="M26" s="275">
        <f t="shared" si="3"/>
        <v>0</v>
      </c>
      <c r="N26" s="275">
        <f t="shared" si="4"/>
        <v>0</v>
      </c>
      <c r="O26" s="275">
        <f t="shared" si="5"/>
        <v>0</v>
      </c>
      <c r="P26"/>
      <c r="Q26" s="269" t="s">
        <v>218</v>
      </c>
      <c r="R26" s="312">
        <v>0</v>
      </c>
      <c r="S26" s="312">
        <v>0</v>
      </c>
      <c r="T26" s="159">
        <v>0</v>
      </c>
      <c r="V26" s="118"/>
      <c r="W26" s="269" t="s">
        <v>218</v>
      </c>
      <c r="X26" s="312">
        <v>0</v>
      </c>
      <c r="Y26" s="312">
        <v>0</v>
      </c>
      <c r="Z26" s="159">
        <v>0</v>
      </c>
      <c r="AA26" s="118"/>
      <c r="AC26" s="269" t="s">
        <v>216</v>
      </c>
      <c r="AD26" s="312">
        <v>0</v>
      </c>
      <c r="AE26" s="312">
        <v>0</v>
      </c>
      <c r="AF26" s="159">
        <v>0</v>
      </c>
      <c r="AH26" s="5"/>
      <c r="AI26" s="5"/>
      <c r="AJ26" s="5"/>
      <c r="AO26" s="5"/>
      <c r="AP26" s="150">
        <v>11889.627893348961</v>
      </c>
      <c r="AQ26" s="150">
        <v>13605.215353061823</v>
      </c>
      <c r="AR26" s="150">
        <v>19084.090243187813</v>
      </c>
      <c r="AS26" s="150">
        <v>22380.398476413713</v>
      </c>
      <c r="AT26" s="273">
        <v>570</v>
      </c>
      <c r="AU26" s="273">
        <f>('Cost-Effectiveness'!$B$3*AP26)+('Cost-Effectiveness'!$C$3*AQ26)+('Cost-Effectiveness'!$D$3*AR26)+('Cost-Effectiveness'!$E$3*AS26)</f>
        <v>22380.398476413713</v>
      </c>
      <c r="AV26" s="270"/>
      <c r="AW26" s="141"/>
      <c r="AX26" s="150">
        <v>9587.13741576326</v>
      </c>
      <c r="AY26" s="150">
        <v>10988.602402578377</v>
      </c>
      <c r="AZ26" s="150">
        <v>15988.485203633167</v>
      </c>
      <c r="BA26" s="150">
        <v>18966.217404043364</v>
      </c>
      <c r="BB26" s="273">
        <v>570</v>
      </c>
      <c r="BC26" s="273">
        <f>('Cost-Effectiveness'!$B$3*AX26)+('Cost-Effectiveness'!$C$3*AY26)+('Cost-Effectiveness'!$D$3*AZ26)+('Cost-Effectiveness'!$E$3*BA26)</f>
        <v>18966.217404043364</v>
      </c>
      <c r="BD26" s="141"/>
      <c r="BE26" s="141"/>
      <c r="BF26" s="150">
        <v>11017.814239671845</v>
      </c>
      <c r="BG26" s="150">
        <v>12609.082918253738</v>
      </c>
      <c r="BH26" s="150">
        <v>18030.794022853795</v>
      </c>
      <c r="BI26" s="150">
        <v>21145.619689422798</v>
      </c>
      <c r="BJ26" s="273">
        <v>570</v>
      </c>
      <c r="BK26" s="273">
        <f>('Cost-Effectiveness'!$B$3*BF26)+('Cost-Effectiveness'!$C$3*BG26)+('Cost-Effectiveness'!$D$3*BH26)+('Cost-Effectiveness'!$E$3*BI26)</f>
        <v>21145.619689422798</v>
      </c>
    </row>
    <row r="27" spans="1:63" ht="12.75">
      <c r="A27" s="271" t="str">
        <f>'SF Measure Cost'!B23</f>
        <v>FLOOR R25 STD</v>
      </c>
      <c r="B27" s="272">
        <f>'SF Measure Cost'!C23</f>
        <v>0.033</v>
      </c>
      <c r="C27" s="274">
        <f>VLOOKUP($A27,'SF Measure Cost'!$B$4:$I$40,7,0)</f>
        <v>0</v>
      </c>
      <c r="D27" s="284">
        <v>1344</v>
      </c>
      <c r="E27" s="284">
        <v>1721</v>
      </c>
      <c r="F27" s="284">
        <v>104</v>
      </c>
      <c r="G27" s="273">
        <f t="shared" si="0"/>
        <v>44.352000000000004</v>
      </c>
      <c r="H27" s="273">
        <f t="shared" si="1"/>
        <v>56.793</v>
      </c>
      <c r="I27" s="273">
        <f t="shared" si="2"/>
        <v>3.4320000000000004</v>
      </c>
      <c r="J27" s="273">
        <v>0</v>
      </c>
      <c r="K27" s="273">
        <v>0</v>
      </c>
      <c r="L27" s="273">
        <v>0</v>
      </c>
      <c r="M27" s="275">
        <f t="shared" si="3"/>
        <v>0</v>
      </c>
      <c r="N27" s="275">
        <f t="shared" si="4"/>
        <v>0</v>
      </c>
      <c r="O27" s="275">
        <f t="shared" si="5"/>
        <v>0</v>
      </c>
      <c r="P27"/>
      <c r="Q27" s="269" t="s">
        <v>219</v>
      </c>
      <c r="R27" s="312">
        <v>0</v>
      </c>
      <c r="S27" s="312">
        <v>0</v>
      </c>
      <c r="T27" s="159">
        <v>0</v>
      </c>
      <c r="V27" s="118"/>
      <c r="W27" s="269" t="s">
        <v>219</v>
      </c>
      <c r="X27" s="312">
        <v>0</v>
      </c>
      <c r="Y27" s="312">
        <v>0</v>
      </c>
      <c r="Z27" s="159">
        <v>0</v>
      </c>
      <c r="AA27" s="118"/>
      <c r="AC27" s="269" t="s">
        <v>217</v>
      </c>
      <c r="AD27" s="312">
        <v>0</v>
      </c>
      <c r="AE27" s="312">
        <v>0</v>
      </c>
      <c r="AF27" s="159">
        <v>0</v>
      </c>
      <c r="AH27" s="5"/>
      <c r="AI27" s="5"/>
      <c r="AJ27" s="5"/>
      <c r="AO27" s="5"/>
      <c r="AP27" s="150">
        <v>11578.962789334897</v>
      </c>
      <c r="AQ27" s="150">
        <v>13248.75476120715</v>
      </c>
      <c r="AR27" s="150">
        <v>18631.380017579842</v>
      </c>
      <c r="AS27" s="150">
        <v>21851.040140638735</v>
      </c>
      <c r="AT27" s="273">
        <v>560</v>
      </c>
      <c r="AU27" s="273">
        <f>('Cost-Effectiveness'!$B$3*AP27)+('Cost-Effectiveness'!$C$3*AQ27)+('Cost-Effectiveness'!$D$3*AR27)+('Cost-Effectiveness'!$E$3*AS27)</f>
        <v>21851.040140638735</v>
      </c>
      <c r="AV27" s="270"/>
      <c r="AW27" s="141"/>
      <c r="AX27" s="150">
        <v>9301.875183123353</v>
      </c>
      <c r="AY27" s="150">
        <v>10664.225021974802</v>
      </c>
      <c r="AZ27" s="150">
        <v>15558.833870495168</v>
      </c>
      <c r="BA27" s="150">
        <v>18471.930852622325</v>
      </c>
      <c r="BB27" s="273">
        <v>560</v>
      </c>
      <c r="BC27" s="273">
        <f>('Cost-Effectiveness'!$B$3*AX27)+('Cost-Effectiveness'!$C$3*AY27)+('Cost-Effectiveness'!$D$3*AZ27)+('Cost-Effectiveness'!$E$3*BA27)</f>
        <v>18471.930852622325</v>
      </c>
      <c r="BD27" s="141"/>
      <c r="BE27" s="141"/>
      <c r="BF27" s="150">
        <v>10718.283035452681</v>
      </c>
      <c r="BG27" s="150">
        <v>12264.019923820686</v>
      </c>
      <c r="BH27" s="150">
        <v>17582.83035452681</v>
      </c>
      <c r="BI27" s="150">
        <v>20628.567242894816</v>
      </c>
      <c r="BJ27" s="273">
        <v>560</v>
      </c>
      <c r="BK27" s="273">
        <f>('Cost-Effectiveness'!$B$3*BF27)+('Cost-Effectiveness'!$C$3*BG27)+('Cost-Effectiveness'!$D$3*BH27)+('Cost-Effectiveness'!$E$3*BI27)</f>
        <v>20628.567242894816</v>
      </c>
    </row>
    <row r="28" spans="1:63" ht="12.75">
      <c r="A28" s="422" t="str">
        <f>'SF Measure Cost'!B24</f>
        <v>FLOOR R30 STD</v>
      </c>
      <c r="B28" s="423">
        <f>'SF Measure Cost'!C24</f>
        <v>0.029</v>
      </c>
      <c r="C28" s="424">
        <f>VLOOKUP($A28,'SF Measure Cost'!$B$4:$I$40,7,0)</f>
        <v>0</v>
      </c>
      <c r="D28" s="428">
        <v>1344</v>
      </c>
      <c r="E28" s="428">
        <v>1721</v>
      </c>
      <c r="F28" s="428">
        <v>104</v>
      </c>
      <c r="G28" s="426">
        <f t="shared" si="0"/>
        <v>38.976</v>
      </c>
      <c r="H28" s="426">
        <f t="shared" si="1"/>
        <v>49.909000000000006</v>
      </c>
      <c r="I28" s="426">
        <f t="shared" si="2"/>
        <v>3.016</v>
      </c>
      <c r="J28" s="426">
        <v>0</v>
      </c>
      <c r="K28" s="426">
        <v>0</v>
      </c>
      <c r="L28" s="426">
        <v>0</v>
      </c>
      <c r="M28" s="427">
        <f t="shared" si="3"/>
        <v>0</v>
      </c>
      <c r="N28" s="427">
        <f t="shared" si="4"/>
        <v>0</v>
      </c>
      <c r="O28" s="427">
        <f t="shared" si="5"/>
        <v>0</v>
      </c>
      <c r="P28"/>
      <c r="Q28" s="269" t="s">
        <v>220</v>
      </c>
      <c r="R28" s="312">
        <v>0</v>
      </c>
      <c r="S28" s="312">
        <v>0</v>
      </c>
      <c r="T28" s="159">
        <v>0</v>
      </c>
      <c r="V28" s="118"/>
      <c r="W28" s="269" t="s">
        <v>220</v>
      </c>
      <c r="X28" s="312">
        <v>0</v>
      </c>
      <c r="Y28" s="312">
        <v>0</v>
      </c>
      <c r="Z28" s="159">
        <v>0</v>
      </c>
      <c r="AA28" s="118"/>
      <c r="AC28" s="269" t="s">
        <v>218</v>
      </c>
      <c r="AD28" s="312">
        <v>0</v>
      </c>
      <c r="AE28" s="312">
        <v>0</v>
      </c>
      <c r="AF28" s="159">
        <v>0</v>
      </c>
      <c r="AH28" s="5"/>
      <c r="AI28" s="5"/>
      <c r="AJ28" s="5"/>
      <c r="AO28" s="5"/>
      <c r="AP28" s="150">
        <v>11269.293876355114</v>
      </c>
      <c r="AQ28" s="150">
        <v>12892.792264869617</v>
      </c>
      <c r="AR28" s="150">
        <v>18179.28508643422</v>
      </c>
      <c r="AS28" s="150">
        <v>21323.381189569292</v>
      </c>
      <c r="AT28" s="273">
        <v>550</v>
      </c>
      <c r="AU28" s="273">
        <f>('Cost-Effectiveness'!$B$3*AP28)+('Cost-Effectiveness'!$C$3*AQ28)+('Cost-Effectiveness'!$D$3*AR28)+('Cost-Effectiveness'!$E$3*AS28)</f>
        <v>21323.381189569292</v>
      </c>
      <c r="AV28" s="270"/>
      <c r="AW28" s="141"/>
      <c r="AX28" s="150">
        <v>9018.312335188984</v>
      </c>
      <c r="AY28" s="150">
        <v>10340.87313214181</v>
      </c>
      <c r="AZ28" s="150">
        <v>15130.501025490772</v>
      </c>
      <c r="BA28" s="150">
        <v>17978.288895399943</v>
      </c>
      <c r="BB28" s="273">
        <v>550</v>
      </c>
      <c r="BC28" s="273">
        <f>('Cost-Effectiveness'!$B$3*AX28)+('Cost-Effectiveness'!$C$3*AY28)+('Cost-Effectiveness'!$D$3*AZ28)+('Cost-Effectiveness'!$E$3*BA28)</f>
        <v>17978.288895399943</v>
      </c>
      <c r="BD28" s="141"/>
      <c r="BE28" s="141"/>
      <c r="BF28" s="150">
        <v>10419.953120421918</v>
      </c>
      <c r="BG28" s="150">
        <v>11919.572223849986</v>
      </c>
      <c r="BH28" s="150">
        <v>17135.54058013478</v>
      </c>
      <c r="BI28" s="150">
        <v>20111.397597421623</v>
      </c>
      <c r="BJ28" s="273">
        <v>550</v>
      </c>
      <c r="BK28" s="273">
        <f>('Cost-Effectiveness'!$B$3*BF28)+('Cost-Effectiveness'!$C$3*BG28)+('Cost-Effectiveness'!$D$3*BH28)+('Cost-Effectiveness'!$E$3*BI28)</f>
        <v>20111.397597421623</v>
      </c>
    </row>
    <row r="29" spans="1:63" ht="12.75">
      <c r="A29" s="271" t="str">
        <f>'SF Measure Cost'!B25</f>
        <v>FLOOR R38 STD w/12"Truss</v>
      </c>
      <c r="B29" s="272">
        <f>'SF Measure Cost'!C25</f>
        <v>0.022</v>
      </c>
      <c r="C29" s="274">
        <f>VLOOKUP($A29,'SF Measure Cost'!$B$4:$I$40,7,0)</f>
        <v>0.29452539082456325</v>
      </c>
      <c r="D29" s="284">
        <v>1344</v>
      </c>
      <c r="E29" s="284">
        <v>1721</v>
      </c>
      <c r="F29" s="284">
        <v>104</v>
      </c>
      <c r="G29" s="273">
        <f t="shared" si="0"/>
        <v>29.567999999999998</v>
      </c>
      <c r="H29" s="273">
        <f t="shared" si="1"/>
        <v>37.861999999999995</v>
      </c>
      <c r="I29" s="273">
        <f t="shared" si="2"/>
        <v>2.288</v>
      </c>
      <c r="J29" s="273">
        <f>G28-G29</f>
        <v>9.408000000000001</v>
      </c>
      <c r="K29" s="273">
        <f>H28-H29</f>
        <v>12.047000000000011</v>
      </c>
      <c r="L29" s="273">
        <f>I28-I29</f>
        <v>0.7280000000000002</v>
      </c>
      <c r="M29" s="275">
        <f t="shared" si="3"/>
        <v>395.842125268213</v>
      </c>
      <c r="N29" s="275">
        <f t="shared" si="4"/>
        <v>506.87819760907337</v>
      </c>
      <c r="O29" s="275">
        <f t="shared" si="5"/>
        <v>30.63064064575458</v>
      </c>
      <c r="P29"/>
      <c r="Q29" s="269" t="s">
        <v>221</v>
      </c>
      <c r="R29" s="312">
        <v>0</v>
      </c>
      <c r="S29" s="312">
        <v>0</v>
      </c>
      <c r="T29" s="159">
        <v>0</v>
      </c>
      <c r="V29" s="118"/>
      <c r="W29" s="269" t="s">
        <v>221</v>
      </c>
      <c r="X29" s="312">
        <v>0</v>
      </c>
      <c r="Y29" s="312">
        <v>0</v>
      </c>
      <c r="Z29" s="159">
        <v>0</v>
      </c>
      <c r="AA29" s="118"/>
      <c r="AC29" s="269" t="s">
        <v>219</v>
      </c>
      <c r="AD29" s="312">
        <v>0</v>
      </c>
      <c r="AE29" s="312">
        <v>0</v>
      </c>
      <c r="AF29" s="159">
        <v>0</v>
      </c>
      <c r="AH29" s="5"/>
      <c r="AI29" s="5"/>
      <c r="AJ29" s="5"/>
      <c r="AO29" s="5"/>
      <c r="AP29" s="150">
        <v>10960.24025783768</v>
      </c>
      <c r="AQ29" s="150">
        <v>12537.913858775271</v>
      </c>
      <c r="AR29" s="150">
        <v>17727.717550542046</v>
      </c>
      <c r="AS29" s="150">
        <v>20797.187225314974</v>
      </c>
      <c r="AT29" s="273">
        <v>540</v>
      </c>
      <c r="AU29" s="273">
        <f>('Cost-Effectiveness'!$B$3*AP29)+('Cost-Effectiveness'!$C$3*AQ29)+('Cost-Effectiveness'!$D$3*AR29)+('Cost-Effectiveness'!$E$3*AS29)</f>
        <v>20797.187225314974</v>
      </c>
      <c r="AV29" s="270"/>
      <c r="AW29" s="141"/>
      <c r="AX29" s="150">
        <v>8736.185174333432</v>
      </c>
      <c r="AY29" s="150">
        <v>10017.872839144447</v>
      </c>
      <c r="AZ29" s="150">
        <v>14703.633167301496</v>
      </c>
      <c r="BA29" s="150">
        <v>17485.76032815705</v>
      </c>
      <c r="BB29" s="273">
        <v>540</v>
      </c>
      <c r="BC29" s="273">
        <f>('Cost-Effectiveness'!$B$3*AX29)+('Cost-Effectiveness'!$C$3*AY29)+('Cost-Effectiveness'!$D$3*AZ29)+('Cost-Effectiveness'!$E$3*BA29)</f>
        <v>17485.76032815705</v>
      </c>
      <c r="BD29" s="141"/>
      <c r="BE29" s="141"/>
      <c r="BF29" s="150">
        <v>10122.70729563434</v>
      </c>
      <c r="BG29" s="150">
        <v>11576.618810430708</v>
      </c>
      <c r="BH29" s="150">
        <v>16688.309405215354</v>
      </c>
      <c r="BI29" s="150">
        <v>19594.227951948436</v>
      </c>
      <c r="BJ29" s="273">
        <v>540</v>
      </c>
      <c r="BK29" s="273">
        <f>('Cost-Effectiveness'!$B$3*BF29)+('Cost-Effectiveness'!$C$3*BG29)+('Cost-Effectiveness'!$D$3*BH29)+('Cost-Effectiveness'!$E$3*BI29)</f>
        <v>19594.227951948436</v>
      </c>
    </row>
    <row r="30" spans="1:63" ht="12.75">
      <c r="A30" s="276" t="s">
        <v>233</v>
      </c>
      <c r="B30" s="277">
        <v>0.7075471698113207</v>
      </c>
      <c r="C30" s="279">
        <v>0</v>
      </c>
      <c r="D30" s="283">
        <v>176</v>
      </c>
      <c r="E30" s="283">
        <v>366</v>
      </c>
      <c r="F30" s="283">
        <v>200</v>
      </c>
      <c r="G30" s="278">
        <f t="shared" si="0"/>
        <v>124.52830188679245</v>
      </c>
      <c r="H30" s="278">
        <f t="shared" si="1"/>
        <v>258.9622641509434</v>
      </c>
      <c r="I30" s="278">
        <f t="shared" si="2"/>
        <v>141.50943396226415</v>
      </c>
      <c r="J30" s="278">
        <v>0</v>
      </c>
      <c r="K30" s="278">
        <v>0</v>
      </c>
      <c r="L30" s="278">
        <v>0</v>
      </c>
      <c r="M30" s="280">
        <f aca="true" t="shared" si="10" ref="M30:O31">$C30*D30</f>
        <v>0</v>
      </c>
      <c r="N30" s="280">
        <f t="shared" si="10"/>
        <v>0</v>
      </c>
      <c r="O30" s="280">
        <f t="shared" si="10"/>
        <v>0</v>
      </c>
      <c r="P30"/>
      <c r="Q30" s="269" t="s">
        <v>195</v>
      </c>
      <c r="R30" s="312">
        <v>0</v>
      </c>
      <c r="S30" s="312">
        <v>0</v>
      </c>
      <c r="T30" s="159">
        <v>0</v>
      </c>
      <c r="V30" s="118"/>
      <c r="W30" s="269" t="s">
        <v>195</v>
      </c>
      <c r="X30" s="312">
        <v>0</v>
      </c>
      <c r="Y30" s="312">
        <v>0</v>
      </c>
      <c r="Z30" s="159">
        <v>0</v>
      </c>
      <c r="AA30" s="118"/>
      <c r="AC30" s="269" t="s">
        <v>220</v>
      </c>
      <c r="AD30" s="312">
        <v>0</v>
      </c>
      <c r="AE30" s="312">
        <v>0</v>
      </c>
      <c r="AF30" s="159">
        <v>0</v>
      </c>
      <c r="AH30" s="5"/>
      <c r="AI30" s="5"/>
      <c r="AJ30" s="5"/>
      <c r="AO30" s="5"/>
      <c r="AP30" s="150">
        <v>10651.626135364782</v>
      </c>
      <c r="AQ30" s="150">
        <v>12185.057134485789</v>
      </c>
      <c r="AR30" s="150">
        <v>17276.648110167007</v>
      </c>
      <c r="AS30" s="150">
        <v>20271.72575446821</v>
      </c>
      <c r="AT30" s="273">
        <v>530</v>
      </c>
      <c r="AU30" s="273">
        <f>('Cost-Effectiveness'!$B$3*AP30)+('Cost-Effectiveness'!$C$3*AQ30)+('Cost-Effectiveness'!$D$3*AR30)+('Cost-Effectiveness'!$E$3*AS30)</f>
        <v>20271.72575446821</v>
      </c>
      <c r="AV30" s="270"/>
      <c r="AW30" s="141"/>
      <c r="AX30" s="150">
        <v>8454.380310577206</v>
      </c>
      <c r="AY30" s="150">
        <v>9695.810137708762</v>
      </c>
      <c r="AZ30" s="150">
        <v>14279.753882215062</v>
      </c>
      <c r="BA30" s="150">
        <v>16993.788455903898</v>
      </c>
      <c r="BB30" s="273">
        <v>530</v>
      </c>
      <c r="BC30" s="273">
        <f>('Cost-Effectiveness'!$B$3*AX30)+('Cost-Effectiveness'!$C$3*AY30)+('Cost-Effectiveness'!$D$3*AZ30)+('Cost-Effectiveness'!$E$3*BA30)</f>
        <v>16993.788455903898</v>
      </c>
      <c r="BD30" s="141"/>
      <c r="BE30" s="141"/>
      <c r="BF30" s="150">
        <v>9825.461470846763</v>
      </c>
      <c r="BG30" s="150">
        <v>11234.45648989159</v>
      </c>
      <c r="BH30" s="150">
        <v>16242.748315265164</v>
      </c>
      <c r="BI30" s="150">
        <v>19078.230295927337</v>
      </c>
      <c r="BJ30" s="273">
        <v>530</v>
      </c>
      <c r="BK30" s="273">
        <f>('Cost-Effectiveness'!$B$3*BF30)+('Cost-Effectiveness'!$C$3*BG30)+('Cost-Effectiveness'!$D$3*BH30)+('Cost-Effectiveness'!$E$3*BI30)</f>
        <v>19078.230295927337</v>
      </c>
    </row>
    <row r="31" spans="1:63" ht="12.75">
      <c r="A31" s="276" t="s">
        <v>238</v>
      </c>
      <c r="B31" s="277">
        <v>0.6628787878787878</v>
      </c>
      <c r="C31" s="279">
        <v>0</v>
      </c>
      <c r="D31" s="283">
        <v>176</v>
      </c>
      <c r="E31" s="283">
        <v>366</v>
      </c>
      <c r="F31" s="283">
        <v>200</v>
      </c>
      <c r="G31" s="278">
        <f t="shared" si="0"/>
        <v>116.66666666666666</v>
      </c>
      <c r="H31" s="278">
        <f t="shared" si="1"/>
        <v>242.61363636363635</v>
      </c>
      <c r="I31" s="278">
        <f t="shared" si="2"/>
        <v>132.57575757575756</v>
      </c>
      <c r="J31" s="278">
        <v>0</v>
      </c>
      <c r="K31" s="278">
        <v>0</v>
      </c>
      <c r="L31" s="278">
        <v>0</v>
      </c>
      <c r="M31" s="280">
        <f t="shared" si="10"/>
        <v>0</v>
      </c>
      <c r="N31" s="280">
        <f t="shared" si="10"/>
        <v>0</v>
      </c>
      <c r="O31" s="280">
        <f t="shared" si="10"/>
        <v>0</v>
      </c>
      <c r="P31"/>
      <c r="Q31" s="269" t="s">
        <v>403</v>
      </c>
      <c r="R31" s="312">
        <v>0</v>
      </c>
      <c r="S31" s="312">
        <v>0</v>
      </c>
      <c r="T31" s="159">
        <v>0</v>
      </c>
      <c r="V31" s="118"/>
      <c r="W31" s="269" t="s">
        <v>403</v>
      </c>
      <c r="X31" s="312">
        <v>0</v>
      </c>
      <c r="Y31" s="312">
        <v>0</v>
      </c>
      <c r="Z31" s="159">
        <v>0</v>
      </c>
      <c r="AA31" s="118"/>
      <c r="AC31" s="269" t="s">
        <v>221</v>
      </c>
      <c r="AD31" s="312">
        <v>0</v>
      </c>
      <c r="AE31" s="312">
        <v>0</v>
      </c>
      <c r="AF31" s="159">
        <v>0</v>
      </c>
      <c r="AH31" s="5"/>
      <c r="AI31" s="5"/>
      <c r="AJ31" s="5"/>
      <c r="AO31" s="5"/>
      <c r="AP31" s="150">
        <v>10343.627307354236</v>
      </c>
      <c r="AQ31" s="150">
        <v>11833.255200703195</v>
      </c>
      <c r="AR31" s="150">
        <v>16826.604160562554</v>
      </c>
      <c r="AS31" s="150">
        <v>19747.37767360094</v>
      </c>
      <c r="AT31" s="273">
        <v>520</v>
      </c>
      <c r="AU31" s="273">
        <f>('Cost-Effectiveness'!$B$3*AP31)+('Cost-Effectiveness'!$C$3*AQ31)+('Cost-Effectiveness'!$D$3*AR31)+('Cost-Effectiveness'!$E$3*AS31)</f>
        <v>19747.37767360094</v>
      </c>
      <c r="AV31" s="270"/>
      <c r="AW31" s="141"/>
      <c r="AX31" s="150">
        <v>8173.483738646352</v>
      </c>
      <c r="AY31" s="150">
        <v>9375.18312335189</v>
      </c>
      <c r="AZ31" s="150">
        <v>13857.573981834164</v>
      </c>
      <c r="BA31" s="150">
        <v>16501.904482859656</v>
      </c>
      <c r="BB31" s="273">
        <v>520</v>
      </c>
      <c r="BC31" s="273">
        <f>('Cost-Effectiveness'!$B$3*AX31)+('Cost-Effectiveness'!$C$3*AY31)+('Cost-Effectiveness'!$D$3*AZ31)+('Cost-Effectiveness'!$E$3*BA31)</f>
        <v>16501.904482859656</v>
      </c>
      <c r="BD31" s="141"/>
      <c r="BE31" s="141"/>
      <c r="BF31" s="150">
        <v>9528.039847641372</v>
      </c>
      <c r="BG31" s="150">
        <v>10895.106944037505</v>
      </c>
      <c r="BH31" s="150">
        <v>15797.831819513625</v>
      </c>
      <c r="BI31" s="150">
        <v>18564.69381775564</v>
      </c>
      <c r="BJ31" s="273">
        <v>520</v>
      </c>
      <c r="BK31" s="273">
        <f>('Cost-Effectiveness'!$B$3*BF31)+('Cost-Effectiveness'!$C$3*BG31)+('Cost-Effectiveness'!$D$3*BH31)+('Cost-Effectiveness'!$E$3*BI31)</f>
        <v>18564.69381775564</v>
      </c>
    </row>
    <row r="32" spans="1:63" ht="12.75">
      <c r="A32" s="276" t="str">
        <f>'SF Measure Cost'!B26</f>
        <v>WINDOW CL65</v>
      </c>
      <c r="B32" s="277">
        <f>'SF Measure Cost'!C26</f>
        <v>0.6178707224334601</v>
      </c>
      <c r="C32" s="279">
        <f>VLOOKUP($A32,'SF Measure Cost'!$B$4:$I$40,7,0)</f>
        <v>0</v>
      </c>
      <c r="D32" s="283">
        <v>176</v>
      </c>
      <c r="E32" s="283">
        <v>366</v>
      </c>
      <c r="F32" s="283">
        <v>200</v>
      </c>
      <c r="G32" s="278">
        <f t="shared" si="0"/>
        <v>108.74524714828897</v>
      </c>
      <c r="H32" s="278">
        <f t="shared" si="1"/>
        <v>226.1406844106464</v>
      </c>
      <c r="I32" s="278">
        <f t="shared" si="2"/>
        <v>123.57414448669202</v>
      </c>
      <c r="J32" s="278">
        <v>0</v>
      </c>
      <c r="K32" s="278">
        <v>0</v>
      </c>
      <c r="L32" s="278">
        <v>0</v>
      </c>
      <c r="M32" s="280">
        <f t="shared" si="3"/>
        <v>0</v>
      </c>
      <c r="N32" s="280">
        <f t="shared" si="4"/>
        <v>0</v>
      </c>
      <c r="O32" s="280">
        <f t="shared" si="5"/>
        <v>0</v>
      </c>
      <c r="P32"/>
      <c r="Q32" s="269" t="s">
        <v>222</v>
      </c>
      <c r="R32" s="312">
        <v>0</v>
      </c>
      <c r="S32" s="312">
        <v>0</v>
      </c>
      <c r="T32" s="159">
        <v>0</v>
      </c>
      <c r="V32" s="118"/>
      <c r="W32" s="269" t="s">
        <v>222</v>
      </c>
      <c r="X32" s="312">
        <v>0</v>
      </c>
      <c r="Y32" s="312">
        <v>0</v>
      </c>
      <c r="Z32" s="159">
        <v>0</v>
      </c>
      <c r="AA32" s="118"/>
      <c r="AC32" s="269" t="s">
        <v>222</v>
      </c>
      <c r="AD32" s="312">
        <v>0</v>
      </c>
      <c r="AE32" s="312">
        <v>0</v>
      </c>
      <c r="AF32" s="159">
        <v>0</v>
      </c>
      <c r="AH32" s="5"/>
      <c r="AI32" s="5"/>
      <c r="AJ32" s="5"/>
      <c r="AO32" s="5"/>
      <c r="AP32" s="150">
        <v>10036.53677116906</v>
      </c>
      <c r="AQ32" s="150">
        <v>11481.922062701437</v>
      </c>
      <c r="AR32" s="150">
        <v>16377.615001464988</v>
      </c>
      <c r="AS32" s="150">
        <v>19223.762086141225</v>
      </c>
      <c r="AT32" s="273">
        <v>510</v>
      </c>
      <c r="AU32" s="273">
        <f>('Cost-Effectiveness'!$B$3*AP32)+('Cost-Effectiveness'!$C$3*AQ32)+('Cost-Effectiveness'!$D$3*AR32)+('Cost-Effectiveness'!$E$3*AS32)</f>
        <v>19223.762086141225</v>
      </c>
      <c r="AV32" s="270"/>
      <c r="AW32" s="141"/>
      <c r="AX32" s="150">
        <v>7894.1693524758275</v>
      </c>
      <c r="AY32" s="150">
        <v>9057.280984471141</v>
      </c>
      <c r="AZ32" s="150">
        <v>13437.855259302667</v>
      </c>
      <c r="BA32" s="150">
        <v>16011.426897157926</v>
      </c>
      <c r="BB32" s="273">
        <v>510</v>
      </c>
      <c r="BC32" s="273">
        <f>('Cost-Effectiveness'!$B$3*AX32)+('Cost-Effectiveness'!$C$3*AY32)+('Cost-Effectiveness'!$D$3*AZ32)+('Cost-Effectiveness'!$E$3*BA32)</f>
        <v>16011.426897157926</v>
      </c>
      <c r="BD32" s="141"/>
      <c r="BE32" s="141"/>
      <c r="BF32" s="150">
        <v>9231.526516261354</v>
      </c>
      <c r="BG32" s="150">
        <v>10557.017286844419</v>
      </c>
      <c r="BH32" s="150">
        <v>15354.849106358044</v>
      </c>
      <c r="BI32" s="150">
        <v>18053.296220334018</v>
      </c>
      <c r="BJ32" s="273">
        <v>510</v>
      </c>
      <c r="BK32" s="273">
        <f>('Cost-Effectiveness'!$B$3*BF32)+('Cost-Effectiveness'!$C$3*BG32)+('Cost-Effectiveness'!$D$3*BH32)+('Cost-Effectiveness'!$E$3*BI32)</f>
        <v>18053.296220334018</v>
      </c>
    </row>
    <row r="33" spans="1:63" ht="12.75">
      <c r="A33" s="276" t="str">
        <f>'SF Measure Cost'!B27</f>
        <v>WINDOW CL50</v>
      </c>
      <c r="B33" s="277">
        <f>'SF Measure Cost'!C27</f>
        <v>0.4807692307692307</v>
      </c>
      <c r="C33" s="279">
        <f>VLOOKUP($A33,'SF Measure Cost'!$B$4:$I$40,7,0)</f>
        <v>0</v>
      </c>
      <c r="D33" s="283">
        <v>176</v>
      </c>
      <c r="E33" s="283">
        <v>366</v>
      </c>
      <c r="F33" s="283">
        <v>200</v>
      </c>
      <c r="G33" s="278">
        <f t="shared" si="0"/>
        <v>84.61538461538461</v>
      </c>
      <c r="H33" s="278">
        <f t="shared" si="1"/>
        <v>175.96153846153845</v>
      </c>
      <c r="I33" s="278">
        <f t="shared" si="2"/>
        <v>96.15384615384615</v>
      </c>
      <c r="J33" s="278">
        <v>0</v>
      </c>
      <c r="K33" s="278">
        <v>0</v>
      </c>
      <c r="L33" s="278">
        <v>0</v>
      </c>
      <c r="M33" s="280">
        <f t="shared" si="3"/>
        <v>0</v>
      </c>
      <c r="N33" s="280">
        <f t="shared" si="4"/>
        <v>0</v>
      </c>
      <c r="O33" s="280">
        <f t="shared" si="5"/>
        <v>0</v>
      </c>
      <c r="P33"/>
      <c r="Q33" s="269" t="s">
        <v>223</v>
      </c>
      <c r="R33" s="312">
        <v>0</v>
      </c>
      <c r="S33" s="312">
        <v>0</v>
      </c>
      <c r="T33" s="159">
        <v>0</v>
      </c>
      <c r="V33" s="118"/>
      <c r="W33" s="269" t="s">
        <v>223</v>
      </c>
      <c r="X33" s="312">
        <v>0</v>
      </c>
      <c r="Y33" s="312">
        <v>0</v>
      </c>
      <c r="Z33" s="159">
        <v>0</v>
      </c>
      <c r="AA33" s="118"/>
      <c r="AC33" s="269" t="s">
        <v>223</v>
      </c>
      <c r="AD33" s="312">
        <v>0</v>
      </c>
      <c r="AE33" s="312">
        <v>0</v>
      </c>
      <c r="AF33" s="159">
        <v>0</v>
      </c>
      <c r="AH33" s="5"/>
      <c r="AI33" s="5"/>
      <c r="AJ33" s="5"/>
      <c r="AO33" s="5"/>
      <c r="AP33" s="150">
        <v>9730.96982127161</v>
      </c>
      <c r="AQ33" s="150">
        <v>11132.229709932612</v>
      </c>
      <c r="AR33" s="150">
        <v>15929.944330501026</v>
      </c>
      <c r="AS33" s="150">
        <v>18700.820392616468</v>
      </c>
      <c r="AT33" s="273">
        <v>500</v>
      </c>
      <c r="AU33" s="273">
        <f>('Cost-Effectiveness'!$B$3*AP33)+('Cost-Effectiveness'!$C$3*AQ33)+('Cost-Effectiveness'!$D$3*AR33)+('Cost-Effectiveness'!$E$3*AS33)</f>
        <v>18700.820392616468</v>
      </c>
      <c r="AV33" s="270"/>
      <c r="AW33" s="141"/>
      <c r="AX33" s="150">
        <v>7616.993847055377</v>
      </c>
      <c r="AY33" s="150">
        <v>8741.576325813068</v>
      </c>
      <c r="AZ33" s="150">
        <v>13019.513624377381</v>
      </c>
      <c r="BA33" s="150">
        <v>15522.82449457955</v>
      </c>
      <c r="BB33" s="273">
        <v>500</v>
      </c>
      <c r="BC33" s="273">
        <f>('Cost-Effectiveness'!$B$3*AX33)+('Cost-Effectiveness'!$C$3*AY33)+('Cost-Effectiveness'!$D$3*AZ33)+('Cost-Effectiveness'!$E$3*BA33)</f>
        <v>15522.82449457955</v>
      </c>
      <c r="BD33" s="141"/>
      <c r="BE33" s="141"/>
      <c r="BF33" s="150">
        <v>8935.745678288897</v>
      </c>
      <c r="BG33" s="150">
        <v>10222.062701435689</v>
      </c>
      <c r="BH33" s="150">
        <v>14914.122472897745</v>
      </c>
      <c r="BI33" s="150">
        <v>17543.773806035748</v>
      </c>
      <c r="BJ33" s="273">
        <v>500</v>
      </c>
      <c r="BK33" s="273">
        <f>('Cost-Effectiveness'!$B$3*BF33)+('Cost-Effectiveness'!$C$3*BG33)+('Cost-Effectiveness'!$D$3*BH33)+('Cost-Effectiveness'!$E$3*BI33)</f>
        <v>17543.773806035748</v>
      </c>
    </row>
    <row r="34" spans="1:63" ht="12.75">
      <c r="A34" s="422" t="str">
        <f>'SF Measure Cost'!B28</f>
        <v>WINDOW CL40</v>
      </c>
      <c r="B34" s="423">
        <f>'SF Measure Cost'!C28</f>
        <v>0.38759689922480617</v>
      </c>
      <c r="C34" s="424">
        <f>VLOOKUP($A34,'SF Measure Cost'!$B$4:$I$40,7,0)</f>
        <v>0</v>
      </c>
      <c r="D34" s="428">
        <v>176</v>
      </c>
      <c r="E34" s="428">
        <v>366</v>
      </c>
      <c r="F34" s="428">
        <v>200</v>
      </c>
      <c r="G34" s="426">
        <f t="shared" si="0"/>
        <v>68.21705426356588</v>
      </c>
      <c r="H34" s="426">
        <f t="shared" si="1"/>
        <v>141.86046511627904</v>
      </c>
      <c r="I34" s="426">
        <f t="shared" si="2"/>
        <v>77.51937984496124</v>
      </c>
      <c r="J34" s="426">
        <v>0</v>
      </c>
      <c r="K34" s="426">
        <v>0</v>
      </c>
      <c r="L34" s="426">
        <v>0</v>
      </c>
      <c r="M34" s="427">
        <f t="shared" si="3"/>
        <v>0</v>
      </c>
      <c r="N34" s="427">
        <f t="shared" si="4"/>
        <v>0</v>
      </c>
      <c r="O34" s="427">
        <f t="shared" si="5"/>
        <v>0</v>
      </c>
      <c r="P34"/>
      <c r="Q34" s="269" t="s">
        <v>196</v>
      </c>
      <c r="R34" s="312">
        <v>0</v>
      </c>
      <c r="S34" s="312">
        <v>0</v>
      </c>
      <c r="T34" s="159">
        <v>0</v>
      </c>
      <c r="V34" s="118"/>
      <c r="W34" s="269" t="s">
        <v>196</v>
      </c>
      <c r="X34" s="312">
        <v>0</v>
      </c>
      <c r="Y34" s="312">
        <v>0</v>
      </c>
      <c r="Z34" s="159">
        <v>0</v>
      </c>
      <c r="AA34" s="118"/>
      <c r="AC34" s="269" t="s">
        <v>196</v>
      </c>
      <c r="AD34" s="312">
        <v>0</v>
      </c>
      <c r="AE34" s="312">
        <v>0</v>
      </c>
      <c r="AF34" s="159">
        <v>0</v>
      </c>
      <c r="AH34" s="5"/>
      <c r="AI34" s="5"/>
      <c r="AJ34" s="5"/>
      <c r="AO34" s="5"/>
      <c r="AP34" s="150">
        <v>9426.28186346323</v>
      </c>
      <c r="AQ34" s="150">
        <v>10782.918253735717</v>
      </c>
      <c r="AR34" s="150">
        <v>15482.888953999414</v>
      </c>
      <c r="AS34" s="150">
        <v>18180.046879578083</v>
      </c>
      <c r="AT34" s="273">
        <v>490</v>
      </c>
      <c r="AU34" s="273">
        <f>('Cost-Effectiveness'!$B$3*AP34)+('Cost-Effectiveness'!$C$3*AQ34)+('Cost-Effectiveness'!$D$3*AR34)+('Cost-Effectiveness'!$E$3*AS34)</f>
        <v>18180.046879578083</v>
      </c>
      <c r="AV34" s="270"/>
      <c r="AW34" s="141"/>
      <c r="AX34" s="150">
        <v>7342.279519484326</v>
      </c>
      <c r="AY34" s="150">
        <v>8428.655142103722</v>
      </c>
      <c r="AZ34" s="150">
        <v>12602.929973630238</v>
      </c>
      <c r="BA34" s="150">
        <v>15036.712569586876</v>
      </c>
      <c r="BB34" s="273">
        <v>490</v>
      </c>
      <c r="BC34" s="273">
        <f>('Cost-Effectiveness'!$B$3*AX34)+('Cost-Effectiveness'!$C$3*AY34)+('Cost-Effectiveness'!$D$3*AZ34)+('Cost-Effectiveness'!$E$3*BA34)</f>
        <v>15036.712569586876</v>
      </c>
      <c r="BD34" s="141"/>
      <c r="BE34" s="141"/>
      <c r="BF34" s="150">
        <v>8640.521535306183</v>
      </c>
      <c r="BG34" s="150">
        <v>9888.192206270145</v>
      </c>
      <c r="BH34" s="150">
        <v>14473.249340755932</v>
      </c>
      <c r="BI34" s="150">
        <v>17035.569879871084</v>
      </c>
      <c r="BJ34" s="273">
        <v>490</v>
      </c>
      <c r="BK34" s="273">
        <f>('Cost-Effectiveness'!$B$3*BF34)+('Cost-Effectiveness'!$C$3*BG34)+('Cost-Effectiveness'!$D$3*BH34)+('Cost-Effectiveness'!$E$3*BI34)</f>
        <v>17035.569879871084</v>
      </c>
    </row>
    <row r="35" spans="1:63" ht="12.75">
      <c r="A35" s="276" t="str">
        <f>'SF Measure Cost'!B29</f>
        <v>WINDOW CL35</v>
      </c>
      <c r="B35" s="277">
        <f>'SF Measure Cost'!C29</f>
        <v>0.3404669260700389</v>
      </c>
      <c r="C35" s="279">
        <f>VLOOKUP($A35,'SF Measure Cost'!$B$4:$I$40,7,0)</f>
        <v>0.49087565137427125</v>
      </c>
      <c r="D35" s="283">
        <v>176</v>
      </c>
      <c r="E35" s="283">
        <v>366</v>
      </c>
      <c r="F35" s="283">
        <v>200</v>
      </c>
      <c r="G35" s="278">
        <f t="shared" si="0"/>
        <v>59.92217898832685</v>
      </c>
      <c r="H35" s="278">
        <f t="shared" si="1"/>
        <v>124.61089494163424</v>
      </c>
      <c r="I35" s="278">
        <f t="shared" si="2"/>
        <v>68.09338521400778</v>
      </c>
      <c r="J35" s="278">
        <f aca="true" t="shared" si="11" ref="J35:L37">G34-G35</f>
        <v>8.294875275239036</v>
      </c>
      <c r="K35" s="278">
        <f t="shared" si="11"/>
        <v>17.249570174644802</v>
      </c>
      <c r="L35" s="278">
        <f t="shared" si="11"/>
        <v>9.425994630953454</v>
      </c>
      <c r="M35" s="280">
        <f t="shared" si="3"/>
        <v>86.39411464187174</v>
      </c>
      <c r="N35" s="280">
        <f t="shared" si="4"/>
        <v>179.66048840298328</v>
      </c>
      <c r="O35" s="280">
        <f t="shared" si="5"/>
        <v>98.17513027485425</v>
      </c>
      <c r="P35"/>
      <c r="Q35" s="269" t="s">
        <v>194</v>
      </c>
      <c r="R35" s="312">
        <v>0</v>
      </c>
      <c r="S35" s="312">
        <v>0</v>
      </c>
      <c r="T35" s="159">
        <v>0</v>
      </c>
      <c r="V35" s="118"/>
      <c r="W35" s="269" t="s">
        <v>194</v>
      </c>
      <c r="X35" s="312">
        <v>0</v>
      </c>
      <c r="Y35" s="312">
        <v>0</v>
      </c>
      <c r="Z35" s="159">
        <v>0</v>
      </c>
      <c r="AA35" s="118"/>
      <c r="AC35" s="269" t="s">
        <v>224</v>
      </c>
      <c r="AD35" s="312">
        <v>0</v>
      </c>
      <c r="AE35" s="312">
        <v>0</v>
      </c>
      <c r="AF35" s="159">
        <v>0</v>
      </c>
      <c r="AH35" s="5"/>
      <c r="AI35" s="5"/>
      <c r="AJ35" s="5"/>
      <c r="AO35" s="5"/>
      <c r="AP35" s="150">
        <v>9122.677995898037</v>
      </c>
      <c r="AQ35" s="150">
        <v>10435.130383826545</v>
      </c>
      <c r="AR35" s="150">
        <v>15036.419572223851</v>
      </c>
      <c r="AS35" s="150">
        <v>17661.177849399355</v>
      </c>
      <c r="AT35" s="273">
        <v>480</v>
      </c>
      <c r="AU35" s="273">
        <f>('Cost-Effectiveness'!$B$3*AP35)+('Cost-Effectiveness'!$C$3*AQ35)+('Cost-Effectiveness'!$D$3*AR35)+('Cost-Effectiveness'!$E$3*AS35)</f>
        <v>17661.177849399355</v>
      </c>
      <c r="AV35" s="270"/>
      <c r="AW35" s="141"/>
      <c r="AX35" s="150">
        <v>7069.6454731907415</v>
      </c>
      <c r="AY35" s="150">
        <v>8119.660123058893</v>
      </c>
      <c r="AZ35" s="150">
        <v>12190.213888075006</v>
      </c>
      <c r="BA35" s="150">
        <v>14551.128039847643</v>
      </c>
      <c r="BB35" s="273">
        <v>480</v>
      </c>
      <c r="BC35" s="273">
        <f>('Cost-Effectiveness'!$B$3*AX35)+('Cost-Effectiveness'!$C$3*AY35)+('Cost-Effectiveness'!$D$3*AZ35)+('Cost-Effectiveness'!$E$3*BA35)</f>
        <v>14551.128039847643</v>
      </c>
      <c r="BD35" s="141"/>
      <c r="BE35" s="141"/>
      <c r="BF35" s="150">
        <v>8345.561089950192</v>
      </c>
      <c r="BG35" s="150">
        <v>9555.698798710811</v>
      </c>
      <c r="BH35" s="150">
        <v>14032.815704658658</v>
      </c>
      <c r="BI35" s="150">
        <v>16529.475534720186</v>
      </c>
      <c r="BJ35" s="273">
        <v>480</v>
      </c>
      <c r="BK35" s="273">
        <f>('Cost-Effectiveness'!$B$3*BF35)+('Cost-Effectiveness'!$C$3*BG35)+('Cost-Effectiveness'!$D$3*BH35)+('Cost-Effectiveness'!$E$3*BI35)</f>
        <v>16529.475534720186</v>
      </c>
    </row>
    <row r="36" spans="1:63" ht="12.75">
      <c r="A36" s="276" t="str">
        <f>'SF Measure Cost'!B30</f>
        <v>WINDOW CL30</v>
      </c>
      <c r="B36" s="277">
        <f>'SF Measure Cost'!C30</f>
        <v>0.29296875</v>
      </c>
      <c r="C36" s="279">
        <f>VLOOKUP($A36,'SF Measure Cost'!$B$4:$I$40,7,0)</f>
        <v>2.5525533871462143</v>
      </c>
      <c r="D36" s="283">
        <v>176</v>
      </c>
      <c r="E36" s="283">
        <v>366</v>
      </c>
      <c r="F36" s="283">
        <v>200</v>
      </c>
      <c r="G36" s="278">
        <f t="shared" si="0"/>
        <v>51.5625</v>
      </c>
      <c r="H36" s="278">
        <f t="shared" si="1"/>
        <v>107.2265625</v>
      </c>
      <c r="I36" s="278">
        <f t="shared" si="2"/>
        <v>58.59375</v>
      </c>
      <c r="J36" s="278">
        <f t="shared" si="11"/>
        <v>8.359678988326849</v>
      </c>
      <c r="K36" s="278">
        <f t="shared" si="11"/>
        <v>17.384332441634243</v>
      </c>
      <c r="L36" s="278">
        <f t="shared" si="11"/>
        <v>9.499635214007782</v>
      </c>
      <c r="M36" s="280">
        <f t="shared" si="3"/>
        <v>449.2493961377337</v>
      </c>
      <c r="N36" s="280">
        <f t="shared" si="4"/>
        <v>934.2345396955144</v>
      </c>
      <c r="O36" s="280">
        <f t="shared" si="5"/>
        <v>510.51067742924283</v>
      </c>
      <c r="P36"/>
      <c r="Q36" s="269" t="s">
        <v>224</v>
      </c>
      <c r="R36" s="312">
        <v>0</v>
      </c>
      <c r="S36" s="312">
        <v>0</v>
      </c>
      <c r="T36" s="159">
        <v>0</v>
      </c>
      <c r="V36" s="118"/>
      <c r="W36" s="269" t="s">
        <v>224</v>
      </c>
      <c r="X36" s="312">
        <v>0</v>
      </c>
      <c r="Y36" s="312">
        <v>0</v>
      </c>
      <c r="Z36" s="159">
        <v>0</v>
      </c>
      <c r="AA36" s="118"/>
      <c r="AC36" s="269" t="s">
        <v>194</v>
      </c>
      <c r="AD36" s="312">
        <v>5.4541739041584565</v>
      </c>
      <c r="AE36" s="312">
        <v>1.12</v>
      </c>
      <c r="AF36" s="159">
        <v>6.108674772657476</v>
      </c>
      <c r="AH36" s="5"/>
      <c r="AI36" s="5"/>
      <c r="AJ36" s="5"/>
      <c r="AO36" s="5"/>
      <c r="AP36" s="150">
        <v>8819.103428069147</v>
      </c>
      <c r="AQ36" s="150">
        <v>10089.686492821565</v>
      </c>
      <c r="AR36" s="150">
        <v>14590.184588338707</v>
      </c>
      <c r="AS36" s="150">
        <v>17144.096103135074</v>
      </c>
      <c r="AT36" s="273">
        <v>470</v>
      </c>
      <c r="AU36" s="273">
        <f>('Cost-Effectiveness'!$B$3*AP36)+('Cost-Effectiveness'!$C$3*AQ36)+('Cost-Effectiveness'!$D$3*AR36)+('Cost-Effectiveness'!$E$3*AS36)</f>
        <v>17144.096103135074</v>
      </c>
      <c r="AV36" s="270"/>
      <c r="AW36" s="141"/>
      <c r="AX36" s="150">
        <v>6797.949018458835</v>
      </c>
      <c r="AY36" s="150">
        <v>7813.214181072371</v>
      </c>
      <c r="AZ36" s="150">
        <v>11780.691473776737</v>
      </c>
      <c r="BA36" s="150">
        <v>14066.334602988574</v>
      </c>
      <c r="BB36" s="273">
        <v>470</v>
      </c>
      <c r="BC36" s="273">
        <f>('Cost-Effectiveness'!$B$3*AX36)+('Cost-Effectiveness'!$C$3*AY36)+('Cost-Effectiveness'!$D$3*AZ36)+('Cost-Effectiveness'!$E$3*BA36)</f>
        <v>14066.334602988574</v>
      </c>
      <c r="BD36" s="141"/>
      <c r="BE36" s="141"/>
      <c r="BF36" s="150">
        <v>8051.714034573689</v>
      </c>
      <c r="BG36" s="150">
        <v>9225.139173747437</v>
      </c>
      <c r="BH36" s="150">
        <v>13593.729856431293</v>
      </c>
      <c r="BI36" s="150">
        <v>16025.607969528275</v>
      </c>
      <c r="BJ36" s="273">
        <v>470</v>
      </c>
      <c r="BK36" s="273">
        <f>('Cost-Effectiveness'!$B$3*BF36)+('Cost-Effectiveness'!$C$3*BG36)+('Cost-Effectiveness'!$D$3*BH36)+('Cost-Effectiveness'!$E$3*BI36)</f>
        <v>16025.607969528275</v>
      </c>
    </row>
    <row r="37" spans="1:63" ht="12.75">
      <c r="A37" s="276" t="str">
        <f>'SF Measure Cost'!B31</f>
        <v>WINDOW CL25</v>
      </c>
      <c r="B37" s="277">
        <f>'SF Measure Cost'!C31</f>
        <v>0.24509803921568626</v>
      </c>
      <c r="C37" s="279">
        <f>VLOOKUP($A37,'SF Measure Cost'!$B$4:$I$40,7,0)</f>
        <v>2.727086952079289</v>
      </c>
      <c r="D37" s="283">
        <v>176</v>
      </c>
      <c r="E37" s="283">
        <v>366</v>
      </c>
      <c r="F37" s="283">
        <v>200</v>
      </c>
      <c r="G37" s="278">
        <f t="shared" si="0"/>
        <v>43.13725490196078</v>
      </c>
      <c r="H37" s="278">
        <f t="shared" si="1"/>
        <v>89.70588235294117</v>
      </c>
      <c r="I37" s="278">
        <f t="shared" si="2"/>
        <v>49.01960784313725</v>
      </c>
      <c r="J37" s="278">
        <f t="shared" si="11"/>
        <v>8.42524509803922</v>
      </c>
      <c r="K37" s="278">
        <f t="shared" si="11"/>
        <v>17.520680147058826</v>
      </c>
      <c r="L37" s="278">
        <f t="shared" si="11"/>
        <v>9.574142156862749</v>
      </c>
      <c r="M37" s="280">
        <f t="shared" si="3"/>
        <v>479.96730356595486</v>
      </c>
      <c r="N37" s="280">
        <f t="shared" si="4"/>
        <v>998.1138244610198</v>
      </c>
      <c r="O37" s="280">
        <f t="shared" si="5"/>
        <v>545.4173904158578</v>
      </c>
      <c r="P37"/>
      <c r="Q37" s="269" t="s">
        <v>353</v>
      </c>
      <c r="R37" s="312">
        <v>9.916679825742875</v>
      </c>
      <c r="S37" s="312">
        <v>13.541000000000004</v>
      </c>
      <c r="T37" s="159">
        <v>134.28176152038432</v>
      </c>
      <c r="V37" s="118"/>
      <c r="W37" s="269" t="s">
        <v>353</v>
      </c>
      <c r="X37" s="312">
        <v>9.916679825742879</v>
      </c>
      <c r="Y37" s="312">
        <v>23.342</v>
      </c>
      <c r="Z37" s="159">
        <v>231.47514049249025</v>
      </c>
      <c r="AA37" s="118"/>
      <c r="AC37" s="269" t="s">
        <v>353</v>
      </c>
      <c r="AD37" s="312">
        <v>9.916679825742873</v>
      </c>
      <c r="AE37" s="312">
        <v>19.98700000000001</v>
      </c>
      <c r="AF37" s="159">
        <v>198.2046796771229</v>
      </c>
      <c r="AH37" s="5"/>
      <c r="AI37" s="5"/>
      <c r="AJ37" s="5"/>
      <c r="AO37" s="5"/>
      <c r="AP37" s="150">
        <v>8516.525051274539</v>
      </c>
      <c r="AQ37" s="150">
        <v>9745.736888368005</v>
      </c>
      <c r="AR37" s="150">
        <v>14145.121593905656</v>
      </c>
      <c r="AS37" s="150">
        <v>16628.567242894816</v>
      </c>
      <c r="AT37" s="273">
        <v>460</v>
      </c>
      <c r="AU37" s="273">
        <f>('Cost-Effectiveness'!$B$3*AP37)+('Cost-Effectiveness'!$C$3*AQ37)+('Cost-Effectiveness'!$D$3*AR37)+('Cost-Effectiveness'!$E$3*AS37)</f>
        <v>16628.567242894816</v>
      </c>
      <c r="AV37" s="270"/>
      <c r="AW37" s="141"/>
      <c r="AX37" s="150">
        <v>6529.299736302373</v>
      </c>
      <c r="AY37" s="150">
        <v>7507.061236448872</v>
      </c>
      <c r="AZ37" s="150">
        <v>11373.366539701145</v>
      </c>
      <c r="BA37" s="150">
        <v>13585.965426311164</v>
      </c>
      <c r="BB37" s="273">
        <v>460</v>
      </c>
      <c r="BC37" s="273">
        <f>('Cost-Effectiveness'!$B$3*AX37)+('Cost-Effectiveness'!$C$3*AY37)+('Cost-Effectiveness'!$D$3*AZ37)+('Cost-Effectiveness'!$E$3*BA37)</f>
        <v>13585.965426311164</v>
      </c>
      <c r="BD37" s="141"/>
      <c r="BE37" s="141"/>
      <c r="BF37" s="150">
        <v>7758.980369176678</v>
      </c>
      <c r="BG37" s="150">
        <v>8896.982127160856</v>
      </c>
      <c r="BH37" s="150">
        <v>13156.66569000879</v>
      </c>
      <c r="BI37" s="150">
        <v>15527.746850278347</v>
      </c>
      <c r="BJ37" s="273">
        <v>460</v>
      </c>
      <c r="BK37" s="273">
        <f>('Cost-Effectiveness'!$B$3*BF37)+('Cost-Effectiveness'!$C$3*BG37)+('Cost-Effectiveness'!$D$3*BH37)+('Cost-Effectiveness'!$E$3*BI37)</f>
        <v>15527.746850278347</v>
      </c>
    </row>
    <row r="38" spans="1:63" ht="12.75">
      <c r="A38" s="271" t="str">
        <f>'SF Measure Cost'!B32</f>
        <v>DOOR R2.5</v>
      </c>
      <c r="B38" s="272">
        <f>'SF Measure Cost'!C32</f>
        <v>0.4</v>
      </c>
      <c r="C38" s="274">
        <f>VLOOKUP($A38,'SF Measure Cost'!$B$4:$I$40,7,0)</f>
        <v>0</v>
      </c>
      <c r="D38" s="284">
        <v>38</v>
      </c>
      <c r="E38" s="284">
        <v>55</v>
      </c>
      <c r="F38" s="284">
        <v>89</v>
      </c>
      <c r="G38" s="273">
        <f t="shared" si="0"/>
        <v>15.200000000000001</v>
      </c>
      <c r="H38" s="273">
        <f t="shared" si="1"/>
        <v>22</v>
      </c>
      <c r="I38" s="273">
        <f t="shared" si="2"/>
        <v>35.6</v>
      </c>
      <c r="J38" s="273">
        <v>0</v>
      </c>
      <c r="K38" s="273">
        <v>0</v>
      </c>
      <c r="L38" s="273">
        <v>0</v>
      </c>
      <c r="M38" s="275">
        <f t="shared" si="3"/>
        <v>0</v>
      </c>
      <c r="N38" s="275">
        <f t="shared" si="4"/>
        <v>0</v>
      </c>
      <c r="O38" s="275">
        <f t="shared" si="5"/>
        <v>0</v>
      </c>
      <c r="P38"/>
      <c r="Q38" s="269" t="s">
        <v>179</v>
      </c>
      <c r="R38" s="312">
        <v>10.415360300807185</v>
      </c>
      <c r="S38" s="312">
        <v>8.294875275239036</v>
      </c>
      <c r="T38" s="159">
        <v>86.39411464187174</v>
      </c>
      <c r="V38" s="118"/>
      <c r="W38" s="269" t="s">
        <v>179</v>
      </c>
      <c r="X38" s="312">
        <v>10.415360300807194</v>
      </c>
      <c r="Y38" s="312">
        <v>17.249570174644802</v>
      </c>
      <c r="Z38" s="159">
        <v>179.66048840298328</v>
      </c>
      <c r="AA38" s="118"/>
      <c r="AC38" s="269" t="s">
        <v>179</v>
      </c>
      <c r="AD38" s="312">
        <v>10.415360300807182</v>
      </c>
      <c r="AE38" s="312">
        <v>9.425994630953454</v>
      </c>
      <c r="AF38" s="159">
        <v>98.17513027485425</v>
      </c>
      <c r="AG38" s="119"/>
      <c r="AH38" s="119"/>
      <c r="AI38" s="118"/>
      <c r="AJ38" s="5"/>
      <c r="AO38" s="5"/>
      <c r="AP38" s="150">
        <v>8216.64225021975</v>
      </c>
      <c r="AQ38" s="150">
        <v>9403.252270729563</v>
      </c>
      <c r="AR38" s="150">
        <v>13700.644594198653</v>
      </c>
      <c r="AS38" s="150">
        <v>16114.06387342514</v>
      </c>
      <c r="AT38" s="273">
        <v>450</v>
      </c>
      <c r="AU38" s="273">
        <f>('Cost-Effectiveness'!$B$3*AP38)+('Cost-Effectiveness'!$C$3*AQ38)+('Cost-Effectiveness'!$D$3*AR38)+('Cost-Effectiveness'!$E$3*AS38)</f>
        <v>16114.06387342514</v>
      </c>
      <c r="AV38" s="270"/>
      <c r="AW38" s="141"/>
      <c r="AX38" s="150">
        <v>6262.437738060358</v>
      </c>
      <c r="AY38" s="150">
        <v>7201.933782595957</v>
      </c>
      <c r="AZ38" s="150">
        <v>10969.293876355112</v>
      </c>
      <c r="BA38" s="150">
        <v>13107.002636976267</v>
      </c>
      <c r="BB38" s="273">
        <v>450</v>
      </c>
      <c r="BC38" s="273">
        <f>('Cost-Effectiveness'!$B$3*AX38)+('Cost-Effectiveness'!$C$3*AY38)+('Cost-Effectiveness'!$D$3*AZ38)+('Cost-Effectiveness'!$E$3*BA38)</f>
        <v>13107.002636976267</v>
      </c>
      <c r="BD38" s="141"/>
      <c r="BE38" s="141"/>
      <c r="BF38" s="150">
        <v>7467.828889539995</v>
      </c>
      <c r="BG38" s="150">
        <v>8571.872253149722</v>
      </c>
      <c r="BH38" s="150">
        <v>12720.744213302081</v>
      </c>
      <c r="BI38" s="150">
        <v>15032.639906240845</v>
      </c>
      <c r="BJ38" s="273">
        <v>450</v>
      </c>
      <c r="BK38" s="273">
        <f>('Cost-Effectiveness'!$B$3*BF38)+('Cost-Effectiveness'!$C$3*BG38)+('Cost-Effectiveness'!$D$3*BH38)+('Cost-Effectiveness'!$E$3*BI38)</f>
        <v>15032.639906240845</v>
      </c>
    </row>
    <row r="39" spans="1:63" ht="12.75">
      <c r="A39" s="422" t="str">
        <f>'SF Measure Cost'!B33</f>
        <v>DOOR R5</v>
      </c>
      <c r="B39" s="423">
        <f>'SF Measure Cost'!C33</f>
        <v>0.19</v>
      </c>
      <c r="C39" s="424">
        <f>VLOOKUP($A39,'SF Measure Cost'!$B$4:$I$40,7,0)</f>
        <v>0</v>
      </c>
      <c r="D39" s="428">
        <v>38</v>
      </c>
      <c r="E39" s="428">
        <v>55</v>
      </c>
      <c r="F39" s="428">
        <v>89</v>
      </c>
      <c r="G39" s="426">
        <f t="shared" si="0"/>
        <v>7.22</v>
      </c>
      <c r="H39" s="426">
        <f t="shared" si="1"/>
        <v>10.45</v>
      </c>
      <c r="I39" s="426">
        <f t="shared" si="2"/>
        <v>16.91</v>
      </c>
      <c r="J39" s="426">
        <v>0</v>
      </c>
      <c r="K39" s="426">
        <v>0</v>
      </c>
      <c r="L39" s="426">
        <v>0</v>
      </c>
      <c r="M39" s="427">
        <f t="shared" si="3"/>
        <v>0</v>
      </c>
      <c r="N39" s="427">
        <f t="shared" si="4"/>
        <v>0</v>
      </c>
      <c r="O39" s="427">
        <f t="shared" si="5"/>
        <v>0</v>
      </c>
      <c r="P39"/>
      <c r="Q39" s="269" t="s">
        <v>357</v>
      </c>
      <c r="R39" s="312">
        <v>42.07505583208046</v>
      </c>
      <c r="S39" s="312">
        <v>9.408000000000001</v>
      </c>
      <c r="T39" s="159">
        <v>395.842125268213</v>
      </c>
      <c r="V39" s="118"/>
      <c r="W39" s="269" t="s">
        <v>357</v>
      </c>
      <c r="X39" s="312">
        <v>42.07505583208042</v>
      </c>
      <c r="Y39" s="312">
        <v>12.047000000000011</v>
      </c>
      <c r="Z39" s="159">
        <v>506.87819760907337</v>
      </c>
      <c r="AA39" s="118"/>
      <c r="AC39" s="269" t="s">
        <v>195</v>
      </c>
      <c r="AD39" s="312">
        <v>30.543373863288007</v>
      </c>
      <c r="AE39" s="312">
        <v>8.400000000000006</v>
      </c>
      <c r="AF39" s="159">
        <v>256.56434045161944</v>
      </c>
      <c r="AG39" s="118"/>
      <c r="AH39" s="119"/>
      <c r="AI39" s="119"/>
      <c r="AJ39" s="119"/>
      <c r="AK39" s="118"/>
      <c r="AL39" s="5"/>
      <c r="AP39" s="150">
        <v>7919.191327278055</v>
      </c>
      <c r="AQ39" s="150">
        <v>9062.291239378847</v>
      </c>
      <c r="AR39" s="150">
        <v>13257.105186053326</v>
      </c>
      <c r="AS39" s="150">
        <v>15601.699384705538</v>
      </c>
      <c r="AT39" s="273">
        <v>440</v>
      </c>
      <c r="AU39" s="273">
        <f>('Cost-Effectiveness'!$B$3*AP39)+('Cost-Effectiveness'!$C$3*AQ39)+('Cost-Effectiveness'!$D$3*AR39)+('Cost-Effectiveness'!$E$3*AS39)</f>
        <v>15601.699384705538</v>
      </c>
      <c r="AV39" s="270"/>
      <c r="AW39" s="141"/>
      <c r="AX39" s="150">
        <v>5996.571930852622</v>
      </c>
      <c r="AY39" s="150">
        <v>6901.670084969236</v>
      </c>
      <c r="AZ39" s="150">
        <v>10567.653091122182</v>
      </c>
      <c r="BA39" s="150">
        <v>12630.061529446237</v>
      </c>
      <c r="BB39" s="273">
        <v>440</v>
      </c>
      <c r="BC39" s="273">
        <f>('Cost-Effectiveness'!$B$3*AX39)+('Cost-Effectiveness'!$C$3*AY39)+('Cost-Effectiveness'!$D$3*AZ39)+('Cost-Effectiveness'!$E$3*BA39)</f>
        <v>12630.061529446237</v>
      </c>
      <c r="BD39" s="141"/>
      <c r="BE39" s="141"/>
      <c r="BF39" s="150">
        <v>7178.171696454732</v>
      </c>
      <c r="BG39" s="150">
        <v>8248.813360679755</v>
      </c>
      <c r="BH39" s="150">
        <v>12287.225314972167</v>
      </c>
      <c r="BI39" s="150">
        <v>14539.144447699971</v>
      </c>
      <c r="BJ39" s="273">
        <v>440</v>
      </c>
      <c r="BK39" s="273">
        <f>('Cost-Effectiveness'!$B$3*BF39)+('Cost-Effectiveness'!$C$3*BG39)+('Cost-Effectiveness'!$D$3*BH39)+('Cost-Effectiveness'!$E$3*BI39)</f>
        <v>14539.144447699971</v>
      </c>
    </row>
    <row r="40" spans="1:63" ht="12.75">
      <c r="A40" s="276" t="s">
        <v>220</v>
      </c>
      <c r="B40" s="277">
        <v>0.65</v>
      </c>
      <c r="C40" s="279">
        <v>0</v>
      </c>
      <c r="D40" s="283">
        <v>0</v>
      </c>
      <c r="E40" s="283">
        <v>0</v>
      </c>
      <c r="F40" s="283">
        <v>140</v>
      </c>
      <c r="G40" s="278">
        <f t="shared" si="0"/>
        <v>0</v>
      </c>
      <c r="H40" s="278">
        <f t="shared" si="1"/>
        <v>0</v>
      </c>
      <c r="I40" s="278">
        <f t="shared" si="2"/>
        <v>91</v>
      </c>
      <c r="J40" s="278">
        <v>0</v>
      </c>
      <c r="K40" s="278">
        <v>0</v>
      </c>
      <c r="L40" s="278">
        <v>0</v>
      </c>
      <c r="M40" s="280">
        <f>$C40*D40</f>
        <v>0</v>
      </c>
      <c r="N40" s="280">
        <f>$C40*E40</f>
        <v>0</v>
      </c>
      <c r="O40" s="280">
        <f>$C40*F40</f>
        <v>0</v>
      </c>
      <c r="P40"/>
      <c r="Q40" s="269" t="s">
        <v>184</v>
      </c>
      <c r="R40" s="312">
        <v>46.6083951809915</v>
      </c>
      <c r="S40" s="312">
        <v>10.56</v>
      </c>
      <c r="T40" s="159">
        <v>492.1846531112702</v>
      </c>
      <c r="V40" s="118"/>
      <c r="W40" s="269" t="s">
        <v>184</v>
      </c>
      <c r="X40" s="312">
        <v>46.6083951809915</v>
      </c>
      <c r="Y40" s="312">
        <v>8.822</v>
      </c>
      <c r="Z40" s="159">
        <v>411.179262286707</v>
      </c>
      <c r="AA40" s="118"/>
      <c r="AC40" s="269" t="s">
        <v>403</v>
      </c>
      <c r="AD40" s="312">
        <v>30.63427676169068</v>
      </c>
      <c r="AE40" s="312">
        <v>16.8</v>
      </c>
      <c r="AF40" s="159">
        <v>514.6558495964035</v>
      </c>
      <c r="AG40" s="5"/>
      <c r="AP40" s="150">
        <v>7622.414298271316</v>
      </c>
      <c r="AQ40" s="150">
        <v>8722.677995898037</v>
      </c>
      <c r="AR40" s="150">
        <v>12815.206563140933</v>
      </c>
      <c r="AS40" s="150">
        <v>15091.09288016408</v>
      </c>
      <c r="AT40" s="273">
        <v>430</v>
      </c>
      <c r="AU40" s="273">
        <f>('Cost-Effectiveness'!$B$3*AP40)+('Cost-Effectiveness'!$C$3*AQ40)+('Cost-Effectiveness'!$D$3*AR40)+('Cost-Effectiveness'!$E$3*AS40)</f>
        <v>15091.09288016408</v>
      </c>
      <c r="AV40" s="270"/>
      <c r="AW40" s="141"/>
      <c r="AX40" s="150">
        <v>5733.401699384705</v>
      </c>
      <c r="AY40" s="150">
        <v>6604.863756226195</v>
      </c>
      <c r="AZ40" s="150">
        <v>10169.293876355114</v>
      </c>
      <c r="BA40" s="150">
        <v>12154.819806621741</v>
      </c>
      <c r="BB40" s="273">
        <v>430</v>
      </c>
      <c r="BC40" s="273">
        <f>('Cost-Effectiveness'!$B$3*AX40)+('Cost-Effectiveness'!$C$3*AY40)+('Cost-Effectiveness'!$D$3*AZ40)+('Cost-Effectiveness'!$E$3*BA40)</f>
        <v>12154.819806621741</v>
      </c>
      <c r="BD40" s="141"/>
      <c r="BE40" s="141"/>
      <c r="BF40" s="150">
        <v>6890.155288602403</v>
      </c>
      <c r="BG40" s="150">
        <v>7926.574860826254</v>
      </c>
      <c r="BH40" s="150">
        <v>11855.698798710811</v>
      </c>
      <c r="BI40" s="150">
        <v>14046.9088778201</v>
      </c>
      <c r="BJ40" s="273">
        <v>430</v>
      </c>
      <c r="BK40" s="273">
        <f>('Cost-Effectiveness'!$B$3*BF40)+('Cost-Effectiveness'!$C$3*BG40)+('Cost-Effectiveness'!$D$3*BH40)+('Cost-Effectiveness'!$E$3*BI40)</f>
        <v>14046.9088778201</v>
      </c>
    </row>
    <row r="41" spans="1:63" ht="12.75">
      <c r="A41" s="422" t="str">
        <f>'SF Measure Cost'!B34</f>
        <v>SLAB R10-2FT</v>
      </c>
      <c r="B41" s="423">
        <f>'SF Measure Cost'!C34</f>
        <v>0.54</v>
      </c>
      <c r="C41" s="424">
        <f>VLOOKUP($A41,'SF Measure Cost'!$B$4:$I$40,7,0)</f>
        <v>0</v>
      </c>
      <c r="D41" s="428">
        <v>0</v>
      </c>
      <c r="E41" s="428">
        <v>0</v>
      </c>
      <c r="F41" s="428">
        <v>140</v>
      </c>
      <c r="G41" s="426">
        <f t="shared" si="0"/>
        <v>0</v>
      </c>
      <c r="H41" s="426">
        <f t="shared" si="1"/>
        <v>0</v>
      </c>
      <c r="I41" s="426">
        <f t="shared" si="2"/>
        <v>75.60000000000001</v>
      </c>
      <c r="J41" s="426">
        <v>0</v>
      </c>
      <c r="K41" s="426">
        <v>0</v>
      </c>
      <c r="L41" s="426">
        <v>0</v>
      </c>
      <c r="M41" s="427">
        <f t="shared" si="3"/>
        <v>0</v>
      </c>
      <c r="N41" s="427">
        <f t="shared" si="4"/>
        <v>0</v>
      </c>
      <c r="O41" s="427">
        <f t="shared" si="5"/>
        <v>0</v>
      </c>
      <c r="P41" s="125"/>
      <c r="Q41" s="269" t="s">
        <v>339</v>
      </c>
      <c r="R41" s="312">
        <v>53.74002958307959</v>
      </c>
      <c r="S41" s="312">
        <v>8.359678988326849</v>
      </c>
      <c r="T41" s="159">
        <v>449.2493961377337</v>
      </c>
      <c r="V41" s="118"/>
      <c r="W41" s="269" t="s">
        <v>339</v>
      </c>
      <c r="X41" s="312">
        <v>53.74002958307959</v>
      </c>
      <c r="Y41" s="312">
        <v>17.384332441634243</v>
      </c>
      <c r="Z41" s="159">
        <v>934.2345396955144</v>
      </c>
      <c r="AA41" s="118"/>
      <c r="AC41" s="269" t="s">
        <v>357</v>
      </c>
      <c r="AD41" s="312">
        <v>42.07505583208045</v>
      </c>
      <c r="AE41" s="312">
        <v>0.7280000000000002</v>
      </c>
      <c r="AF41" s="159">
        <v>30.63064064575458</v>
      </c>
      <c r="AG41" s="5"/>
      <c r="AP41" s="150">
        <v>7327.453852915323</v>
      </c>
      <c r="AQ41" s="150">
        <v>8386.082625256373</v>
      </c>
      <c r="AR41" s="150">
        <v>12374.040433636097</v>
      </c>
      <c r="AS41" s="150">
        <v>14582.09786111925</v>
      </c>
      <c r="AT41" s="273">
        <v>420</v>
      </c>
      <c r="AU41" s="273">
        <f>('Cost-Effectiveness'!$B$3*AP41)+('Cost-Effectiveness'!$C$3*AQ41)+('Cost-Effectiveness'!$D$3*AR41)+('Cost-Effectiveness'!$E$3*AS41)</f>
        <v>14582.09786111925</v>
      </c>
      <c r="AV41" s="270"/>
      <c r="AW41" s="141"/>
      <c r="AX41" s="150">
        <v>5472.223849985351</v>
      </c>
      <c r="AY41" s="150">
        <v>6310.723703486669</v>
      </c>
      <c r="AZ41" s="150">
        <v>9772.897743920306</v>
      </c>
      <c r="BA41" s="150">
        <v>11682.94755347202</v>
      </c>
      <c r="BB41" s="273">
        <v>420</v>
      </c>
      <c r="BC41" s="273">
        <f>('Cost-Effectiveness'!$B$3*AX41)+('Cost-Effectiveness'!$C$3*AY41)+('Cost-Effectiveness'!$D$3*AZ41)+('Cost-Effectiveness'!$E$3*BA41)</f>
        <v>11682.94755347202</v>
      </c>
      <c r="BD41" s="141"/>
      <c r="BE41" s="141"/>
      <c r="BF41" s="150">
        <v>6605.4204512159395</v>
      </c>
      <c r="BG41" s="150">
        <v>7607.237034866686</v>
      </c>
      <c r="BH41" s="150">
        <v>11428.772341048933</v>
      </c>
      <c r="BI41" s="150">
        <v>13555.610899501906</v>
      </c>
      <c r="BJ41" s="273">
        <v>420</v>
      </c>
      <c r="BK41" s="273">
        <f>('Cost-Effectiveness'!$B$3*BF41)+('Cost-Effectiveness'!$C$3*BG41)+('Cost-Effectiveness'!$D$3*BH41)+('Cost-Effectiveness'!$E$3*BI41)</f>
        <v>13555.610899501906</v>
      </c>
    </row>
    <row r="42" spans="1:63" ht="12.75">
      <c r="A42" s="276" t="str">
        <f>'SF Measure Cost'!B35</f>
        <v>SLAB R10-4FT</v>
      </c>
      <c r="B42" s="277">
        <f>'SF Measure Cost'!C35</f>
        <v>0.48</v>
      </c>
      <c r="C42" s="279">
        <f>VLOOKUP($A42,'SF Measure Cost'!$B$4:$I$40,7,0)</f>
        <v>1.8326024317972818</v>
      </c>
      <c r="D42" s="283">
        <v>0</v>
      </c>
      <c r="E42" s="283">
        <v>0</v>
      </c>
      <c r="F42" s="283">
        <v>140</v>
      </c>
      <c r="G42" s="278">
        <f t="shared" si="0"/>
        <v>0</v>
      </c>
      <c r="H42" s="278">
        <f t="shared" si="1"/>
        <v>0</v>
      </c>
      <c r="I42" s="278">
        <f t="shared" si="2"/>
        <v>67.2</v>
      </c>
      <c r="J42" s="278">
        <f aca="true" t="shared" si="12" ref="J42:L43">G41-G42</f>
        <v>0</v>
      </c>
      <c r="K42" s="278">
        <f t="shared" si="12"/>
        <v>0</v>
      </c>
      <c r="L42" s="278">
        <f t="shared" si="12"/>
        <v>8.400000000000006</v>
      </c>
      <c r="M42" s="280">
        <f t="shared" si="3"/>
        <v>0</v>
      </c>
      <c r="N42" s="280">
        <f t="shared" si="4"/>
        <v>0</v>
      </c>
      <c r="O42" s="280">
        <f t="shared" si="5"/>
        <v>256.56434045161944</v>
      </c>
      <c r="P42" s="125"/>
      <c r="Q42" s="269" t="s">
        <v>182</v>
      </c>
      <c r="R42" s="312">
        <v>56.96775559415549</v>
      </c>
      <c r="S42" s="312">
        <v>8.42524509803922</v>
      </c>
      <c r="T42" s="159">
        <v>479.96730356595486</v>
      </c>
      <c r="V42" s="118"/>
      <c r="W42" s="269" t="s">
        <v>182</v>
      </c>
      <c r="X42" s="312">
        <v>56.96775559415551</v>
      </c>
      <c r="Y42" s="312">
        <v>17.520680147058826</v>
      </c>
      <c r="Z42" s="159">
        <v>998.1138244610198</v>
      </c>
      <c r="AA42" s="118"/>
      <c r="AC42" s="269" t="s">
        <v>184</v>
      </c>
      <c r="AD42" s="312">
        <v>46.60839518099151</v>
      </c>
      <c r="AE42" s="312">
        <v>13.177999999999997</v>
      </c>
      <c r="AF42" s="159">
        <v>614.205431695106</v>
      </c>
      <c r="AG42" s="5"/>
      <c r="AP42" s="150">
        <v>7034.134192792265</v>
      </c>
      <c r="AQ42" s="150">
        <v>8051.948432464108</v>
      </c>
      <c r="AR42" s="150">
        <v>11933.43099912101</v>
      </c>
      <c r="AS42" s="150">
        <v>14074.567828889541</v>
      </c>
      <c r="AT42" s="273">
        <v>410</v>
      </c>
      <c r="AU42" s="273">
        <f>('Cost-Effectiveness'!$B$3*AP42)+('Cost-Effectiveness'!$C$3*AQ42)+('Cost-Effectiveness'!$D$3*AR42)+('Cost-Effectiveness'!$E$3*AS42)</f>
        <v>14074.567828889541</v>
      </c>
      <c r="AV42" s="270"/>
      <c r="AW42" s="141"/>
      <c r="AX42" s="150">
        <v>5213.477878699092</v>
      </c>
      <c r="AY42" s="150">
        <v>6018.3123351889835</v>
      </c>
      <c r="AZ42" s="150">
        <v>9377.790799882801</v>
      </c>
      <c r="BA42" s="150">
        <v>11214.767067096396</v>
      </c>
      <c r="BB42" s="273">
        <v>410</v>
      </c>
      <c r="BC42" s="273">
        <f>('Cost-Effectiveness'!$B$3*AX42)+('Cost-Effectiveness'!$C$3*AY42)+('Cost-Effectiveness'!$D$3*AZ42)+('Cost-Effectiveness'!$E$3*BA42)</f>
        <v>11214.767067096396</v>
      </c>
      <c r="BD42" s="141"/>
      <c r="BE42" s="141"/>
      <c r="BF42" s="150">
        <v>6322.765895106944</v>
      </c>
      <c r="BG42" s="150">
        <v>7289.188397304425</v>
      </c>
      <c r="BH42" s="150">
        <v>11004.189862291241</v>
      </c>
      <c r="BI42" s="150">
        <v>13065.484910635805</v>
      </c>
      <c r="BJ42" s="273">
        <v>410</v>
      </c>
      <c r="BK42" s="273">
        <f>('Cost-Effectiveness'!$B$3*BF42)+('Cost-Effectiveness'!$C$3*BG42)+('Cost-Effectiveness'!$D$3*BH42)+('Cost-Effectiveness'!$E$3*BI42)</f>
        <v>13065.484910635805</v>
      </c>
    </row>
    <row r="43" spans="1:63" ht="12.75">
      <c r="A43" s="276" t="str">
        <f>'SF Measure Cost'!B36</f>
        <v>SLAB R10-FULL</v>
      </c>
      <c r="B43" s="277">
        <f>'SF Measure Cost'!C36</f>
        <v>0.36</v>
      </c>
      <c r="C43" s="279">
        <f>VLOOKUP($A43,'SF Measure Cost'!$B$4:$I$40,7,0)</f>
        <v>3.6761132114028827</v>
      </c>
      <c r="D43" s="283">
        <v>0</v>
      </c>
      <c r="E43" s="283">
        <v>0</v>
      </c>
      <c r="F43" s="283">
        <v>140</v>
      </c>
      <c r="G43" s="278">
        <f t="shared" si="0"/>
        <v>0</v>
      </c>
      <c r="H43" s="278">
        <f t="shared" si="1"/>
        <v>0</v>
      </c>
      <c r="I43" s="278">
        <f t="shared" si="2"/>
        <v>50.4</v>
      </c>
      <c r="J43" s="278">
        <f t="shared" si="12"/>
        <v>0</v>
      </c>
      <c r="K43" s="278">
        <f t="shared" si="12"/>
        <v>0</v>
      </c>
      <c r="L43" s="278">
        <f t="shared" si="12"/>
        <v>16.800000000000004</v>
      </c>
      <c r="M43" s="280">
        <f t="shared" si="3"/>
        <v>0</v>
      </c>
      <c r="N43" s="280">
        <f t="shared" si="4"/>
        <v>0</v>
      </c>
      <c r="O43" s="280">
        <f t="shared" si="5"/>
        <v>514.6558495964035</v>
      </c>
      <c r="P43" s="125"/>
      <c r="Q43" s="269" t="s">
        <v>332</v>
      </c>
      <c r="R43" s="312">
        <v>63.8917514487147</v>
      </c>
      <c r="S43" s="312">
        <v>2.835</v>
      </c>
      <c r="T43" s="159">
        <v>181.13311535710622</v>
      </c>
      <c r="V43" s="118"/>
      <c r="W43" s="269" t="s">
        <v>332</v>
      </c>
      <c r="X43" s="312">
        <v>63.89175144871472</v>
      </c>
      <c r="Y43" s="312">
        <v>4.788</v>
      </c>
      <c r="Z43" s="159">
        <v>305.9137059364461</v>
      </c>
      <c r="AA43" s="118"/>
      <c r="AC43" s="269" t="s">
        <v>339</v>
      </c>
      <c r="AD43" s="312">
        <v>53.74002958307959</v>
      </c>
      <c r="AE43" s="312">
        <v>9.499635214007782</v>
      </c>
      <c r="AF43" s="159">
        <v>510.51067742924283</v>
      </c>
      <c r="AG43" s="5"/>
      <c r="AP43" s="150">
        <v>6741.869323176092</v>
      </c>
      <c r="AQ43" s="150">
        <v>7718.781130969822</v>
      </c>
      <c r="AR43" s="150">
        <v>11493.876355112805</v>
      </c>
      <c r="AS43" s="150">
        <v>13568.326985057134</v>
      </c>
      <c r="AT43" s="273">
        <v>400</v>
      </c>
      <c r="AU43" s="273">
        <f>('Cost-Effectiveness'!$B$3*AP43)+('Cost-Effectiveness'!$C$3*AQ43)+('Cost-Effectiveness'!$D$3*AR43)+('Cost-Effectiveness'!$E$3*AS43)</f>
        <v>13568.326985057134</v>
      </c>
      <c r="AV43" s="270"/>
      <c r="AW43" s="141"/>
      <c r="AX43" s="150">
        <v>4955.7280984471145</v>
      </c>
      <c r="AY43" s="150">
        <v>5727.365953706417</v>
      </c>
      <c r="AZ43" s="150">
        <v>8985.174333431</v>
      </c>
      <c r="BA43" s="150">
        <v>10751.860533255202</v>
      </c>
      <c r="BB43" s="273">
        <v>400</v>
      </c>
      <c r="BC43" s="273">
        <f>('Cost-Effectiveness'!$B$3*AX43)+('Cost-Effectiveness'!$C$3*AY43)+('Cost-Effectiveness'!$D$3*AZ43)+('Cost-Effectiveness'!$E$3*BA43)</f>
        <v>10751.860533255202</v>
      </c>
      <c r="BD43" s="141"/>
      <c r="BE43" s="141"/>
      <c r="BF43" s="150">
        <v>6043.275710518606</v>
      </c>
      <c r="BG43" s="150">
        <v>6972.780544975095</v>
      </c>
      <c r="BH43" s="150">
        <v>10580.837972458248</v>
      </c>
      <c r="BI43" s="150">
        <v>12577.497802519778</v>
      </c>
      <c r="BJ43" s="273">
        <v>400</v>
      </c>
      <c r="BK43" s="273">
        <f>('Cost-Effectiveness'!$B$3*BF43)+('Cost-Effectiveness'!$C$3*BG43)+('Cost-Effectiveness'!$D$3*BH43)+('Cost-Effectiveness'!$E$3*BI43)</f>
        <v>12577.497802519778</v>
      </c>
    </row>
    <row r="44" spans="1:63" ht="12.75">
      <c r="A44" s="271" t="str">
        <f>'SF Measure Cost'!B37</f>
        <v>BGWALL R11</v>
      </c>
      <c r="B44" s="272">
        <f>'SF Measure Cost'!C37</f>
        <v>0.054</v>
      </c>
      <c r="C44" s="274">
        <f>VLOOKUP($A44,'SF Measure Cost'!$B$4:$I$40,7,0)</f>
        <v>0</v>
      </c>
      <c r="D44" s="284">
        <v>0</v>
      </c>
      <c r="E44" s="284">
        <v>0</v>
      </c>
      <c r="F44" s="284">
        <v>560</v>
      </c>
      <c r="G44" s="273">
        <f t="shared" si="0"/>
        <v>0</v>
      </c>
      <c r="H44" s="273">
        <f t="shared" si="1"/>
        <v>0</v>
      </c>
      <c r="I44" s="273">
        <f t="shared" si="2"/>
        <v>30.24</v>
      </c>
      <c r="J44" s="273">
        <v>0</v>
      </c>
      <c r="K44" s="273">
        <v>0</v>
      </c>
      <c r="L44" s="273">
        <v>0</v>
      </c>
      <c r="M44" s="275">
        <f t="shared" si="3"/>
        <v>0</v>
      </c>
      <c r="N44" s="275">
        <f t="shared" si="4"/>
        <v>0</v>
      </c>
      <c r="O44" s="275">
        <f t="shared" si="5"/>
        <v>0</v>
      </c>
      <c r="P44" s="125"/>
      <c r="Q44" s="269" t="s">
        <v>349</v>
      </c>
      <c r="R44" s="312">
        <v>77.72197813425966</v>
      </c>
      <c r="S44" s="312">
        <v>9.848000000000006</v>
      </c>
      <c r="T44" s="159">
        <v>765.4060406661896</v>
      </c>
      <c r="V44" s="118"/>
      <c r="W44" s="269" t="s">
        <v>349</v>
      </c>
      <c r="X44" s="312">
        <v>77.72197813425973</v>
      </c>
      <c r="Y44" s="312">
        <v>16.976</v>
      </c>
      <c r="Z44" s="159">
        <v>1319.408300807193</v>
      </c>
      <c r="AA44" s="118"/>
      <c r="AC44" s="269" t="s">
        <v>182</v>
      </c>
      <c r="AD44" s="312">
        <v>56.96775559415549</v>
      </c>
      <c r="AE44" s="312">
        <v>9.574142156862749</v>
      </c>
      <c r="AF44" s="159">
        <v>545.4173904158578</v>
      </c>
      <c r="AG44" s="5"/>
      <c r="AP44" s="150">
        <v>6450.8350424846185</v>
      </c>
      <c r="AQ44" s="150">
        <v>7387.078816290654</v>
      </c>
      <c r="AR44" s="150">
        <v>11055.259302666276</v>
      </c>
      <c r="AS44" s="150">
        <v>13064.459419865221</v>
      </c>
      <c r="AT44" s="273">
        <v>390</v>
      </c>
      <c r="AU44" s="273">
        <f>('Cost-Effectiveness'!$B$3*AP44)+('Cost-Effectiveness'!$C$3*AQ44)+('Cost-Effectiveness'!$D$3*AR44)+('Cost-Effectiveness'!$E$3*AS44)</f>
        <v>13064.459419865221</v>
      </c>
      <c r="AV44" s="270"/>
      <c r="AW44" s="141"/>
      <c r="AX44" s="150">
        <v>4699.589803691767</v>
      </c>
      <c r="AY44" s="150">
        <v>5437.5329622033405</v>
      </c>
      <c r="AZ44" s="150">
        <v>8593.70055669499</v>
      </c>
      <c r="BA44" s="150">
        <v>10291.649575153824</v>
      </c>
      <c r="BB44" s="273">
        <v>390</v>
      </c>
      <c r="BC44" s="273">
        <f>('Cost-Effectiveness'!$B$3*AX44)+('Cost-Effectiveness'!$C$3*AY44)+('Cost-Effectiveness'!$D$3*AZ44)+('Cost-Effectiveness'!$E$3*BA44)</f>
        <v>10291.649575153824</v>
      </c>
      <c r="BD44" s="141"/>
      <c r="BE44" s="141"/>
      <c r="BF44" s="150">
        <v>5763.990624084384</v>
      </c>
      <c r="BG44" s="150">
        <v>6656.812188690303</v>
      </c>
      <c r="BH44" s="150">
        <v>10158.335774978026</v>
      </c>
      <c r="BI44" s="150">
        <v>12094.520949311456</v>
      </c>
      <c r="BJ44" s="273">
        <v>390</v>
      </c>
      <c r="BK44" s="273">
        <f>('Cost-Effectiveness'!$B$3*BF44)+('Cost-Effectiveness'!$C$3*BG44)+('Cost-Effectiveness'!$D$3*BH44)+('Cost-Effectiveness'!$E$3*BI44)</f>
        <v>12094.520949311456</v>
      </c>
    </row>
    <row r="45" spans="1:63" ht="12.75">
      <c r="A45" s="271" t="str">
        <f>'SF Measure Cost'!B38</f>
        <v>BGWALL R19</v>
      </c>
      <c r="B45" s="272">
        <f>'SF Measure Cost'!C38</f>
        <v>0.037</v>
      </c>
      <c r="C45" s="274">
        <f>VLOOKUP($A45,'SF Measure Cost'!$B$4:$I$40,7,0)</f>
        <v>0</v>
      </c>
      <c r="D45" s="284">
        <v>0</v>
      </c>
      <c r="E45" s="284">
        <v>0</v>
      </c>
      <c r="F45" s="284">
        <v>560</v>
      </c>
      <c r="G45" s="273">
        <f t="shared" si="0"/>
        <v>0</v>
      </c>
      <c r="H45" s="273">
        <f t="shared" si="1"/>
        <v>0</v>
      </c>
      <c r="I45" s="273">
        <f t="shared" si="2"/>
        <v>20.72</v>
      </c>
      <c r="J45" s="273">
        <v>0</v>
      </c>
      <c r="K45" s="273">
        <v>0</v>
      </c>
      <c r="L45" s="273">
        <v>0</v>
      </c>
      <c r="M45" s="275">
        <f t="shared" si="3"/>
        <v>0</v>
      </c>
      <c r="N45" s="275">
        <f t="shared" si="4"/>
        <v>0</v>
      </c>
      <c r="O45" s="275">
        <f t="shared" si="5"/>
        <v>0</v>
      </c>
      <c r="P45" s="119"/>
      <c r="Q45" s="269" t="s">
        <v>188</v>
      </c>
      <c r="R45" s="312">
        <v>94.53901433874877</v>
      </c>
      <c r="S45" s="312">
        <v>11.078999999999986</v>
      </c>
      <c r="T45" s="159">
        <v>1047.3977398589964</v>
      </c>
      <c r="V45" s="118"/>
      <c r="W45" s="269" t="s">
        <v>188</v>
      </c>
      <c r="X45" s="312">
        <v>94.53901433874874</v>
      </c>
      <c r="Y45" s="312">
        <v>19.097999999999985</v>
      </c>
      <c r="Z45" s="159">
        <v>1805.506095841422</v>
      </c>
      <c r="AA45" s="118"/>
      <c r="AC45" s="269" t="s">
        <v>349</v>
      </c>
      <c r="AD45" s="312">
        <v>77.72197813425979</v>
      </c>
      <c r="AE45" s="312">
        <v>14.535999999999987</v>
      </c>
      <c r="AF45" s="159">
        <v>1129.7666741595992</v>
      </c>
      <c r="AG45" s="115"/>
      <c r="AP45" s="150">
        <v>6163.404629358336</v>
      </c>
      <c r="AQ45" s="150">
        <v>7057.808379724583</v>
      </c>
      <c r="AR45" s="150">
        <v>10617.87283914445</v>
      </c>
      <c r="AS45" s="150">
        <v>12561.96894227952</v>
      </c>
      <c r="AT45" s="273">
        <v>380</v>
      </c>
      <c r="AU45" s="273">
        <f>('Cost-Effectiveness'!$B$3*AP45)+('Cost-Effectiveness'!$C$3*AQ45)+('Cost-Effectiveness'!$D$3*AR45)+('Cost-Effectiveness'!$E$3*AS45)</f>
        <v>12561.96894227952</v>
      </c>
      <c r="AV45" s="270"/>
      <c r="AW45" s="141"/>
      <c r="AX45" s="150">
        <v>4444.330501025491</v>
      </c>
      <c r="AY45" s="150">
        <v>5150.131848813361</v>
      </c>
      <c r="AZ45" s="150">
        <v>8204.775857017288</v>
      </c>
      <c r="BA45" s="150">
        <v>9834.925285672429</v>
      </c>
      <c r="BB45" s="273">
        <v>380</v>
      </c>
      <c r="BC45" s="273">
        <f>('Cost-Effectiveness'!$B$3*AX45)+('Cost-Effectiveness'!$C$3*AY45)+('Cost-Effectiveness'!$D$3*AZ45)+('Cost-Effectiveness'!$E$3*BA45)</f>
        <v>9834.925285672429</v>
      </c>
      <c r="BD45" s="141"/>
      <c r="BE45" s="141"/>
      <c r="BF45" s="150">
        <v>5485.672428948139</v>
      </c>
      <c r="BG45" s="150">
        <v>6344.389100498096</v>
      </c>
      <c r="BH45" s="150">
        <v>9736.829768532085</v>
      </c>
      <c r="BI45" s="150">
        <v>11616.0269557574</v>
      </c>
      <c r="BJ45" s="273">
        <v>380</v>
      </c>
      <c r="BK45" s="273">
        <f>('Cost-Effectiveness'!$B$3*BF45)+('Cost-Effectiveness'!$C$3*BG45)+('Cost-Effectiveness'!$D$3*BH45)+('Cost-Effectiveness'!$E$3*BI45)</f>
        <v>11616.0269557574</v>
      </c>
    </row>
    <row r="46" spans="1:63" ht="12.75">
      <c r="A46" s="422" t="str">
        <f>'SF Measure Cost'!B39</f>
        <v>BGWALL R21</v>
      </c>
      <c r="B46" s="423">
        <f>'SF Measure Cost'!C39</f>
        <v>0.034</v>
      </c>
      <c r="C46" s="424">
        <f>VLOOKUP($A46,'SF Measure Cost'!$B$4:$I$40,7,0)</f>
        <v>0</v>
      </c>
      <c r="D46" s="428">
        <v>0</v>
      </c>
      <c r="E46" s="428">
        <v>0</v>
      </c>
      <c r="F46" s="428">
        <v>560</v>
      </c>
      <c r="G46" s="426">
        <f t="shared" si="0"/>
        <v>0</v>
      </c>
      <c r="H46" s="426">
        <f t="shared" si="1"/>
        <v>0</v>
      </c>
      <c r="I46" s="426">
        <f t="shared" si="2"/>
        <v>19.040000000000003</v>
      </c>
      <c r="J46" s="426">
        <v>0</v>
      </c>
      <c r="K46" s="426">
        <v>0</v>
      </c>
      <c r="L46" s="426">
        <v>0</v>
      </c>
      <c r="M46" s="427">
        <f t="shared" si="3"/>
        <v>0</v>
      </c>
      <c r="N46" s="427">
        <f t="shared" si="4"/>
        <v>0</v>
      </c>
      <c r="O46" s="427">
        <f t="shared" si="5"/>
        <v>0</v>
      </c>
      <c r="P46" s="119"/>
      <c r="Q46" s="269" t="s">
        <v>186</v>
      </c>
      <c r="R46" s="312">
        <v>98.17513027485445</v>
      </c>
      <c r="S46" s="312">
        <v>2.88</v>
      </c>
      <c r="T46" s="159">
        <v>282.74437519158073</v>
      </c>
      <c r="V46" s="118"/>
      <c r="W46" s="269" t="s">
        <v>186</v>
      </c>
      <c r="X46" s="312">
        <v>98.17513027485447</v>
      </c>
      <c r="Y46" s="312">
        <v>2.405999999999999</v>
      </c>
      <c r="Z46" s="159">
        <v>236.20936344129973</v>
      </c>
      <c r="AA46" s="118"/>
      <c r="AC46" s="269" t="s">
        <v>188</v>
      </c>
      <c r="AD46" s="312">
        <v>94.53901433874869</v>
      </c>
      <c r="AE46" s="312">
        <v>16.352999999999994</v>
      </c>
      <c r="AF46" s="159">
        <v>1545.9965014815568</v>
      </c>
      <c r="AP46" s="150">
        <v>5876.911807793731</v>
      </c>
      <c r="AQ46" s="150">
        <v>6729.944330501025</v>
      </c>
      <c r="AR46" s="150">
        <v>10182.918253735717</v>
      </c>
      <c r="AS46" s="150">
        <v>12061.646645180195</v>
      </c>
      <c r="AT46" s="273">
        <v>370</v>
      </c>
      <c r="AU46" s="273">
        <f>('Cost-Effectiveness'!$B$3*AP46)+('Cost-Effectiveness'!$C$3*AQ46)+('Cost-Effectiveness'!$D$3*AR46)+('Cost-Effectiveness'!$E$3*AS46)</f>
        <v>12061.646645180195</v>
      </c>
      <c r="AV46" s="270"/>
      <c r="AW46" s="141"/>
      <c r="AX46" s="150">
        <v>4190.565484910636</v>
      </c>
      <c r="AY46" s="150">
        <v>4866.276003515968</v>
      </c>
      <c r="AZ46" s="150">
        <v>7820.392616466453</v>
      </c>
      <c r="BA46" s="150">
        <v>9381.59976560211</v>
      </c>
      <c r="BB46" s="273">
        <v>370</v>
      </c>
      <c r="BC46" s="273">
        <f>('Cost-Effectiveness'!$B$3*AX46)+('Cost-Effectiveness'!$C$3*AY46)+('Cost-Effectiveness'!$D$3*AZ46)+('Cost-Effectiveness'!$E$3*BA46)</f>
        <v>9381.59976560211</v>
      </c>
      <c r="BD46" s="141"/>
      <c r="BE46" s="141"/>
      <c r="BF46" s="150">
        <v>5213.624377380604</v>
      </c>
      <c r="BG46" s="150">
        <v>6034.6615880457075</v>
      </c>
      <c r="BH46" s="150">
        <v>9316.935247582773</v>
      </c>
      <c r="BI46" s="150">
        <v>11139.408145326694</v>
      </c>
      <c r="BJ46" s="273">
        <v>370</v>
      </c>
      <c r="BK46" s="273">
        <f>('Cost-Effectiveness'!$B$3*BF46)+('Cost-Effectiveness'!$C$3*BG46)+('Cost-Effectiveness'!$D$3*BH46)+('Cost-Effectiveness'!$E$3*BI46)</f>
        <v>11139.408145326694</v>
      </c>
    </row>
    <row r="47" spans="1:63" ht="12.75">
      <c r="A47" s="271" t="str">
        <f>'SF Measure Cost'!B40</f>
        <v>BGWALL R22 FOAM BLOCK</v>
      </c>
      <c r="B47" s="272">
        <f>'SF Measure Cost'!C40</f>
        <v>0.032</v>
      </c>
      <c r="C47" s="274">
        <f>VLOOKUP($A47,'SF Measure Cost'!$B$4:$I$40,7,0)</f>
        <v>0.010908347808316923</v>
      </c>
      <c r="D47" s="284">
        <v>0</v>
      </c>
      <c r="E47" s="284">
        <v>0</v>
      </c>
      <c r="F47" s="284">
        <v>560</v>
      </c>
      <c r="G47" s="273">
        <f t="shared" si="0"/>
        <v>0</v>
      </c>
      <c r="H47" s="273">
        <f t="shared" si="1"/>
        <v>0</v>
      </c>
      <c r="I47" s="273">
        <f t="shared" si="2"/>
        <v>17.92</v>
      </c>
      <c r="J47" s="273">
        <f>G46-G47</f>
        <v>0</v>
      </c>
      <c r="K47" s="273">
        <f>H46-H47</f>
        <v>0</v>
      </c>
      <c r="L47" s="273">
        <f>I46-I47</f>
        <v>1.120000000000001</v>
      </c>
      <c r="M47" s="275">
        <f t="shared" si="3"/>
        <v>0</v>
      </c>
      <c r="N47" s="275">
        <f t="shared" si="4"/>
        <v>0</v>
      </c>
      <c r="O47" s="275">
        <f t="shared" si="5"/>
        <v>6.108674772657476</v>
      </c>
      <c r="P47" s="5"/>
      <c r="Q47" s="269" t="s">
        <v>350</v>
      </c>
      <c r="R47" s="312">
        <v>436.33391233268605</v>
      </c>
      <c r="S47" s="312">
        <v>1.2310000000000016</v>
      </c>
      <c r="T47" s="159">
        <v>537.1270460815373</v>
      </c>
      <c r="V47" s="118"/>
      <c r="W47" s="269" t="s">
        <v>350</v>
      </c>
      <c r="X47" s="312">
        <v>436.3339123326837</v>
      </c>
      <c r="Y47" s="312">
        <v>2.122000000000014</v>
      </c>
      <c r="Z47" s="159">
        <v>925.900561969961</v>
      </c>
      <c r="AA47" s="118"/>
      <c r="AC47" s="269" t="s">
        <v>186</v>
      </c>
      <c r="AD47" s="312">
        <v>98.17513027485448</v>
      </c>
      <c r="AE47" s="312">
        <v>3.5939999999999976</v>
      </c>
      <c r="AF47" s="159">
        <v>352.8414182078268</v>
      </c>
      <c r="AP47" s="150">
        <v>5591.678874890126</v>
      </c>
      <c r="AQ47" s="150">
        <v>6404.336360972751</v>
      </c>
      <c r="AR47" s="150">
        <v>9748.98915909757</v>
      </c>
      <c r="AS47" s="150">
        <v>11561.148549663052</v>
      </c>
      <c r="AT47" s="273">
        <v>360</v>
      </c>
      <c r="AU47" s="273">
        <f>('Cost-Effectiveness'!$B$3*AP47)+('Cost-Effectiveness'!$C$3*AQ47)+('Cost-Effectiveness'!$D$3*AR47)+('Cost-Effectiveness'!$E$3*AS47)</f>
        <v>11561.148549663052</v>
      </c>
      <c r="AV47" s="270"/>
      <c r="AW47" s="141"/>
      <c r="AX47" s="150">
        <v>3939.6132434808087</v>
      </c>
      <c r="AY47" s="150">
        <v>4583.416349252857</v>
      </c>
      <c r="AZ47" s="150">
        <v>7441.429827131556</v>
      </c>
      <c r="BA47" s="150">
        <v>8935.628479343686</v>
      </c>
      <c r="BB47" s="273">
        <v>360</v>
      </c>
      <c r="BC47" s="273">
        <f>('Cost-Effectiveness'!$B$3*AX47)+('Cost-Effectiveness'!$C$3*AY47)+('Cost-Effectiveness'!$D$3*AZ47)+('Cost-Effectiveness'!$E$3*BA47)</f>
        <v>8935.628479343686</v>
      </c>
      <c r="BD47" s="141"/>
      <c r="BE47" s="141"/>
      <c r="BF47" s="150">
        <v>4944.769997070027</v>
      </c>
      <c r="BG47" s="150">
        <v>5726.867858189276</v>
      </c>
      <c r="BH47" s="150">
        <v>8900.117198945209</v>
      </c>
      <c r="BI47" s="150">
        <v>10664.723117491942</v>
      </c>
      <c r="BJ47" s="273">
        <v>360</v>
      </c>
      <c r="BK47" s="273">
        <f>('Cost-Effectiveness'!$B$3*BF47)+('Cost-Effectiveness'!$C$3*BG47)+('Cost-Effectiveness'!$D$3*BH47)+('Cost-Effectiveness'!$E$3*BI47)</f>
        <v>10664.723117491942</v>
      </c>
    </row>
    <row r="48" spans="1:63" ht="12.75">
      <c r="A48" s="422" t="s">
        <v>224</v>
      </c>
      <c r="B48" s="423">
        <f>0.35*0.018</f>
        <v>0.006299999999999999</v>
      </c>
      <c r="C48" s="424">
        <v>0</v>
      </c>
      <c r="D48" s="428">
        <f>8*1344</f>
        <v>10752</v>
      </c>
      <c r="E48" s="428">
        <f>8*2200</f>
        <v>17600</v>
      </c>
      <c r="F48" s="428">
        <f>8*2283</f>
        <v>18264</v>
      </c>
      <c r="G48" s="426">
        <f t="shared" si="0"/>
        <v>67.73759999999999</v>
      </c>
      <c r="H48" s="426">
        <f t="shared" si="1"/>
        <v>110.87999999999998</v>
      </c>
      <c r="I48" s="426">
        <f t="shared" si="2"/>
        <v>115.06319999999998</v>
      </c>
      <c r="J48" s="426">
        <v>0</v>
      </c>
      <c r="K48" s="426">
        <v>0</v>
      </c>
      <c r="L48" s="426">
        <v>0</v>
      </c>
      <c r="M48" s="427">
        <f t="shared" si="3"/>
        <v>0</v>
      </c>
      <c r="N48" s="427">
        <f t="shared" si="4"/>
        <v>0</v>
      </c>
      <c r="O48" s="427">
        <f t="shared" si="5"/>
        <v>0</v>
      </c>
      <c r="P48" s="5"/>
      <c r="Q48" s="269" t="s">
        <v>185</v>
      </c>
      <c r="R48" s="312">
        <v>1559.893736589349</v>
      </c>
      <c r="S48" s="312">
        <v>0.40500000000000114</v>
      </c>
      <c r="T48" s="159">
        <v>631.7569633186881</v>
      </c>
      <c r="V48" s="118"/>
      <c r="W48" s="269" t="s">
        <v>185</v>
      </c>
      <c r="X48" s="312">
        <v>1559.893736589351</v>
      </c>
      <c r="Y48" s="312">
        <v>0.684000000000001</v>
      </c>
      <c r="Z48" s="159">
        <v>1066.9673158271178</v>
      </c>
      <c r="AA48" s="118"/>
      <c r="AC48" s="269" t="s">
        <v>350</v>
      </c>
      <c r="AD48" s="312">
        <v>436.33391233268657</v>
      </c>
      <c r="AE48" s="312">
        <v>1.8170000000000002</v>
      </c>
      <c r="AF48" s="159">
        <v>792.8187187084916</v>
      </c>
      <c r="AG48" s="128"/>
      <c r="AH48" s="128"/>
      <c r="AP48" s="150">
        <v>5307.8816290653385</v>
      </c>
      <c r="AQ48" s="150">
        <v>6080.808672721945</v>
      </c>
      <c r="AR48" s="150">
        <v>9317.228244945796</v>
      </c>
      <c r="AS48" s="150">
        <v>11061.617345443892</v>
      </c>
      <c r="AT48" s="273">
        <v>350</v>
      </c>
      <c r="AU48" s="273">
        <f>('Cost-Effectiveness'!$B$3*AP48)+('Cost-Effectiveness'!$C$3*AQ48)+('Cost-Effectiveness'!$D$3*AR48)+('Cost-Effectiveness'!$E$3*AS48)</f>
        <v>11061.617345443892</v>
      </c>
      <c r="AV48" s="270"/>
      <c r="AW48" s="141"/>
      <c r="AX48" s="150">
        <v>3690.74128332845</v>
      </c>
      <c r="AY48" s="150">
        <v>4303.662467037797</v>
      </c>
      <c r="AZ48" s="150">
        <v>7067.096396132435</v>
      </c>
      <c r="BA48" s="150">
        <v>8493.70055669499</v>
      </c>
      <c r="BB48" s="273">
        <v>350</v>
      </c>
      <c r="BC48" s="273">
        <f>('Cost-Effectiveness'!$B$3*AX48)+('Cost-Effectiveness'!$C$3*AY48)+('Cost-Effectiveness'!$D$3*AZ48)+('Cost-Effectiveness'!$E$3*BA48)</f>
        <v>8493.70055669499</v>
      </c>
      <c r="BD48" s="141"/>
      <c r="BE48" s="141"/>
      <c r="BF48" s="150">
        <v>4676.706709639614</v>
      </c>
      <c r="BG48" s="150">
        <v>5419.98242015822</v>
      </c>
      <c r="BH48" s="150">
        <v>8486.580720773514</v>
      </c>
      <c r="BI48" s="150">
        <v>10192.821564605918</v>
      </c>
      <c r="BJ48" s="273">
        <v>350</v>
      </c>
      <c r="BK48" s="273">
        <f>('Cost-Effectiveness'!$B$3*BF48)+('Cost-Effectiveness'!$C$3*BG48)+('Cost-Effectiveness'!$D$3*BH48)+('Cost-Effectiveness'!$E$3*BI48)</f>
        <v>10192.821564605918</v>
      </c>
    </row>
    <row r="49" spans="1:63" ht="13.5" thickBot="1">
      <c r="A49" s="121"/>
      <c r="B49" s="116"/>
      <c r="C49" s="127"/>
      <c r="D49" s="127"/>
      <c r="E49" s="124"/>
      <c r="F49" s="119"/>
      <c r="G49" s="119"/>
      <c r="H49" s="119"/>
      <c r="I49" s="119"/>
      <c r="J49" s="119"/>
      <c r="K49" s="119"/>
      <c r="L49" s="207"/>
      <c r="M49" s="118"/>
      <c r="N49" s="118"/>
      <c r="O49" s="118"/>
      <c r="P49" s="5"/>
      <c r="Q49" s="128"/>
      <c r="W49" s="128"/>
      <c r="X49" s="128"/>
      <c r="Y49" s="128"/>
      <c r="Z49" s="128"/>
      <c r="AA49" s="128"/>
      <c r="AB49" s="128"/>
      <c r="AC49" s="132"/>
      <c r="AD49" s="128"/>
      <c r="AE49" s="128"/>
      <c r="AF49" s="128"/>
      <c r="AG49" s="128"/>
      <c r="AH49" s="128"/>
      <c r="AP49" s="150">
        <v>5026.223263990624</v>
      </c>
      <c r="AQ49" s="150">
        <v>5760.914151772635</v>
      </c>
      <c r="AR49" s="150">
        <v>8889.217697040727</v>
      </c>
      <c r="AS49" s="150">
        <v>10566.451801933785</v>
      </c>
      <c r="AT49" s="273">
        <v>340</v>
      </c>
      <c r="AU49" s="273">
        <f>('Cost-Effectiveness'!$B$3*AP49)+('Cost-Effectiveness'!$C$3*AQ49)+('Cost-Effectiveness'!$D$3*AR49)+('Cost-Effectiveness'!$E$3*AS49)</f>
        <v>10566.451801933785</v>
      </c>
      <c r="AV49" s="270"/>
      <c r="AW49" s="141"/>
      <c r="AX49" s="150">
        <v>3447.348373864635</v>
      </c>
      <c r="AY49" s="150">
        <v>4025.7544682097864</v>
      </c>
      <c r="AZ49" s="150">
        <v>6694.667447992969</v>
      </c>
      <c r="BA49" s="150">
        <v>8053.970114268972</v>
      </c>
      <c r="BB49" s="273">
        <v>340</v>
      </c>
      <c r="BC49" s="273">
        <f>('Cost-Effectiveness'!$B$3*AX49)+('Cost-Effectiveness'!$C$3*AY49)+('Cost-Effectiveness'!$D$3*AZ49)+('Cost-Effectiveness'!$E$3*BA49)</f>
        <v>8053.970114268972</v>
      </c>
      <c r="BD49" s="141"/>
      <c r="BE49" s="141"/>
      <c r="BF49" s="150">
        <v>4408.731321418108</v>
      </c>
      <c r="BG49" s="150">
        <v>5114.093173161442</v>
      </c>
      <c r="BH49" s="150">
        <v>8076.41371227659</v>
      </c>
      <c r="BI49" s="150">
        <v>9721.623205391152</v>
      </c>
      <c r="BJ49" s="273">
        <v>340</v>
      </c>
      <c r="BK49" s="273">
        <f>('Cost-Effectiveness'!$B$3*BF49)+('Cost-Effectiveness'!$C$3*BG49)+('Cost-Effectiveness'!$D$3*BH49)+('Cost-Effectiveness'!$E$3*BI49)</f>
        <v>9721.623205391152</v>
      </c>
    </row>
    <row r="50" spans="1:63" ht="13.5" thickBot="1">
      <c r="A50" s="429" t="s">
        <v>404</v>
      </c>
      <c r="B50" s="116"/>
      <c r="C50" s="127"/>
      <c r="D50" s="127"/>
      <c r="E50" s="124"/>
      <c r="F50" s="119"/>
      <c r="G50" s="119">
        <f>G7+G15+G20+G25+G28+G34+G39+G41+G46+G48</f>
        <v>302.0026542635659</v>
      </c>
      <c r="H50" s="119">
        <f>H7+H15+H20+H25+H28+H34+H39+H41+H46+H48</f>
        <v>492.78146511627904</v>
      </c>
      <c r="I50" s="119">
        <f>I7+I15+I20+I25+I28+I34+I39+I41+I46+I48</f>
        <v>473.7055798449613</v>
      </c>
      <c r="J50" s="119"/>
      <c r="K50" s="119"/>
      <c r="L50" s="207"/>
      <c r="M50" s="118"/>
      <c r="N50" s="118"/>
      <c r="O50" s="118"/>
      <c r="P50" s="5"/>
      <c r="Q50" s="128" t="s">
        <v>225</v>
      </c>
      <c r="W50" s="128" t="s">
        <v>226</v>
      </c>
      <c r="X50" s="128"/>
      <c r="Y50" s="128"/>
      <c r="Z50" s="128"/>
      <c r="AA50" s="128"/>
      <c r="AB50" s="128"/>
      <c r="AC50" s="132" t="s">
        <v>227</v>
      </c>
      <c r="AD50" s="128"/>
      <c r="AE50" s="128"/>
      <c r="AF50" s="128"/>
      <c r="AG50" s="128"/>
      <c r="AH50" s="128"/>
      <c r="AP50" s="150">
        <v>4746.9088778201</v>
      </c>
      <c r="AQ50" s="150">
        <v>5444.56489891591</v>
      </c>
      <c r="AR50" s="150">
        <v>8465.250512745386</v>
      </c>
      <c r="AS50" s="150">
        <v>10074.011133899796</v>
      </c>
      <c r="AT50" s="273">
        <v>330</v>
      </c>
      <c r="AU50" s="273">
        <f>('Cost-Effectiveness'!$B$3*AP50)+('Cost-Effectiveness'!$C$3*AQ50)+('Cost-Effectiveness'!$D$3*AR50)+('Cost-Effectiveness'!$E$3*AS50)</f>
        <v>10074.011133899796</v>
      </c>
      <c r="AV50" s="270"/>
      <c r="AW50" s="141"/>
      <c r="AX50" s="150">
        <v>3210.2256079695285</v>
      </c>
      <c r="AY50" s="150">
        <v>3752.9446234983884</v>
      </c>
      <c r="AZ50" s="150">
        <v>6324.4359800761795</v>
      </c>
      <c r="BA50" s="150">
        <v>7614.532669205978</v>
      </c>
      <c r="BB50" s="273">
        <v>330</v>
      </c>
      <c r="BC50" s="273">
        <f>('Cost-Effectiveness'!$B$3*AX50)+('Cost-Effectiveness'!$C$3*AY50)+('Cost-Effectiveness'!$D$3*AZ50)+('Cost-Effectiveness'!$E$3*BA50)</f>
        <v>7614.532669205978</v>
      </c>
      <c r="BD50" s="141"/>
      <c r="BE50" s="141"/>
      <c r="BF50" s="150">
        <v>4141.517726340463</v>
      </c>
      <c r="BG50" s="150">
        <v>4812.950483445648</v>
      </c>
      <c r="BH50" s="150">
        <v>7667.242894813947</v>
      </c>
      <c r="BI50" s="150">
        <v>9250.835042484618</v>
      </c>
      <c r="BJ50" s="273">
        <v>330</v>
      </c>
      <c r="BK50" s="273">
        <f>('Cost-Effectiveness'!$B$3*BF50)+('Cost-Effectiveness'!$C$3*BG50)+('Cost-Effectiveness'!$D$3*BH50)+('Cost-Effectiveness'!$E$3*BI50)</f>
        <v>9250.835042484618</v>
      </c>
    </row>
    <row r="51" spans="1:63" ht="23.25" customHeight="1">
      <c r="A51" s="121"/>
      <c r="B51" s="116"/>
      <c r="C51" s="127"/>
      <c r="D51" s="127"/>
      <c r="E51" s="124"/>
      <c r="F51" s="119"/>
      <c r="G51" s="119"/>
      <c r="K51" s="119"/>
      <c r="L51" s="207"/>
      <c r="M51" s="529" t="s">
        <v>371</v>
      </c>
      <c r="N51" s="530"/>
      <c r="O51" s="531"/>
      <c r="P51" s="119"/>
      <c r="Q51" s="362" t="s">
        <v>52</v>
      </c>
      <c r="R51" s="362" t="s">
        <v>204</v>
      </c>
      <c r="S51" s="362" t="s">
        <v>229</v>
      </c>
      <c r="T51" s="362" t="s">
        <v>230</v>
      </c>
      <c r="U51" s="362" t="s">
        <v>231</v>
      </c>
      <c r="V51" s="362" t="s">
        <v>45</v>
      </c>
      <c r="W51" s="362" t="s">
        <v>52</v>
      </c>
      <c r="X51" s="362" t="s">
        <v>204</v>
      </c>
      <c r="Y51" s="362" t="s">
        <v>229</v>
      </c>
      <c r="Z51" s="362" t="s">
        <v>230</v>
      </c>
      <c r="AA51" s="362" t="s">
        <v>231</v>
      </c>
      <c r="AB51" s="362" t="s">
        <v>45</v>
      </c>
      <c r="AC51" s="362" t="s">
        <v>52</v>
      </c>
      <c r="AD51" s="362" t="s">
        <v>204</v>
      </c>
      <c r="AE51" s="362" t="s">
        <v>229</v>
      </c>
      <c r="AF51" s="362" t="s">
        <v>230</v>
      </c>
      <c r="AG51" s="362" t="s">
        <v>231</v>
      </c>
      <c r="AH51" s="362" t="s">
        <v>45</v>
      </c>
      <c r="AP51" s="150">
        <v>4469.557573981834</v>
      </c>
      <c r="AQ51" s="150">
        <v>5130.764723117492</v>
      </c>
      <c r="AR51" s="150">
        <v>8044.271901552886</v>
      </c>
      <c r="AS51" s="150">
        <v>9586.17052446528</v>
      </c>
      <c r="AT51" s="273">
        <v>320</v>
      </c>
      <c r="AU51" s="273">
        <f>('Cost-Effectiveness'!$B$3*AP51)+('Cost-Effectiveness'!$C$3*AQ51)+('Cost-Effectiveness'!$D$3*AR51)+('Cost-Effectiveness'!$E$3*AS51)</f>
        <v>9586.17052446528</v>
      </c>
      <c r="AV51" s="270"/>
      <c r="AW51" s="141"/>
      <c r="AX51" s="150">
        <v>2979.548784060944</v>
      </c>
      <c r="AY51" s="150">
        <v>3486.346322883094</v>
      </c>
      <c r="AZ51" s="150">
        <v>5957.28098447114</v>
      </c>
      <c r="BA51" s="150">
        <v>7183.152651626136</v>
      </c>
      <c r="BB51" s="273">
        <v>320</v>
      </c>
      <c r="BC51" s="273">
        <f>('Cost-Effectiveness'!$B$3*AX51)+('Cost-Effectiveness'!$C$3*AY51)+('Cost-Effectiveness'!$D$3*AZ51)+('Cost-Effectiveness'!$E$3*BA51)</f>
        <v>7183.152651626136</v>
      </c>
      <c r="BD51" s="141"/>
      <c r="BE51" s="141"/>
      <c r="BF51" s="150">
        <v>3876.355112803985</v>
      </c>
      <c r="BG51" s="150">
        <v>4516.29065338412</v>
      </c>
      <c r="BH51" s="150">
        <v>7260.650454145913</v>
      </c>
      <c r="BI51" s="150">
        <v>8780.779372985644</v>
      </c>
      <c r="BJ51" s="273">
        <v>320</v>
      </c>
      <c r="BK51" s="273">
        <f>('Cost-Effectiveness'!$B$3*BF51)+('Cost-Effectiveness'!$C$3*BG51)+('Cost-Effectiveness'!$D$3*BH51)+('Cost-Effectiveness'!$E$3*BI51)</f>
        <v>8780.779372985644</v>
      </c>
    </row>
    <row r="52" spans="1:63" ht="12.75">
      <c r="A52" s="121"/>
      <c r="B52" s="116"/>
      <c r="C52" s="127"/>
      <c r="D52" s="127"/>
      <c r="E52" s="124"/>
      <c r="F52" s="119"/>
      <c r="G52" s="119"/>
      <c r="K52" s="119"/>
      <c r="L52" s="207"/>
      <c r="M52" s="324">
        <v>1344</v>
      </c>
      <c r="N52" s="324">
        <v>2200</v>
      </c>
      <c r="O52" s="324">
        <v>2283</v>
      </c>
      <c r="P52" s="119"/>
      <c r="Q52" s="270" t="s">
        <v>232</v>
      </c>
      <c r="R52" s="359">
        <f>B118</f>
        <v>302.0026542635659</v>
      </c>
      <c r="S52" s="270">
        <v>0</v>
      </c>
      <c r="T52" s="159">
        <f>SUM(S$52:S52)</f>
        <v>0</v>
      </c>
      <c r="U52" s="360">
        <f ca="1">IF(ISNA(INDEX($AT$3:AU$72,MATCH(R52,$AT$3:$AT$72,0),1)),TREND(OFFSET(INDEX($AT$3:AU$72,MATCH(R52,$AT$3:$AT$72,-1),2),0,0,2,1),OFFSET(INDEX($AT$3:AU$72,MATCH(R52,$AT$3:$AT$72,-1),1),0,0,2,1),R52),INDEX($AT$3:AU$72,MATCH(R52,$AT$3:$AT$72,0),2))</f>
        <v>8715.574953549614</v>
      </c>
      <c r="V52" s="341"/>
      <c r="W52" s="270" t="s">
        <v>232</v>
      </c>
      <c r="X52" s="359">
        <f>C118</f>
        <v>492.78146511627904</v>
      </c>
      <c r="Y52" s="270">
        <v>0</v>
      </c>
      <c r="Z52" s="159">
        <f>SUM(Y$52:Y52)</f>
        <v>0</v>
      </c>
      <c r="AA52" s="360">
        <f ca="1">IF(ISNA(INDEX($BB$3:$BC$72,MATCH(X52,$BB$3:$BB$72,0),1)),TREND(OFFSET(INDEX($BB$3:$BC$72,MATCH(X52,$BB$3:$BB$72,-1),2),0,0,2,1),OFFSET(INDEX($BB$3:$BC$72,MATCH(X52,$BB$3:$BB$72,-1),1),0,0,2,1),X52),INDEX($BB$3:$BC$72,MATCH(X52,$BB$3:$BB$72,0),2))</f>
        <v>15171.922905784271</v>
      </c>
      <c r="AB52" s="341"/>
      <c r="AC52" s="270" t="s">
        <v>232</v>
      </c>
      <c r="AD52" s="359">
        <f>D118</f>
        <v>473.7055798449613</v>
      </c>
      <c r="AE52" s="270">
        <v>0</v>
      </c>
      <c r="AF52" s="159">
        <f>SUM(AE$52:AE52)</f>
        <v>0</v>
      </c>
      <c r="AG52" s="360">
        <f ca="1">IF(ISNA(INDEX($BJ$3:$BK$72,MATCH(AD52,$BJ$3:$BJ$72,0),1)),TREND(OFFSET(INDEX($BJ$3:$BK$72,MATCH(AD52,$BJ$3:$BJ$72,-1),2),0,0,2,1),OFFSET(INDEX($BJ$3:$BK$72,MATCH(AD52,$BJ$3:$BJ$72,-1),1),0,0,2,1),AD52),INDEX($BJ$3:$BK$72,MATCH(AD52,$BJ$3:$BJ$72,0),2))</f>
        <v>16212.320118938725</v>
      </c>
      <c r="AH52" s="341">
        <v>0</v>
      </c>
      <c r="AP52" s="150">
        <v>4194.286551421038</v>
      </c>
      <c r="AQ52" s="150">
        <v>4821.35950776443</v>
      </c>
      <c r="AR52" s="150">
        <v>7626.018165836507</v>
      </c>
      <c r="AS52" s="150">
        <v>9101.640785232934</v>
      </c>
      <c r="AT52" s="273">
        <v>310</v>
      </c>
      <c r="AU52" s="273">
        <f>('Cost-Effectiveness'!$B$3*AP52)+('Cost-Effectiveness'!$C$3*AQ52)+('Cost-Effectiveness'!$D$3*AR52)+('Cost-Effectiveness'!$E$3*AS52)</f>
        <v>9101.640785232934</v>
      </c>
      <c r="AV52" s="270"/>
      <c r="AW52" s="141"/>
      <c r="AX52" s="150">
        <v>2754.0287137415767</v>
      </c>
      <c r="AY52" s="150">
        <v>3227.922648696162</v>
      </c>
      <c r="AZ52" s="150">
        <v>5595.663639027249</v>
      </c>
      <c r="BA52" s="150">
        <v>6757.89627893349</v>
      </c>
      <c r="BB52" s="273">
        <v>310</v>
      </c>
      <c r="BC52" s="273">
        <f>('Cost-Effectiveness'!$B$3*AX52)+('Cost-Effectiveness'!$C$3*AY52)+('Cost-Effectiveness'!$D$3*AZ52)+('Cost-Effectiveness'!$E$3*BA52)</f>
        <v>6757.89627893349</v>
      </c>
      <c r="BD52" s="141"/>
      <c r="BE52" s="141"/>
      <c r="BF52" s="150">
        <v>3611.6026955757397</v>
      </c>
      <c r="BG52" s="150">
        <v>4223.000292997363</v>
      </c>
      <c r="BH52" s="150">
        <v>6855.083504248462</v>
      </c>
      <c r="BI52" s="150">
        <v>8315.44096103135</v>
      </c>
      <c r="BJ52" s="273">
        <v>310</v>
      </c>
      <c r="BK52" s="273">
        <f>('Cost-Effectiveness'!$B$3*BF52)+('Cost-Effectiveness'!$C$3*BG52)+('Cost-Effectiveness'!$D$3*BH52)+('Cost-Effectiveness'!$E$3*BI52)</f>
        <v>8315.44096103135</v>
      </c>
    </row>
    <row r="53" spans="3:63" ht="12.75">
      <c r="C53"/>
      <c r="D53"/>
      <c r="E53"/>
      <c r="L53" s="5"/>
      <c r="M53" s="323">
        <v>468</v>
      </c>
      <c r="N53" s="323">
        <v>468</v>
      </c>
      <c r="O53" s="323">
        <v>468</v>
      </c>
      <c r="P53" s="119"/>
      <c r="Q53" s="361" t="str">
        <f>Q37</f>
        <v>WALL R21 ADV</v>
      </c>
      <c r="R53" s="359">
        <f>R52-S37</f>
        <v>288.4616542635659</v>
      </c>
      <c r="S53" s="159">
        <f>T37</f>
        <v>134.28176152038432</v>
      </c>
      <c r="T53" s="159">
        <f>SUM(S$52:S53)</f>
        <v>134.28176152038432</v>
      </c>
      <c r="U53" s="360">
        <f ca="1">IF(ISNA(INDEX($AT$3:AU$72,MATCH(R53,$AT$3:$AT$72,0),1)),TREND(OFFSET(INDEX($AT$3:AU$72,MATCH(R53,$AT$3:$AT$72,-1),2),0,0,2,1),OFFSET(INDEX($AT$3:AU$72,MATCH(R53,$AT$3:$AT$72,-1),1),0,0,2,1),R53),INDEX($AT$3:AU$72,MATCH(R53,$AT$3:$AT$72,0),2))</f>
        <v>8068.62998125266</v>
      </c>
      <c r="V53" s="341">
        <f aca="true" t="shared" si="13" ref="V53:V64">U52-U53</f>
        <v>646.9449722969539</v>
      </c>
      <c r="W53" s="361" t="str">
        <f>W37</f>
        <v>WALL R21 ADV</v>
      </c>
      <c r="X53" s="359">
        <f>X52-Y37</f>
        <v>469.43946511627905</v>
      </c>
      <c r="Y53" s="159">
        <f>Z37</f>
        <v>231.47514049249025</v>
      </c>
      <c r="Z53" s="159">
        <f>SUM(Y$52:Y53)</f>
        <v>231.47514049249025</v>
      </c>
      <c r="AA53" s="360">
        <f aca="true" ca="1" t="shared" si="14" ref="AA53:AA64">IF(ISNA(INDEX($BB$3:$BC$72,MATCH(X53,$BB$3:$BB$72,0),1)),TREND(OFFSET(INDEX($BB$3:$BC$72,MATCH(X53,$BB$3:$BB$72,-1),2),0,0,2,1),OFFSET(INDEX($BB$3:$BC$72,MATCH(X53,$BB$3:$BB$72,-1),1),0,0,2,1),X53),INDEX($BB$3:$BC$72,MATCH(X53,$BB$3:$BB$72,0),2))</f>
        <v>14039.408234929335</v>
      </c>
      <c r="AB53" s="341">
        <f aca="true" t="shared" si="15" ref="AB53:AB64">AA52-AA53</f>
        <v>1132.5146708549364</v>
      </c>
      <c r="AC53" s="361" t="str">
        <f>AC36</f>
        <v>BGWALL R22 FOAM BLOCK</v>
      </c>
      <c r="AD53" s="359">
        <f>AD52-AE36</f>
        <v>472.5855798449613</v>
      </c>
      <c r="AE53" s="159">
        <f>AF36</f>
        <v>6.108674772657476</v>
      </c>
      <c r="AF53" s="159">
        <f>SUM(AE$52:AE53)</f>
        <v>6.108674772657476</v>
      </c>
      <c r="AG53" s="360">
        <f aca="true" ca="1" t="shared" si="16" ref="AG53:AG62">IF(ISNA(INDEX($BJ$3:$BK$72,MATCH(AD53,$BJ$3:$BJ$72,0),1)),TREND(OFFSET(INDEX($BJ$3:$BK$72,MATCH(AD53,$BJ$3:$BJ$72,-1),2),0,0,2,1),OFFSET(INDEX($BJ$3:$BK$72,MATCH(AD53,$BJ$3:$BJ$72,-1),1),0,0,2,1),AD53),INDEX($BJ$3:$BK$72,MATCH(AD53,$BJ$3:$BJ$72,0),2))</f>
        <v>16155.8869516372</v>
      </c>
      <c r="AH53" s="341">
        <f aca="true" t="shared" si="17" ref="AH53:AH62">AG52-AG53</f>
        <v>56.43316730152583</v>
      </c>
      <c r="AJ53" s="116"/>
      <c r="AP53" s="150">
        <v>3922.209200117199</v>
      </c>
      <c r="AQ53" s="150">
        <v>4516.0562554937005</v>
      </c>
      <c r="AR53" s="150">
        <v>7210.313507178435</v>
      </c>
      <c r="AS53" s="150">
        <v>8618.898329915031</v>
      </c>
      <c r="AT53" s="273">
        <v>300</v>
      </c>
      <c r="AU53" s="273">
        <f>('Cost-Effectiveness'!$B$3*AP53)+('Cost-Effectiveness'!$C$3*AQ53)+('Cost-Effectiveness'!$D$3*AR53)+('Cost-Effectiveness'!$E$3*AS53)</f>
        <v>8618.898329915031</v>
      </c>
      <c r="AV53" s="270"/>
      <c r="AW53" s="141"/>
      <c r="AX53" s="150">
        <v>2533.8997949018462</v>
      </c>
      <c r="AY53" s="150">
        <v>2974.2748315265167</v>
      </c>
      <c r="AZ53" s="150">
        <v>5236.5074714327575</v>
      </c>
      <c r="BA53" s="150">
        <v>6337.122765895107</v>
      </c>
      <c r="BB53" s="273">
        <v>300</v>
      </c>
      <c r="BC53" s="273">
        <f>('Cost-Effectiveness'!$B$3*AX53)+('Cost-Effectiveness'!$C$3*AY53)+('Cost-Effectiveness'!$D$3*AZ53)+('Cost-Effectiveness'!$E$3*BA53)</f>
        <v>6337.122765895107</v>
      </c>
      <c r="BD53" s="141"/>
      <c r="BE53" s="141"/>
      <c r="BF53" s="150">
        <v>3349.282156460592</v>
      </c>
      <c r="BG53" s="150">
        <v>3934.280691473777</v>
      </c>
      <c r="BH53" s="150">
        <v>6449.545854087313</v>
      </c>
      <c r="BI53" s="150">
        <v>7853.413419279227</v>
      </c>
      <c r="BJ53" s="273">
        <v>300</v>
      </c>
      <c r="BK53" s="273">
        <f>('Cost-Effectiveness'!$B$3*BF53)+('Cost-Effectiveness'!$C$3*BG53)+('Cost-Effectiveness'!$D$3*BH53)+('Cost-Effectiveness'!$E$3*BI53)</f>
        <v>7853.413419279227</v>
      </c>
    </row>
    <row r="54" spans="7:63" ht="12.75">
      <c r="G54" s="124"/>
      <c r="K54" s="130"/>
      <c r="L54" s="119"/>
      <c r="M54" s="325">
        <f>(0.0000000483*(M53^4))+(-0.0001091243*(M53^3))+(+0.094127095*(M53^2))+(-1.6743357682*(M53))+(-761.3729734269)</f>
        <v>10202.561360018699</v>
      </c>
      <c r="N54" s="325">
        <f>(0.0000000576*(N53^4))+(-0.0001331987*(N53^3))+(+0.1196905554*(N53^2))+(-16.959035103*(N53))+(+566.268880879)</f>
        <v>7954.406534783798</v>
      </c>
      <c r="O54" s="325">
        <f>(0.000000056*(O53^4))+(-0.0001261308*(O53^3))+(+0.108856467*(O53^2))+(-8.6082973051*(O53))+(-211.2225330928)</f>
        <v>9359.8632058388</v>
      </c>
      <c r="P54" s="119"/>
      <c r="Q54" s="361" t="str">
        <f aca="true" t="shared" si="18" ref="Q54:Q64">Q38</f>
        <v>WINDOW CL35</v>
      </c>
      <c r="R54" s="359">
        <f aca="true" t="shared" si="19" ref="R54:R64">R53-S38</f>
        <v>280.1667789883269</v>
      </c>
      <c r="S54" s="159">
        <f aca="true" t="shared" si="20" ref="S54:S64">T38</f>
        <v>86.39411464187174</v>
      </c>
      <c r="T54" s="159">
        <f>SUM(S$52:S54)</f>
        <v>220.67587616225606</v>
      </c>
      <c r="U54" s="360">
        <f ca="1">IF(ISNA(INDEX($AT$3:AU$72,MATCH(R54,$AT$3:$AT$72,0),1)),TREND(OFFSET(INDEX($AT$3:AU$72,MATCH(R54,$AT$3:$AT$72,-1),2),0,0,2,1),OFFSET(INDEX($AT$3:AU$72,MATCH(R54,$AT$3:$AT$72,-1),1),0,0,2,1),R54),INDEX($AT$3:AU$72,MATCH(R54,$AT$3:$AT$72,0),2))</f>
        <v>7675.297835180511</v>
      </c>
      <c r="V54" s="341">
        <f t="shared" si="13"/>
        <v>393.33214607214904</v>
      </c>
      <c r="W54" s="361" t="str">
        <f aca="true" t="shared" si="21" ref="W54:W64">W38</f>
        <v>WINDOW CL35</v>
      </c>
      <c r="X54" s="359">
        <f aca="true" t="shared" si="22" ref="X54:X64">X53-Y38</f>
        <v>452.18989494163424</v>
      </c>
      <c r="Y54" s="159">
        <f aca="true" t="shared" si="23" ref="Y54:Y64">Z38</f>
        <v>179.66048840298328</v>
      </c>
      <c r="Z54" s="159">
        <f>SUM(Y$52:Y54)</f>
        <v>411.13562889547353</v>
      </c>
      <c r="AA54" s="360">
        <f ca="1" t="shared" si="14"/>
        <v>13211.890455935792</v>
      </c>
      <c r="AB54" s="341">
        <f t="shared" si="15"/>
        <v>827.5177789935424</v>
      </c>
      <c r="AC54" s="361" t="str">
        <f aca="true" t="shared" si="24" ref="AC54:AC64">AC37</f>
        <v>WALL R21 ADV</v>
      </c>
      <c r="AD54" s="359">
        <f aca="true" t="shared" si="25" ref="AD54:AD64">AD53-AE37</f>
        <v>452.59857984496125</v>
      </c>
      <c r="AE54" s="159">
        <f aca="true" t="shared" si="26" ref="AE54:AE64">AF37</f>
        <v>198.2046796771229</v>
      </c>
      <c r="AF54" s="159">
        <f>SUM(AE$52:AE54)</f>
        <v>204.31335444978038</v>
      </c>
      <c r="AG54" s="360">
        <f ca="1" t="shared" si="16"/>
        <v>15161.297398828441</v>
      </c>
      <c r="AH54" s="341">
        <f t="shared" si="17"/>
        <v>994.5895528087585</v>
      </c>
      <c r="AJ54" s="116"/>
      <c r="AP54" s="150">
        <v>3655.112803984764</v>
      </c>
      <c r="AQ54" s="150">
        <v>4215.8511573395845</v>
      </c>
      <c r="AR54" s="150">
        <v>6797.978318195137</v>
      </c>
      <c r="AS54" s="150">
        <v>8141.576325813068</v>
      </c>
      <c r="AT54" s="273">
        <v>290</v>
      </c>
      <c r="AU54" s="273">
        <f>('Cost-Effectiveness'!$B$3*AP54)+('Cost-Effectiveness'!$C$3*AQ54)+('Cost-Effectiveness'!$D$3*AR54)+('Cost-Effectiveness'!$E$3*AS54)</f>
        <v>8141.576325813068</v>
      </c>
      <c r="AV54" s="270"/>
      <c r="AW54" s="141"/>
      <c r="AX54" s="150">
        <v>2320.539115147964</v>
      </c>
      <c r="AY54" s="150">
        <v>2725.900966891298</v>
      </c>
      <c r="AZ54" s="150">
        <v>4879.2557866979205</v>
      </c>
      <c r="BA54" s="150">
        <v>5918.9276296513335</v>
      </c>
      <c r="BB54" s="273">
        <v>290</v>
      </c>
      <c r="BC54" s="273">
        <f>('Cost-Effectiveness'!$B$3*AX54)+('Cost-Effectiveness'!$C$3*AY54)+('Cost-Effectiveness'!$D$3*AZ54)+('Cost-Effectiveness'!$E$3*BA54)</f>
        <v>5918.9276296513335</v>
      </c>
      <c r="BD54" s="141"/>
      <c r="BE54" s="141"/>
      <c r="BF54" s="150">
        <v>3089.715792557867</v>
      </c>
      <c r="BG54" s="150">
        <v>3650.805742748316</v>
      </c>
      <c r="BH54" s="150">
        <v>6048.813360679754</v>
      </c>
      <c r="BI54" s="150">
        <v>7394.608848520364</v>
      </c>
      <c r="BJ54" s="273">
        <v>290</v>
      </c>
      <c r="BK54" s="273">
        <f>('Cost-Effectiveness'!$B$3*BF54)+('Cost-Effectiveness'!$C$3*BG54)+('Cost-Effectiveness'!$D$3*BH54)+('Cost-Effectiveness'!$E$3*BI54)</f>
        <v>7394.608848520364</v>
      </c>
    </row>
    <row r="55" spans="1:63" ht="12.75">
      <c r="A55"/>
      <c r="B55"/>
      <c r="C55"/>
      <c r="D55"/>
      <c r="E55"/>
      <c r="F55"/>
      <c r="K55" s="130"/>
      <c r="L55" s="119"/>
      <c r="M55" s="529" t="s">
        <v>372</v>
      </c>
      <c r="N55" s="530"/>
      <c r="O55" s="531"/>
      <c r="P55" s="119"/>
      <c r="Q55" s="361" t="str">
        <f t="shared" si="18"/>
        <v>FLOOR R38 STD w/12"Truss</v>
      </c>
      <c r="R55" s="359">
        <f t="shared" si="19"/>
        <v>270.75877898832687</v>
      </c>
      <c r="S55" s="159">
        <f t="shared" si="20"/>
        <v>395.842125268213</v>
      </c>
      <c r="T55" s="159">
        <f>SUM(S$52:S55)</f>
        <v>616.5180014304691</v>
      </c>
      <c r="U55" s="360">
        <f ca="1">IF(ISNA(INDEX($AT$3:AU$72,MATCH(R55,$AT$3:$AT$72,0),1)),TREND(OFFSET(INDEX($AT$3:AU$72,MATCH(R55,$AT$3:$AT$72,-1),2),0,0,2,1),OFFSET(INDEX($AT$3:AU$72,MATCH(R55,$AT$3:$AT$72,-1),1),0,0,2,1),R55),INDEX($AT$3:AU$72,MATCH(R55,$AT$3:$AT$72,0),2))</f>
        <v>7231.267662364351</v>
      </c>
      <c r="V55" s="341">
        <f t="shared" si="13"/>
        <v>444.0301728161603</v>
      </c>
      <c r="W55" s="361" t="str">
        <f t="shared" si="21"/>
        <v>FLOOR R38 STD w/12"Truss</v>
      </c>
      <c r="X55" s="359">
        <f t="shared" si="22"/>
        <v>440.1428949416342</v>
      </c>
      <c r="Y55" s="159">
        <f t="shared" si="23"/>
        <v>506.87819760907337</v>
      </c>
      <c r="Z55" s="159">
        <f>SUM(Y$52:Y55)</f>
        <v>918.0138265045468</v>
      </c>
      <c r="AA55" s="360">
        <f ca="1" t="shared" si="14"/>
        <v>12636.87677661881</v>
      </c>
      <c r="AB55" s="341">
        <f t="shared" si="15"/>
        <v>575.0136793169822</v>
      </c>
      <c r="AC55" s="361" t="str">
        <f t="shared" si="24"/>
        <v>WINDOW CL35</v>
      </c>
      <c r="AD55" s="359">
        <f t="shared" si="25"/>
        <v>443.17258521400777</v>
      </c>
      <c r="AE55" s="159">
        <f t="shared" si="26"/>
        <v>98.17513027485425</v>
      </c>
      <c r="AF55" s="159">
        <f>SUM(AE$52:AE55)</f>
        <v>302.48848472463465</v>
      </c>
      <c r="AG55" s="360">
        <f ca="1" t="shared" si="16"/>
        <v>14695.710087194686</v>
      </c>
      <c r="AH55" s="341">
        <f t="shared" si="17"/>
        <v>465.58731163375523</v>
      </c>
      <c r="AJ55" s="116"/>
      <c r="AP55" s="150">
        <v>3393.173161441547</v>
      </c>
      <c r="AQ55" s="150">
        <v>3916.847348373865</v>
      </c>
      <c r="AR55" s="150">
        <v>6388.485203633168</v>
      </c>
      <c r="AS55" s="150">
        <v>7667.3893934954585</v>
      </c>
      <c r="AT55" s="273">
        <v>280</v>
      </c>
      <c r="AU55" s="273">
        <f>('Cost-Effectiveness'!$B$3*AP55)+('Cost-Effectiveness'!$C$3*AQ55)+('Cost-Effectiveness'!$D$3*AR55)+('Cost-Effectiveness'!$E$3*AS55)</f>
        <v>7667.3893934954585</v>
      </c>
      <c r="AV55" s="270"/>
      <c r="AW55" s="141"/>
      <c r="AX55" s="150">
        <v>2110.37210665104</v>
      </c>
      <c r="AY55" s="150">
        <v>2487.313214181073</v>
      </c>
      <c r="AZ55" s="150">
        <v>4524.992675065924</v>
      </c>
      <c r="BA55" s="150">
        <v>5503.633167301495</v>
      </c>
      <c r="BB55" s="273">
        <v>280</v>
      </c>
      <c r="BC55" s="273">
        <f>('Cost-Effectiveness'!$B$3*AX55)+('Cost-Effectiveness'!$C$3*AY55)+('Cost-Effectiveness'!$D$3*AZ55)+('Cost-Effectiveness'!$E$3*BA55)</f>
        <v>5503.633167301495</v>
      </c>
      <c r="BD55" s="141"/>
      <c r="BE55" s="141"/>
      <c r="BF55" s="150">
        <v>2837.005566949898</v>
      </c>
      <c r="BG55" s="150">
        <v>3367.565191913273</v>
      </c>
      <c r="BH55" s="150">
        <v>5654.438910049809</v>
      </c>
      <c r="BI55" s="150">
        <v>6936.390272487549</v>
      </c>
      <c r="BJ55" s="273">
        <v>280</v>
      </c>
      <c r="BK55" s="273">
        <f>('Cost-Effectiveness'!$B$3*BF55)+('Cost-Effectiveness'!$C$3*BG55)+('Cost-Effectiveness'!$D$3*BH55)+('Cost-Effectiveness'!$E$3*BI55)</f>
        <v>6936.390272487549</v>
      </c>
    </row>
    <row r="56" spans="2:63" ht="12.75">
      <c r="B56" s="128"/>
      <c r="C56" s="128"/>
      <c r="D56" s="128"/>
      <c r="E56" s="131"/>
      <c r="K56" s="130"/>
      <c r="L56" s="119"/>
      <c r="M56" s="324">
        <v>1344</v>
      </c>
      <c r="N56" s="324">
        <v>2200</v>
      </c>
      <c r="O56" s="324">
        <v>2283</v>
      </c>
      <c r="P56" s="119"/>
      <c r="Q56" s="361" t="str">
        <f t="shared" si="18"/>
        <v>ATTIC R49 ADVrh</v>
      </c>
      <c r="R56" s="359">
        <f t="shared" si="19"/>
        <v>260.19877898832686</v>
      </c>
      <c r="S56" s="159">
        <f t="shared" si="20"/>
        <v>492.1846531112702</v>
      </c>
      <c r="T56" s="159">
        <f>SUM(S$52:S56)</f>
        <v>1108.7026545417393</v>
      </c>
      <c r="U56" s="360">
        <f ca="1">IF(ISNA(INDEX($AT$3:AU$72,MATCH(R56,$AT$3:$AT$72,0),1)),TREND(OFFSET(INDEX($AT$3:AU$72,MATCH(R56,$AT$3:$AT$72,-1),2),0,0,2,1),OFFSET(INDEX($AT$3:AU$72,MATCH(R56,$AT$3:$AT$72,-1),1),0,0,2,1),R56),INDEX($AT$3:AU$72,MATCH(R56,$AT$3:$AT$72,0),2))</f>
        <v>6739.054188284386</v>
      </c>
      <c r="V56" s="341">
        <f t="shared" si="13"/>
        <v>492.2134740799647</v>
      </c>
      <c r="W56" s="361" t="str">
        <f t="shared" si="21"/>
        <v>ATTIC R49 ADVrh</v>
      </c>
      <c r="X56" s="359">
        <f t="shared" si="22"/>
        <v>431.3208949416342</v>
      </c>
      <c r="Y56" s="159">
        <f t="shared" si="23"/>
        <v>411.179262286707</v>
      </c>
      <c r="Z56" s="159">
        <f>SUM(Y$52:Y56)</f>
        <v>1329.1930887912538</v>
      </c>
      <c r="AA56" s="360">
        <f ca="1" t="shared" si="14"/>
        <v>12217.594245395007</v>
      </c>
      <c r="AB56" s="341">
        <f t="shared" si="15"/>
        <v>419.28253122380374</v>
      </c>
      <c r="AC56" s="361" t="str">
        <f t="shared" si="24"/>
        <v>SLAB R10-4FT</v>
      </c>
      <c r="AD56" s="359">
        <f t="shared" si="25"/>
        <v>434.7725852140078</v>
      </c>
      <c r="AE56" s="159">
        <f t="shared" si="26"/>
        <v>256.56434045161944</v>
      </c>
      <c r="AF56" s="159">
        <f>SUM(AE$52:AE56)</f>
        <v>559.0528251762541</v>
      </c>
      <c r="AG56" s="360">
        <f ca="1" t="shared" si="16"/>
        <v>14281.832498081829</v>
      </c>
      <c r="AH56" s="341">
        <f t="shared" si="17"/>
        <v>413.8775891128571</v>
      </c>
      <c r="AJ56" s="116"/>
      <c r="AP56" s="150">
        <v>3133.753296220334</v>
      </c>
      <c r="AQ56" s="150">
        <v>3621.828303545268</v>
      </c>
      <c r="AR56" s="150">
        <v>5982.361558745972</v>
      </c>
      <c r="AS56" s="150">
        <v>7195.458540873132</v>
      </c>
      <c r="AT56" s="273">
        <v>270</v>
      </c>
      <c r="AU56" s="273">
        <f>('Cost-Effectiveness'!$B$3*AP56)+('Cost-Effectiveness'!$C$3*AQ56)+('Cost-Effectiveness'!$D$3*AR56)+('Cost-Effectiveness'!$E$3*AS56)</f>
        <v>7195.458540873132</v>
      </c>
      <c r="AV56" s="270"/>
      <c r="AW56" s="141"/>
      <c r="AX56" s="150">
        <v>1904.5121593905658</v>
      </c>
      <c r="AY56" s="150">
        <v>2253.2376208614123</v>
      </c>
      <c r="AZ56" s="150">
        <v>4175.9742162320545</v>
      </c>
      <c r="BA56" s="150">
        <v>5092.968063287431</v>
      </c>
      <c r="BB56" s="273">
        <v>270</v>
      </c>
      <c r="BC56" s="273">
        <f>('Cost-Effectiveness'!$B$3*AX56)+('Cost-Effectiveness'!$C$3*AY56)+('Cost-Effectiveness'!$D$3*AZ56)+('Cost-Effectiveness'!$E$3*BA56)</f>
        <v>5092.968063287431</v>
      </c>
      <c r="BD56" s="141"/>
      <c r="BE56" s="141"/>
      <c r="BF56" s="150">
        <v>2593.2317609141523</v>
      </c>
      <c r="BG56" s="150">
        <v>3087.752710225608</v>
      </c>
      <c r="BH56" s="150">
        <v>5263.170231467917</v>
      </c>
      <c r="BI56" s="150">
        <v>6485.350131848813</v>
      </c>
      <c r="BJ56" s="273">
        <v>270</v>
      </c>
      <c r="BK56" s="273">
        <f>('Cost-Effectiveness'!$B$3*BF56)+('Cost-Effectiveness'!$C$3*BG56)+('Cost-Effectiveness'!$D$3*BH56)+('Cost-Effectiveness'!$E$3*BI56)</f>
        <v>6485.350131848813</v>
      </c>
    </row>
    <row r="57" spans="2:63" ht="12.75">
      <c r="B57" s="128"/>
      <c r="C57" s="128"/>
      <c r="D57" s="128"/>
      <c r="E57" s="131"/>
      <c r="K57" s="130"/>
      <c r="L57" s="119"/>
      <c r="M57" s="323">
        <v>468</v>
      </c>
      <c r="N57" s="323">
        <v>468</v>
      </c>
      <c r="O57" s="323">
        <v>468</v>
      </c>
      <c r="P57" s="119"/>
      <c r="Q57" s="361" t="str">
        <f t="shared" si="18"/>
        <v>WINDOW CL30</v>
      </c>
      <c r="R57" s="359">
        <f t="shared" si="19"/>
        <v>251.83910000000003</v>
      </c>
      <c r="S57" s="159">
        <f t="shared" si="20"/>
        <v>449.2493961377337</v>
      </c>
      <c r="T57" s="159">
        <f>SUM(S$52:S57)</f>
        <v>1557.952050679473</v>
      </c>
      <c r="U57" s="360">
        <f ca="1">IF(ISNA(INDEX($AT$3:AU$72,MATCH(R57,$AT$3:$AT$72,0),1)),TREND(OFFSET(INDEX($AT$3:AU$72,MATCH(R57,$AT$3:$AT$72,-1),2),0,0,2,1),OFFSET(INDEX($AT$3:AU$72,MATCH(R57,$AT$3:$AT$72,-1),1),0,0,2,1),R57),INDEX($AT$3:AU$72,MATCH(R57,$AT$3:$AT$72,0),2))</f>
        <v>6353.554756812174</v>
      </c>
      <c r="V57" s="341">
        <f t="shared" si="13"/>
        <v>385.49943147221256</v>
      </c>
      <c r="W57" s="361" t="str">
        <f t="shared" si="21"/>
        <v>WINDOW CL30</v>
      </c>
      <c r="X57" s="359">
        <f t="shared" si="22"/>
        <v>413.9365625</v>
      </c>
      <c r="Y57" s="159">
        <f t="shared" si="23"/>
        <v>934.2345396955144</v>
      </c>
      <c r="Z57" s="159">
        <f>SUM(Y$52:Y57)</f>
        <v>2263.4276284867683</v>
      </c>
      <c r="AA57" s="360">
        <f ca="1" t="shared" si="14"/>
        <v>11399.069241686218</v>
      </c>
      <c r="AB57" s="341">
        <f t="shared" si="15"/>
        <v>818.5250037087881</v>
      </c>
      <c r="AC57" s="361" t="str">
        <f t="shared" si="24"/>
        <v>SLAB R10-FULL</v>
      </c>
      <c r="AD57" s="359">
        <f t="shared" si="25"/>
        <v>417.9725852140078</v>
      </c>
      <c r="AE57" s="159">
        <f t="shared" si="26"/>
        <v>514.6558495964035</v>
      </c>
      <c r="AF57" s="159">
        <f>SUM(AE$52:AE57)</f>
        <v>1073.7086747726576</v>
      </c>
      <c r="AG57" s="360">
        <f ca="1" t="shared" si="16"/>
        <v>13456.242031819274</v>
      </c>
      <c r="AH57" s="341">
        <f t="shared" si="17"/>
        <v>825.5904662625544</v>
      </c>
      <c r="AJ57" s="116"/>
      <c r="AP57" s="150">
        <v>2876.0914151772636</v>
      </c>
      <c r="AQ57" s="150">
        <v>3333.0794022853793</v>
      </c>
      <c r="AR57" s="150">
        <v>5577.937298564313</v>
      </c>
      <c r="AS57" s="150">
        <v>6729.797831819514</v>
      </c>
      <c r="AT57" s="273">
        <v>260</v>
      </c>
      <c r="AU57" s="273">
        <f>('Cost-Effectiveness'!$B$3*AP57)+('Cost-Effectiveness'!$C$3*AQ57)+('Cost-Effectiveness'!$D$3*AR57)+('Cost-Effectiveness'!$E$3*AS57)</f>
        <v>6729.797831819514</v>
      </c>
      <c r="AV57" s="270"/>
      <c r="AW57" s="141"/>
      <c r="AX57" s="150">
        <v>1708.086727219455</v>
      </c>
      <c r="AY57" s="150">
        <v>2024.2308819220627</v>
      </c>
      <c r="AZ57" s="150">
        <v>3831.057720480516</v>
      </c>
      <c r="BA57" s="150">
        <v>4691.327278054498</v>
      </c>
      <c r="BB57" s="273">
        <v>260</v>
      </c>
      <c r="BC57" s="273">
        <f>('Cost-Effectiveness'!$B$3*AX57)+('Cost-Effectiveness'!$C$3*AY57)+('Cost-Effectiveness'!$D$3*AZ57)+('Cost-Effectiveness'!$E$3*BA57)</f>
        <v>4691.327278054498</v>
      </c>
      <c r="BD57" s="141"/>
      <c r="BE57" s="141"/>
      <c r="BF57" s="150">
        <v>2358.365074714328</v>
      </c>
      <c r="BG57" s="150">
        <v>2809.610313507179</v>
      </c>
      <c r="BH57" s="150">
        <v>4879.812481687665</v>
      </c>
      <c r="BI57" s="150">
        <v>6039.115147963668</v>
      </c>
      <c r="BJ57" s="273">
        <v>260</v>
      </c>
      <c r="BK57" s="273">
        <f>('Cost-Effectiveness'!$B$3*BF57)+('Cost-Effectiveness'!$C$3*BG57)+('Cost-Effectiveness'!$D$3*BH57)+('Cost-Effectiveness'!$E$3*BI57)</f>
        <v>6039.115147963668</v>
      </c>
    </row>
    <row r="58" spans="1:63" ht="12.75">
      <c r="A58" s="157" t="s">
        <v>23</v>
      </c>
      <c r="B58" s="336">
        <f>'Cost-Effectiveness'!$B$18</f>
        <v>0.12</v>
      </c>
      <c r="C58" s="336">
        <f>'Cost-Effectiveness'!$C$18</f>
        <v>0.73</v>
      </c>
      <c r="D58" s="336">
        <f>'Cost-Effectiveness'!$D$18</f>
        <v>0.15</v>
      </c>
      <c r="E58" s="336">
        <f>SUM(B58:D58)</f>
        <v>1</v>
      </c>
      <c r="G58" s="5"/>
      <c r="L58" s="119"/>
      <c r="M58" s="322">
        <f>(0.000000051*(M57^4))+(-0.0001126244*(M57^3))+(+0.0943524071*(M57^2))+(+8.8983205856*(M57))+(-1536.880609726)</f>
        <v>14195.1571763204</v>
      </c>
      <c r="N58" s="322">
        <f>(0.0000000518*(N57^4))+(-0.0001221526*(N57^3))+(+0.1124240638*(N57^2))+(-5.6214737705*(N57))+(-513.57063249)</f>
        <v>11443.0358468808</v>
      </c>
      <c r="O58" s="325">
        <f>(0.000000054*(O57^4))+(-0.0001223778*(O57^3))+(+0.1062873707*(O57^2))+(+2.0376692082*(O57))+(-1060.797358639)</f>
        <v>13218.658565049798</v>
      </c>
      <c r="P58" s="119"/>
      <c r="Q58" s="361" t="str">
        <f t="shared" si="18"/>
        <v>WINDOW CL25</v>
      </c>
      <c r="R58" s="359">
        <f t="shared" si="19"/>
        <v>243.4138549019608</v>
      </c>
      <c r="S58" s="159">
        <f t="shared" si="20"/>
        <v>479.96730356595486</v>
      </c>
      <c r="T58" s="159">
        <f>SUM(S$52:S58)</f>
        <v>2037.9193542454277</v>
      </c>
      <c r="U58" s="360">
        <f ca="1">IF(ISNA(INDEX($AT$3:AU$72,MATCH(R58,$AT$3:$AT$72,0),1)),TREND(OFFSET(INDEX($AT$3:AU$72,MATCH(R58,$AT$3:$AT$72,-1),2),0,0,2,1),OFFSET(INDEX($AT$3:AU$72,MATCH(R58,$AT$3:$AT$72,-1),1),0,0,2,1),R58),INDEX($AT$3:AU$72,MATCH(R58,$AT$3:$AT$72,0),2))</f>
        <v>5968.733126327836</v>
      </c>
      <c r="V58" s="341">
        <f t="shared" si="13"/>
        <v>384.82163048433813</v>
      </c>
      <c r="W58" s="361" t="str">
        <f t="shared" si="21"/>
        <v>WINDOW CL25</v>
      </c>
      <c r="X58" s="359">
        <f t="shared" si="22"/>
        <v>396.41588235294114</v>
      </c>
      <c r="Y58" s="159">
        <f t="shared" si="23"/>
        <v>998.1138244610198</v>
      </c>
      <c r="Z58" s="159">
        <f>SUM(Y$52:Y58)</f>
        <v>3261.541452947788</v>
      </c>
      <c r="AA58" s="360">
        <f ca="1" t="shared" si="14"/>
        <v>10586.915511625091</v>
      </c>
      <c r="AB58" s="341">
        <f t="shared" si="15"/>
        <v>812.1537300611271</v>
      </c>
      <c r="AC58" s="361" t="str">
        <f t="shared" si="24"/>
        <v>FLOOR R38 STD w/12"Truss</v>
      </c>
      <c r="AD58" s="359">
        <f t="shared" si="25"/>
        <v>417.24458521400777</v>
      </c>
      <c r="AE58" s="159">
        <f t="shared" si="26"/>
        <v>30.63064064575458</v>
      </c>
      <c r="AF58" s="159">
        <f>SUM(AE$52:AE58)</f>
        <v>1104.339315418412</v>
      </c>
      <c r="AG58" s="360">
        <f ca="1" t="shared" si="16"/>
        <v>13420.560859829824</v>
      </c>
      <c r="AH58" s="341">
        <f t="shared" si="17"/>
        <v>35.68117198945038</v>
      </c>
      <c r="AJ58" s="116"/>
      <c r="AP58" s="150">
        <v>2621.7697040726634</v>
      </c>
      <c r="AQ58" s="150">
        <v>3045.854087313214</v>
      </c>
      <c r="AR58" s="150">
        <v>5178.230295927337</v>
      </c>
      <c r="AS58" s="150">
        <v>6268.76648110167</v>
      </c>
      <c r="AT58" s="273">
        <v>250</v>
      </c>
      <c r="AU58" s="273">
        <f>('Cost-Effectiveness'!$B$3*AP58)+('Cost-Effectiveness'!$C$3*AQ58)+('Cost-Effectiveness'!$D$3*AR58)+('Cost-Effectiveness'!$E$3*AS58)</f>
        <v>6268.76648110167</v>
      </c>
      <c r="AV58" s="270"/>
      <c r="AW58" s="141"/>
      <c r="AX58" s="150">
        <v>1518.341634925286</v>
      </c>
      <c r="AY58" s="150">
        <v>1801.4356870788165</v>
      </c>
      <c r="AZ58" s="150">
        <v>3495.985936126575</v>
      </c>
      <c r="BA58" s="150">
        <v>4295.458540873132</v>
      </c>
      <c r="BB58" s="273">
        <v>250</v>
      </c>
      <c r="BC58" s="273">
        <f>('Cost-Effectiveness'!$B$3*AX58)+('Cost-Effectiveness'!$C$3*AY58)+('Cost-Effectiveness'!$D$3*AZ58)+('Cost-Effectiveness'!$E$3*BA58)</f>
        <v>4295.458540873132</v>
      </c>
      <c r="BD58" s="141"/>
      <c r="BE58" s="141"/>
      <c r="BF58" s="150">
        <v>2132.493407559332</v>
      </c>
      <c r="BG58" s="150">
        <v>2537.8845590389687</v>
      </c>
      <c r="BH58" s="150">
        <v>4504.248461763845</v>
      </c>
      <c r="BI58" s="150">
        <v>5594.520949311456</v>
      </c>
      <c r="BJ58" s="273">
        <v>250</v>
      </c>
      <c r="BK58" s="273">
        <f>('Cost-Effectiveness'!$B$3*BF58)+('Cost-Effectiveness'!$C$3*BG58)+('Cost-Effectiveness'!$D$3*BH58)+('Cost-Effectiveness'!$E$3*BI58)</f>
        <v>5594.520949311456</v>
      </c>
    </row>
    <row r="59" spans="1:63" ht="12.75">
      <c r="A59" s="155" t="s">
        <v>228</v>
      </c>
      <c r="B59" s="155">
        <v>1344</v>
      </c>
      <c r="C59" s="155">
        <v>2200</v>
      </c>
      <c r="D59" s="155">
        <v>2283</v>
      </c>
      <c r="E59" s="313">
        <f>SUMPRODUCT(B58:D58,B59:D59)</f>
        <v>2109.73</v>
      </c>
      <c r="K59" s="129"/>
      <c r="L59" s="5"/>
      <c r="M59" s="529" t="s">
        <v>373</v>
      </c>
      <c r="N59" s="530"/>
      <c r="O59" s="531"/>
      <c r="P59" s="119"/>
      <c r="Q59" s="361" t="str">
        <f t="shared" si="18"/>
        <v>VAULT R38 HD</v>
      </c>
      <c r="R59" s="359">
        <f t="shared" si="19"/>
        <v>240.5788549019608</v>
      </c>
      <c r="S59" s="159">
        <f t="shared" si="20"/>
        <v>181.13311535710622</v>
      </c>
      <c r="T59" s="159">
        <f>SUM(S$52:S59)</f>
        <v>2219.052469602534</v>
      </c>
      <c r="U59" s="360">
        <f ca="1">IF(ISNA(INDEX($AT$3:AU$72,MATCH(R59,$AT$3:$AT$72,0),1)),TREND(OFFSET(INDEX($AT$3:AU$72,MATCH(R59,$AT$3:$AT$72,-1),2),0,0,2,1),OFFSET(INDEX($AT$3:AU$72,MATCH(R59,$AT$3:$AT$72,-1),1),0,0,2,1),R59),INDEX($AT$3:AU$72,MATCH(R59,$AT$3:$AT$72,0),2))</f>
        <v>5839.584049269546</v>
      </c>
      <c r="V59" s="341">
        <f t="shared" si="13"/>
        <v>129.14907705828955</v>
      </c>
      <c r="W59" s="361" t="str">
        <f t="shared" si="21"/>
        <v>VAULT R38 HD</v>
      </c>
      <c r="X59" s="359">
        <f t="shared" si="22"/>
        <v>391.6278823529411</v>
      </c>
      <c r="Y59" s="159">
        <f t="shared" si="23"/>
        <v>305.9137059364461</v>
      </c>
      <c r="Z59" s="159">
        <f>SUM(Y$52:Y59)</f>
        <v>3567.455158884234</v>
      </c>
      <c r="AA59" s="360">
        <f ca="1" t="shared" si="14"/>
        <v>10366.566504886185</v>
      </c>
      <c r="AB59" s="341">
        <f t="shared" si="15"/>
        <v>220.3490067389066</v>
      </c>
      <c r="AC59" s="361" t="str">
        <f t="shared" si="24"/>
        <v>ATTIC R49 ADVrh</v>
      </c>
      <c r="AD59" s="359">
        <f t="shared" si="25"/>
        <v>404.0665852140078</v>
      </c>
      <c r="AE59" s="159">
        <f t="shared" si="26"/>
        <v>614.205431695106</v>
      </c>
      <c r="AF59" s="159">
        <f>SUM(AE$52:AE59)</f>
        <v>1718.544747113518</v>
      </c>
      <c r="AG59" s="360">
        <f ca="1" t="shared" si="16"/>
        <v>12775.94191836887</v>
      </c>
      <c r="AH59" s="341">
        <f t="shared" si="17"/>
        <v>644.6189414609544</v>
      </c>
      <c r="AJ59" s="116"/>
      <c r="AP59" s="150">
        <v>2371.901552886024</v>
      </c>
      <c r="AQ59" s="150">
        <v>2761.382947553472</v>
      </c>
      <c r="AR59" s="150">
        <v>4783.855845297392</v>
      </c>
      <c r="AS59" s="150">
        <v>5813.214181072371</v>
      </c>
      <c r="AT59" s="273">
        <v>240</v>
      </c>
      <c r="AU59" s="273">
        <f>('Cost-Effectiveness'!$B$3*AP59)+('Cost-Effectiveness'!$C$3*AQ59)+('Cost-Effectiveness'!$D$3*AR59)+('Cost-Effectiveness'!$E$3*AS59)</f>
        <v>5813.214181072371</v>
      </c>
      <c r="AV59" s="270"/>
      <c r="AW59" s="141"/>
      <c r="AX59" s="150">
        <v>1336.243773806036</v>
      </c>
      <c r="AY59" s="150">
        <v>1586.8444184002344</v>
      </c>
      <c r="AZ59" s="150">
        <v>3171.198359214767</v>
      </c>
      <c r="BA59" s="150">
        <v>3904.775857017287</v>
      </c>
      <c r="BB59" s="273">
        <v>240</v>
      </c>
      <c r="BC59" s="273">
        <f>('Cost-Effectiveness'!$B$3*AX59)+('Cost-Effectiveness'!$C$3*AY59)+('Cost-Effectiveness'!$D$3*AZ59)+('Cost-Effectiveness'!$E$3*BA59)</f>
        <v>3904.775857017287</v>
      </c>
      <c r="BD59" s="141"/>
      <c r="BE59" s="141"/>
      <c r="BF59" s="150">
        <v>1915.7632581306768</v>
      </c>
      <c r="BG59" s="150">
        <v>2274.860826252564</v>
      </c>
      <c r="BH59" s="150">
        <v>4135.013184881336</v>
      </c>
      <c r="BI59" s="150">
        <v>5151.831233518898</v>
      </c>
      <c r="BJ59" s="273">
        <v>240</v>
      </c>
      <c r="BK59" s="273">
        <f>('Cost-Effectiveness'!$B$3*BF59)+('Cost-Effectiveness'!$C$3*BG59)+('Cost-Effectiveness'!$D$3*BH59)+('Cost-Effectiveness'!$E$3*BI59)</f>
        <v>5151.831233518898</v>
      </c>
    </row>
    <row r="60" spans="1:63" ht="12.75">
      <c r="A60" s="314" t="s">
        <v>346</v>
      </c>
      <c r="B60" s="315">
        <f>VLOOKUP($A60,$A$5:$I$48,7,0)</f>
        <v>108.32799999999999</v>
      </c>
      <c r="C60" s="315">
        <f>VLOOKUP($A60,$A$5:$I$48,8,0)</f>
        <v>186.736</v>
      </c>
      <c r="D60" s="315">
        <f>VLOOKUP($A60,$A$5:$I$48,9,0)</f>
        <v>159.896</v>
      </c>
      <c r="E60" s="316"/>
      <c r="F60" s="5"/>
      <c r="G60"/>
      <c r="L60" s="119"/>
      <c r="M60" s="324">
        <v>1344</v>
      </c>
      <c r="N60" s="324">
        <v>2200</v>
      </c>
      <c r="O60" s="324">
        <v>2283</v>
      </c>
      <c r="P60" s="119"/>
      <c r="Q60" s="361" t="str">
        <f t="shared" si="18"/>
        <v>WALL R21 STD+R5</v>
      </c>
      <c r="R60" s="359">
        <f t="shared" si="19"/>
        <v>230.73085490196078</v>
      </c>
      <c r="S60" s="159">
        <f t="shared" si="20"/>
        <v>765.4060406661896</v>
      </c>
      <c r="T60" s="159">
        <f>SUM(S$52:S60)</f>
        <v>2984.458510268724</v>
      </c>
      <c r="U60" s="360">
        <f ca="1">IF(ISNA(INDEX($AT$3:AU$72,MATCH(R60,$AT$3:$AT$72,0),1)),TREND(OFFSET(INDEX($AT$3:AU$72,MATCH(R60,$AT$3:$AT$72,-1),2),0,0,2,1),OFFSET(INDEX($AT$3:AU$72,MATCH(R60,$AT$3:$AT$72,-1),1),0,0,2,1),R60),INDEX($AT$3:AU$72,MATCH(R60,$AT$3:$AT$72,0),2))</f>
        <v>5396.089072485236</v>
      </c>
      <c r="V60" s="341">
        <f t="shared" si="13"/>
        <v>443.49497678431</v>
      </c>
      <c r="W60" s="361" t="str">
        <f t="shared" si="21"/>
        <v>WALL R21 STD+R5</v>
      </c>
      <c r="X60" s="359">
        <f t="shared" si="22"/>
        <v>374.65188235294113</v>
      </c>
      <c r="Y60" s="159">
        <f t="shared" si="23"/>
        <v>1319.408300807193</v>
      </c>
      <c r="Z60" s="159">
        <f>SUM(Y$52:Y60)</f>
        <v>4886.863459691427</v>
      </c>
      <c r="AA60" s="360">
        <f ca="1" t="shared" si="14"/>
        <v>9592.481464297423</v>
      </c>
      <c r="AB60" s="341">
        <f t="shared" si="15"/>
        <v>774.0850405887613</v>
      </c>
      <c r="AC60" s="361" t="str">
        <f t="shared" si="24"/>
        <v>WINDOW CL30</v>
      </c>
      <c r="AD60" s="359">
        <f t="shared" si="25"/>
        <v>394.56695</v>
      </c>
      <c r="AE60" s="159">
        <f t="shared" si="26"/>
        <v>510.51067742924283</v>
      </c>
      <c r="AF60" s="159">
        <f>SUM(AE$52:AE60)</f>
        <v>2229.055424542761</v>
      </c>
      <c r="AG60" s="360">
        <f ca="1" t="shared" si="16"/>
        <v>12315.094063287426</v>
      </c>
      <c r="AH60" s="341">
        <f t="shared" si="17"/>
        <v>460.8478550814434</v>
      </c>
      <c r="AP60" s="150">
        <v>2124.6703779665986</v>
      </c>
      <c r="AQ60" s="150">
        <v>2482.1857603281574</v>
      </c>
      <c r="AR60" s="150">
        <v>4397.685320832113</v>
      </c>
      <c r="AS60" s="150">
        <v>5363.199531204219</v>
      </c>
      <c r="AT60" s="273">
        <v>230</v>
      </c>
      <c r="AU60" s="273">
        <f>('Cost-Effectiveness'!$B$3*AP60)+('Cost-Effectiveness'!$C$3*AQ60)+('Cost-Effectiveness'!$D$3*AR60)+('Cost-Effectiveness'!$E$3*AS60)</f>
        <v>5363.199531204219</v>
      </c>
      <c r="AV60" s="270"/>
      <c r="AW60" s="141"/>
      <c r="AX60" s="150">
        <v>1162.4377380603576</v>
      </c>
      <c r="AY60" s="150">
        <v>1381.9220627014358</v>
      </c>
      <c r="AZ60" s="150">
        <v>2858.1013770876066</v>
      </c>
      <c r="BA60" s="150">
        <v>3519.8945209493118</v>
      </c>
      <c r="BB60" s="273">
        <v>230</v>
      </c>
      <c r="BC60" s="273">
        <f>('Cost-Effectiveness'!$B$3*AX60)+('Cost-Effectiveness'!$C$3*AY60)+('Cost-Effectiveness'!$D$3*AZ60)+('Cost-Effectiveness'!$E$3*BA60)</f>
        <v>3519.8945209493118</v>
      </c>
      <c r="BD60" s="141"/>
      <c r="BE60" s="141"/>
      <c r="BF60" s="150">
        <v>1707.3542338118957</v>
      </c>
      <c r="BG60" s="150">
        <v>2022.9416935247584</v>
      </c>
      <c r="BH60" s="150">
        <v>3773.3372399648406</v>
      </c>
      <c r="BI60" s="150">
        <v>4712.774685027835</v>
      </c>
      <c r="BJ60" s="273">
        <v>230</v>
      </c>
      <c r="BK60" s="273">
        <f>('Cost-Effectiveness'!$B$3*BF60)+('Cost-Effectiveness'!$C$3*BG60)+('Cost-Effectiveness'!$D$3*BH60)+('Cost-Effectiveness'!$E$3*BI60)</f>
        <v>4712.774685027835</v>
      </c>
    </row>
    <row r="61" spans="1:63" ht="12.75">
      <c r="A61" s="314" t="s">
        <v>211</v>
      </c>
      <c r="B61" s="315">
        <f aca="true" t="shared" si="27" ref="B61:B69">VLOOKUP($A61,$A$5:$I$48,7,0)</f>
        <v>34.559999999999995</v>
      </c>
      <c r="C61" s="315">
        <f aca="true" t="shared" si="28" ref="C61:C69">VLOOKUP($A61,$A$5:$I$48,8,0)</f>
        <v>28.871999999999996</v>
      </c>
      <c r="D61" s="315">
        <f aca="true" t="shared" si="29" ref="D61:D69">VLOOKUP($A61,$A$5:$I$48,9,0)</f>
        <v>43.128</v>
      </c>
      <c r="E61" s="316"/>
      <c r="F61" s="5"/>
      <c r="G61"/>
      <c r="K61" s="131"/>
      <c r="L61" s="119"/>
      <c r="M61" s="323">
        <v>468</v>
      </c>
      <c r="N61" s="323">
        <v>468</v>
      </c>
      <c r="O61" s="323">
        <v>468</v>
      </c>
      <c r="P61" s="119"/>
      <c r="Q61" s="361" t="str">
        <f t="shared" si="18"/>
        <v>WALL 8" SSPANEL</v>
      </c>
      <c r="R61" s="359">
        <f t="shared" si="19"/>
        <v>219.6518549019608</v>
      </c>
      <c r="S61" s="159">
        <f t="shared" si="20"/>
        <v>1047.3977398589964</v>
      </c>
      <c r="T61" s="159">
        <f>SUM(S$52:S61)</f>
        <v>4031.85625012772</v>
      </c>
      <c r="U61" s="360">
        <f ca="1">IF(ISNA(INDEX($AT$3:AU$72,MATCH(R61,$AT$3:$AT$72,0),1)),TREND(OFFSET(INDEX($AT$3:AU$72,MATCH(R61,$AT$3:$AT$72,-1),2),0,0,2,1),OFFSET(INDEX($AT$3:AU$72,MATCH(R61,$AT$3:$AT$72,-1),1),0,0,2,1),R61),INDEX($AT$3:AU$72,MATCH(R61,$AT$3:$AT$72,0),2))</f>
        <v>4903.635514520602</v>
      </c>
      <c r="V61" s="341">
        <f t="shared" si="13"/>
        <v>492.45355796463446</v>
      </c>
      <c r="W61" s="361" t="str">
        <f t="shared" si="21"/>
        <v>WALL 8" SSPANEL</v>
      </c>
      <c r="X61" s="359">
        <f t="shared" si="22"/>
        <v>355.5538823529412</v>
      </c>
      <c r="Y61" s="159">
        <f t="shared" si="23"/>
        <v>1805.506095841422</v>
      </c>
      <c r="Z61" s="159">
        <f>SUM(Y$52:Y61)</f>
        <v>6692.369555532849</v>
      </c>
      <c r="AA61" s="360">
        <f ca="1" t="shared" si="14"/>
        <v>8739.14212578206</v>
      </c>
      <c r="AB61" s="341">
        <f t="shared" si="15"/>
        <v>853.3393385153631</v>
      </c>
      <c r="AC61" s="361" t="str">
        <f t="shared" si="24"/>
        <v>WINDOW CL25</v>
      </c>
      <c r="AD61" s="359">
        <f t="shared" si="25"/>
        <v>384.99280784313726</v>
      </c>
      <c r="AE61" s="159">
        <f t="shared" si="26"/>
        <v>545.4173904158578</v>
      </c>
      <c r="AF61" s="159">
        <f>SUM(AE$52:AE61)</f>
        <v>2774.472814958619</v>
      </c>
      <c r="AG61" s="360">
        <f ca="1" t="shared" si="16"/>
        <v>11854.929812148475</v>
      </c>
      <c r="AH61" s="341">
        <f t="shared" si="17"/>
        <v>460.16425113895093</v>
      </c>
      <c r="AP61" s="150">
        <v>1886.0240257837681</v>
      </c>
      <c r="AQ61" s="150">
        <v>2212.10079109288</v>
      </c>
      <c r="AR61" s="150">
        <v>4018.4588338704953</v>
      </c>
      <c r="AS61" s="150">
        <v>4918.869030178728</v>
      </c>
      <c r="AT61" s="273">
        <v>220</v>
      </c>
      <c r="AU61" s="273">
        <f>('Cost-Effectiveness'!$B$3*AP61)+('Cost-Effectiveness'!$C$3*AQ61)+('Cost-Effectiveness'!$D$3*AR61)+('Cost-Effectiveness'!$E$3*AS61)</f>
        <v>4918.869030178728</v>
      </c>
      <c r="AV61" s="270"/>
      <c r="AW61" s="141"/>
      <c r="AX61" s="150">
        <v>998.2420158218576</v>
      </c>
      <c r="AY61" s="150">
        <v>1186.9030178728392</v>
      </c>
      <c r="AZ61" s="150">
        <v>2561.793143861705</v>
      </c>
      <c r="BA61" s="150">
        <v>3153.618517433343</v>
      </c>
      <c r="BB61" s="273">
        <v>220</v>
      </c>
      <c r="BC61" s="273">
        <f>('Cost-Effectiveness'!$B$3*AX61)+('Cost-Effectiveness'!$C$3*AY61)+('Cost-Effectiveness'!$D$3*AZ61)+('Cost-Effectiveness'!$E$3*BA61)</f>
        <v>3153.618517433343</v>
      </c>
      <c r="BD61" s="141"/>
      <c r="BE61" s="141"/>
      <c r="BF61" s="150">
        <v>1512.7453852915326</v>
      </c>
      <c r="BG61" s="150">
        <v>1782.5080574274832</v>
      </c>
      <c r="BH61" s="150">
        <v>3430.2373278640493</v>
      </c>
      <c r="BI61" s="150">
        <v>4281.277468502783</v>
      </c>
      <c r="BJ61" s="273">
        <v>220</v>
      </c>
      <c r="BK61" s="273">
        <f>('Cost-Effectiveness'!$B$3*BF61)+('Cost-Effectiveness'!$C$3*BG61)+('Cost-Effectiveness'!$D$3*BH61)+('Cost-Effectiveness'!$E$3*BI61)</f>
        <v>4281.277468502783</v>
      </c>
    </row>
    <row r="62" spans="1:63" ht="13.5" thickBot="1">
      <c r="A62" s="314" t="s">
        <v>368</v>
      </c>
      <c r="B62" s="315">
        <f t="shared" si="27"/>
        <v>20.25</v>
      </c>
      <c r="C62" s="315">
        <f t="shared" si="28"/>
        <v>34.2</v>
      </c>
      <c r="D62" s="315">
        <f t="shared" si="29"/>
        <v>0</v>
      </c>
      <c r="E62" s="316"/>
      <c r="F62" s="5"/>
      <c r="G62"/>
      <c r="L62" s="119"/>
      <c r="M62" s="322">
        <f>(0.000000039*(M61^4))+(-0.0000915628*(M61^3))+(+0.0826236708*(M61^2))+(+18.780984201*(M61))+(-2317.03116444)</f>
        <v>17054.442374421596</v>
      </c>
      <c r="N62" s="322">
        <f>(0.0000000657*(N61^4))+(-0.0001522392*(N61^3))+(+0.1356085946*(N61^2))+(-5.4819652547*(N61))+(-693.95778761)</f>
        <v>13988.737636009602</v>
      </c>
      <c r="O62" s="325">
        <f>(0.0000000456*(O61^4))+(-0.0001041814*(O61^3))+(+0.0932589495*(O61^2))+(+12.972079966*(O61))+(-2042.15525095)</f>
        <v>15963.2970876068</v>
      </c>
      <c r="P62" s="119"/>
      <c r="Q62" s="361" t="str">
        <f t="shared" si="18"/>
        <v>ATTIC R60 ADVrh</v>
      </c>
      <c r="R62" s="359">
        <f t="shared" si="19"/>
        <v>216.7718549019608</v>
      </c>
      <c r="S62" s="159">
        <f t="shared" si="20"/>
        <v>282.74437519158073</v>
      </c>
      <c r="T62" s="159">
        <f>SUM(S$52:S62)</f>
        <v>4314.600625319301</v>
      </c>
      <c r="U62" s="360">
        <f ca="1">IF(ISNA(INDEX($AT$3:AU$72,MATCH(R62,$AT$3:$AT$72,0),1)),TREND(OFFSET(INDEX($AT$3:AU$72,MATCH(R62,$AT$3:$AT$72,-1),2),0,0,2,1),OFFSET(INDEX($AT$3:AU$72,MATCH(R62,$AT$3:$AT$72,-1),1),0,0,2,1),R62),INDEX($AT$3:AU$72,MATCH(R62,$AT$3:$AT$72,0),2))</f>
        <v>4777.617583081987</v>
      </c>
      <c r="V62" s="341">
        <f t="shared" si="13"/>
        <v>126.01793143861505</v>
      </c>
      <c r="W62" s="361" t="str">
        <f t="shared" si="21"/>
        <v>ATTIC R60 ADVrh</v>
      </c>
      <c r="X62" s="359">
        <f t="shared" si="22"/>
        <v>353.14788235294117</v>
      </c>
      <c r="Y62" s="159">
        <f t="shared" si="23"/>
        <v>236.20936344129973</v>
      </c>
      <c r="Z62" s="159">
        <f>SUM(Y$52:Y62)</f>
        <v>6928.578918974148</v>
      </c>
      <c r="AA62" s="360">
        <f ca="1" t="shared" si="14"/>
        <v>8632.814267592712</v>
      </c>
      <c r="AB62" s="341">
        <f t="shared" si="15"/>
        <v>106.32785818934826</v>
      </c>
      <c r="AC62" s="361" t="str">
        <f t="shared" si="24"/>
        <v>WALL R21 STD+R5</v>
      </c>
      <c r="AD62" s="359">
        <f t="shared" si="25"/>
        <v>370.45680784313726</v>
      </c>
      <c r="AE62" s="159">
        <f t="shared" si="26"/>
        <v>1129.7666741595992</v>
      </c>
      <c r="AF62" s="159">
        <f>SUM(AE$52:AE62)</f>
        <v>3904.2394891182184</v>
      </c>
      <c r="AG62" s="360">
        <f ca="1" t="shared" si="16"/>
        <v>11161.180466405673</v>
      </c>
      <c r="AH62" s="341">
        <f t="shared" si="17"/>
        <v>693.7493457428027</v>
      </c>
      <c r="AP62" s="150">
        <v>1655.728098447114</v>
      </c>
      <c r="AQ62" s="150">
        <v>1950.3955464400822</v>
      </c>
      <c r="AR62" s="150">
        <v>3645.590389686493</v>
      </c>
      <c r="AS62" s="150">
        <v>4481.3067682390865</v>
      </c>
      <c r="AT62" s="273">
        <v>210</v>
      </c>
      <c r="AU62" s="273">
        <f>('Cost-Effectiveness'!$B$3*AP62)+('Cost-Effectiveness'!$C$3*AQ62)+('Cost-Effectiveness'!$D$3*AR62)+('Cost-Effectiveness'!$E$3*AS62)</f>
        <v>4481.3067682390865</v>
      </c>
      <c r="AV62" s="270"/>
      <c r="AW62" s="141"/>
      <c r="AX62" s="150">
        <v>845.7954878406094</v>
      </c>
      <c r="AY62" s="150">
        <v>1002.1388807500733</v>
      </c>
      <c r="AZ62" s="150">
        <v>2281.072370348667</v>
      </c>
      <c r="BA62" s="150">
        <v>2803.1350717843543</v>
      </c>
      <c r="BB62" s="273">
        <v>210</v>
      </c>
      <c r="BC62" s="273">
        <f>('Cost-Effectiveness'!$B$3*AX62)+('Cost-Effectiveness'!$C$3*AY62)+('Cost-Effectiveness'!$D$3*AZ62)+('Cost-Effectiveness'!$E$3*BA62)</f>
        <v>2803.1350717843543</v>
      </c>
      <c r="BD62" s="141"/>
      <c r="BE62" s="141"/>
      <c r="BF62" s="150">
        <v>1323.000292997363</v>
      </c>
      <c r="BG62" s="150">
        <v>1550.5127453852915</v>
      </c>
      <c r="BH62" s="150">
        <v>3100.5859947260474</v>
      </c>
      <c r="BI62" s="150">
        <v>3855.8452973923236</v>
      </c>
      <c r="BJ62" s="273">
        <v>210</v>
      </c>
      <c r="BK62" s="273">
        <f>('Cost-Effectiveness'!$B$3*BF62)+('Cost-Effectiveness'!$C$3*BG62)+('Cost-Effectiveness'!$D$3*BH62)+('Cost-Effectiveness'!$E$3*BI62)</f>
        <v>3855.8452973923236</v>
      </c>
    </row>
    <row r="63" spans="1:63" ht="12.75">
      <c r="A63" s="314" t="s">
        <v>369</v>
      </c>
      <c r="B63" s="315">
        <f t="shared" si="27"/>
        <v>0</v>
      </c>
      <c r="C63" s="315">
        <f t="shared" si="28"/>
        <v>0</v>
      </c>
      <c r="D63" s="315">
        <f t="shared" si="29"/>
        <v>24.907999999999998</v>
      </c>
      <c r="E63" s="316"/>
      <c r="F63" s="5"/>
      <c r="G63" s="344" t="s">
        <v>374</v>
      </c>
      <c r="H63" s="343" t="s">
        <v>23</v>
      </c>
      <c r="I63" s="343" t="s">
        <v>204</v>
      </c>
      <c r="J63" s="343" t="s">
        <v>376</v>
      </c>
      <c r="K63" s="337"/>
      <c r="L63" s="119"/>
      <c r="M63" s="119"/>
      <c r="N63" s="119"/>
      <c r="O63" s="119"/>
      <c r="P63" s="119"/>
      <c r="Q63" s="361" t="str">
        <f t="shared" si="18"/>
        <v>WALL R33 DBL</v>
      </c>
      <c r="R63" s="359">
        <f t="shared" si="19"/>
        <v>215.5408549019608</v>
      </c>
      <c r="S63" s="159">
        <f t="shared" si="20"/>
        <v>537.1270460815373</v>
      </c>
      <c r="T63" s="159">
        <f>SUM(S$52:S63)</f>
        <v>4851.7276714008385</v>
      </c>
      <c r="U63" s="360">
        <f ca="1">IF(ISNA(INDEX($AT$3:AU$72,MATCH(R63,$AT$3:$AT$72,0),1)),TREND(OFFSET(INDEX($AT$3:AU$72,MATCH(R63,$AT$3:$AT$72,-1),2),0,0,2,1),OFFSET(INDEX($AT$3:AU$72,MATCH(R63,$AT$3:$AT$72,-1),1),0,0,2,1),R63),INDEX($AT$3:AU$72,MATCH(R63,$AT$3:$AT$72,0),2))</f>
        <v>4723.753668637219</v>
      </c>
      <c r="V63" s="341">
        <f t="shared" si="13"/>
        <v>53.86391444476794</v>
      </c>
      <c r="W63" s="361" t="str">
        <f t="shared" si="21"/>
        <v>WALL R33 DBL</v>
      </c>
      <c r="X63" s="359">
        <f t="shared" si="22"/>
        <v>351.02588235294115</v>
      </c>
      <c r="Y63" s="159">
        <f t="shared" si="23"/>
        <v>925.900561969961</v>
      </c>
      <c r="Z63" s="159">
        <f>SUM(Y$52:Y63)</f>
        <v>7854.479480944109</v>
      </c>
      <c r="AA63" s="360">
        <f ca="1" t="shared" si="14"/>
        <v>8539.037162406596</v>
      </c>
      <c r="AB63" s="341">
        <f t="shared" si="15"/>
        <v>93.77710518611639</v>
      </c>
      <c r="AC63" s="361" t="str">
        <f t="shared" si="24"/>
        <v>WALL 8" SSPANEL</v>
      </c>
      <c r="AD63" s="359">
        <f t="shared" si="25"/>
        <v>354.10380784313725</v>
      </c>
      <c r="AE63" s="159">
        <f t="shared" si="26"/>
        <v>1545.9965014815568</v>
      </c>
      <c r="AF63" s="159">
        <f>SUM(AE$52:AE63)</f>
        <v>5450.2359905997755</v>
      </c>
      <c r="AG63" s="360">
        <f ca="1">IF(ISNA(INDEX($BJ$3:$BK$72,MATCH(AD63,$BJ$3:$BJ$72,0),1)),TREND(OFFSET(INDEX($BJ$3:$BK$72,MATCH(AD63,$BJ$3:$BJ$72,-1),2),0,0,2,1),OFFSET(INDEX($BJ$3:$BK$72,MATCH(AD63,$BJ$3:$BJ$72,-1),1),0,0,2,1),AD63),INDEX($BJ$3:$BK$72,MATCH(AD63,$BJ$3:$BJ$72,0),2))</f>
        <v>10386.480893998138</v>
      </c>
      <c r="AH63" s="341">
        <f>AG62-AG63</f>
        <v>774.699572407535</v>
      </c>
      <c r="AP63" s="150">
        <v>1437.1813653677118</v>
      </c>
      <c r="AQ63" s="150">
        <v>1696.3961324348081</v>
      </c>
      <c r="AR63" s="150">
        <v>3279.1678874890126</v>
      </c>
      <c r="AS63" s="150">
        <v>4047.172575446821</v>
      </c>
      <c r="AT63" s="273">
        <v>200</v>
      </c>
      <c r="AU63" s="273">
        <f>('Cost-Effectiveness'!$B$3*AP63)+('Cost-Effectiveness'!$C$3*AQ63)+('Cost-Effectiveness'!$D$3*AR63)+('Cost-Effectiveness'!$E$3*AS63)</f>
        <v>4047.172575446821</v>
      </c>
      <c r="AV63" s="270"/>
      <c r="AW63" s="141"/>
      <c r="AX63" s="150">
        <v>699.1503076472312</v>
      </c>
      <c r="AY63" s="150">
        <v>832.6106065045415</v>
      </c>
      <c r="AZ63" s="150">
        <v>2010.6944037503663</v>
      </c>
      <c r="BA63" s="150">
        <v>2469.9091708174624</v>
      </c>
      <c r="BB63" s="273">
        <v>200</v>
      </c>
      <c r="BC63" s="273">
        <f>('Cost-Effectiveness'!$B$3*AX63)+('Cost-Effectiveness'!$C$3*AY63)+('Cost-Effectiveness'!$D$3*AZ63)+('Cost-Effectiveness'!$E$3*BA63)</f>
        <v>2469.9091708174624</v>
      </c>
      <c r="BD63" s="141"/>
      <c r="BE63" s="141"/>
      <c r="BF63" s="150">
        <v>1140.9024318781132</v>
      </c>
      <c r="BG63" s="150">
        <v>1328.0398476413714</v>
      </c>
      <c r="BH63" s="150">
        <v>2778.552593026663</v>
      </c>
      <c r="BI63" s="150">
        <v>3441.224728977439</v>
      </c>
      <c r="BJ63" s="273">
        <v>200</v>
      </c>
      <c r="BK63" s="273">
        <f>('Cost-Effectiveness'!$B$3*BF63)+('Cost-Effectiveness'!$C$3*BG63)+('Cost-Effectiveness'!$D$3*BH63)+('Cost-Effectiveness'!$E$3*BI63)</f>
        <v>3441.224728977439</v>
      </c>
    </row>
    <row r="64" spans="1:63" ht="12.75">
      <c r="A64" s="314" t="s">
        <v>214</v>
      </c>
      <c r="B64" s="315">
        <f t="shared" si="27"/>
        <v>55.104</v>
      </c>
      <c r="C64" s="315">
        <f t="shared" si="28"/>
        <v>70.561</v>
      </c>
      <c r="D64" s="315">
        <f t="shared" si="29"/>
        <v>4.264</v>
      </c>
      <c r="E64" s="316"/>
      <c r="F64" s="5"/>
      <c r="G64" s="328">
        <v>1344</v>
      </c>
      <c r="H64" s="336">
        <f>'Cost-Effectiveness'!$B$18</f>
        <v>0.12</v>
      </c>
      <c r="I64" s="341">
        <f>B70</f>
        <v>425.7079018867924</v>
      </c>
      <c r="J64" s="358">
        <f>L70</f>
        <v>14868.671991045725</v>
      </c>
      <c r="K64" s="327"/>
      <c r="L64" s="119"/>
      <c r="M64" s="119"/>
      <c r="N64" s="119"/>
      <c r="O64" s="119"/>
      <c r="P64" s="119"/>
      <c r="Q64" s="361" t="str">
        <f t="shared" si="18"/>
        <v>VAULT 10" SS Panel</v>
      </c>
      <c r="R64" s="359">
        <f t="shared" si="19"/>
        <v>215.1358549019608</v>
      </c>
      <c r="S64" s="159">
        <f t="shared" si="20"/>
        <v>631.7569633186881</v>
      </c>
      <c r="T64" s="159">
        <f>SUM(S$52:S64)</f>
        <v>5483.484634719527</v>
      </c>
      <c r="U64" s="360">
        <f ca="1">IF(ISNA(INDEX($AT$3:AU$72,MATCH(R64,$AT$3:$AT$72,0),1)),TREND(OFFSET(INDEX($AT$3:AU$72,MATCH(R64,$AT$3:$AT$72,-1),2),0,0,2,1),OFFSET(INDEX($AT$3:AU$72,MATCH(R64,$AT$3:$AT$72,-1),1),0,0,2,1),R64),INDEX($AT$3:AU$72,MATCH(R64,$AT$3:$AT$72,0),2))</f>
        <v>4706.032397028663</v>
      </c>
      <c r="V64" s="341">
        <f t="shared" si="13"/>
        <v>17.72127160855598</v>
      </c>
      <c r="W64" s="361" t="str">
        <f t="shared" si="21"/>
        <v>VAULT 10" SS Panel</v>
      </c>
      <c r="X64" s="359">
        <f t="shared" si="22"/>
        <v>350.3418823529411</v>
      </c>
      <c r="Y64" s="159">
        <f t="shared" si="23"/>
        <v>1066.9673158271178</v>
      </c>
      <c r="Z64" s="159">
        <f>SUM(Y$52:Y64)</f>
        <v>8921.446796771226</v>
      </c>
      <c r="AA64" s="360">
        <f ca="1" t="shared" si="14"/>
        <v>8508.809292497403</v>
      </c>
      <c r="AB64" s="341">
        <f t="shared" si="15"/>
        <v>30.227869909193032</v>
      </c>
      <c r="AC64" s="361" t="str">
        <f t="shared" si="24"/>
        <v>ATTIC R60 ADVrh</v>
      </c>
      <c r="AD64" s="359">
        <f t="shared" si="25"/>
        <v>350.50980784313725</v>
      </c>
      <c r="AE64" s="159">
        <f t="shared" si="26"/>
        <v>352.8414182078268</v>
      </c>
      <c r="AF64" s="159">
        <f>SUM(AE$52:AE64)</f>
        <v>5803.077408807602</v>
      </c>
      <c r="AG64" s="360">
        <f ca="1">IF(ISNA(INDEX($BJ$3:$BK$72,MATCH(AD64,$BJ$3:$BJ$72,0),1)),TREND(OFFSET(INDEX($BJ$3:$BK$72,MATCH(AD64,$BJ$3:$BJ$72,-1),2),0,0,2,1),OFFSET(INDEX($BJ$3:$BK$72,MATCH(AD64,$BJ$3:$BJ$72,-1),1),0,0,2,1),AD64),INDEX($BJ$3:$BK$72,MATCH(AD64,$BJ$3:$BJ$72,0),2))</f>
        <v>10216.879475890855</v>
      </c>
      <c r="AH64" s="341">
        <f>AG63-AG64</f>
        <v>169.60141810728237</v>
      </c>
      <c r="AP64" s="150">
        <v>1228.3035452680926</v>
      </c>
      <c r="AQ64" s="150">
        <v>1452.5344271901554</v>
      </c>
      <c r="AR64" s="150">
        <v>2917.960738353355</v>
      </c>
      <c r="AS64" s="150">
        <v>3619.1034280691474</v>
      </c>
      <c r="AT64" s="273">
        <v>190</v>
      </c>
      <c r="AU64" s="273">
        <f>('Cost-Effectiveness'!$B$3*AP64)+('Cost-Effectiveness'!$C$3*AQ64)+('Cost-Effectiveness'!$D$3*AR64)+('Cost-Effectiveness'!$E$3*AS64)</f>
        <v>3619.1034280691474</v>
      </c>
      <c r="AV64" s="270"/>
      <c r="AW64" s="141"/>
      <c r="AX64" s="150">
        <v>563.8734251391738</v>
      </c>
      <c r="AY64" s="150">
        <v>679.900380896572</v>
      </c>
      <c r="AZ64" s="150">
        <v>1748.432464107823</v>
      </c>
      <c r="BA64" s="150">
        <v>2149.5458540873133</v>
      </c>
      <c r="BB64" s="273">
        <v>190</v>
      </c>
      <c r="BC64" s="273">
        <f>('Cost-Effectiveness'!$B$3*AX64)+('Cost-Effectiveness'!$C$3*AY64)+('Cost-Effectiveness'!$D$3*AZ64)+('Cost-Effectiveness'!$E$3*BA64)</f>
        <v>2149.5458540873133</v>
      </c>
      <c r="BD64" s="141"/>
      <c r="BE64" s="141"/>
      <c r="BF64" s="150">
        <v>964.7524172282449</v>
      </c>
      <c r="BG64" s="150">
        <v>1118.0193378259596</v>
      </c>
      <c r="BH64" s="150">
        <v>2465.6900087899207</v>
      </c>
      <c r="BI64" s="150">
        <v>3037.0055669498975</v>
      </c>
      <c r="BJ64" s="273">
        <v>190</v>
      </c>
      <c r="BK64" s="273">
        <f>('Cost-Effectiveness'!$B$3*BF64)+('Cost-Effectiveness'!$C$3*BG64)+('Cost-Effectiveness'!$D$3*BH64)+('Cost-Effectiveness'!$E$3*BI64)</f>
        <v>3037.0055669498975</v>
      </c>
    </row>
    <row r="65" spans="1:63" ht="12.75">
      <c r="A65" s="314" t="s">
        <v>233</v>
      </c>
      <c r="B65" s="315">
        <f t="shared" si="27"/>
        <v>124.52830188679245</v>
      </c>
      <c r="C65" s="315">
        <f t="shared" si="28"/>
        <v>258.9622641509434</v>
      </c>
      <c r="D65" s="315">
        <f t="shared" si="29"/>
        <v>141.50943396226415</v>
      </c>
      <c r="E65" s="316"/>
      <c r="F65" s="5"/>
      <c r="G65" s="326">
        <v>2200</v>
      </c>
      <c r="H65" s="336">
        <f>'Cost-Effectiveness'!$C$18</f>
        <v>0.73</v>
      </c>
      <c r="I65" s="341">
        <f>C70</f>
        <v>712.2112641509434</v>
      </c>
      <c r="J65" s="358">
        <f>L71</f>
        <v>26094.154319421912</v>
      </c>
      <c r="K65" s="327"/>
      <c r="L65" s="119"/>
      <c r="M65" s="119"/>
      <c r="N65" s="119"/>
      <c r="O65" s="119"/>
      <c r="P65" s="119"/>
      <c r="Q65" s="361"/>
      <c r="R65" s="359"/>
      <c r="S65" s="159"/>
      <c r="T65" s="159"/>
      <c r="U65" s="360"/>
      <c r="V65" s="341"/>
      <c r="W65" s="361"/>
      <c r="X65" s="359"/>
      <c r="Y65" s="159"/>
      <c r="Z65" s="159"/>
      <c r="AA65" s="360"/>
      <c r="AB65" s="341"/>
      <c r="AC65" s="361" t="str">
        <f>AC48</f>
        <v>WALL R33 DBL</v>
      </c>
      <c r="AD65" s="359">
        <f>AD64-AE48</f>
        <v>348.69280784313725</v>
      </c>
      <c r="AE65" s="159">
        <f>AF48</f>
        <v>792.8187187084916</v>
      </c>
      <c r="AF65" s="159">
        <f>SUM(AE$52:AE65)</f>
        <v>6595.896127516094</v>
      </c>
      <c r="AG65" s="360">
        <f ca="1">IF(ISNA(INDEX($BJ$3:$BK$72,MATCH(AD65,$BJ$3:$BJ$72,0),1)),TREND(OFFSET(INDEX($BJ$3:$BK$72,MATCH(AD65,$BJ$3:$BJ$72,-1),2),0,0,2,1),OFFSET(INDEX($BJ$3:$BK$72,MATCH(AD65,$BJ$3:$BJ$72,-1),1),0,0,2,1),AD65),INDEX($BJ$3:$BK$72,MATCH(AD65,$BJ$3:$BJ$72,0),2))</f>
        <v>10131.226884656744</v>
      </c>
      <c r="AH65" s="341">
        <f>AG64-AG65</f>
        <v>85.65259123411124</v>
      </c>
      <c r="AP65" s="150">
        <v>1029.036038675652</v>
      </c>
      <c r="AQ65" s="150">
        <v>1223.0881922062702</v>
      </c>
      <c r="AR65" s="150">
        <v>2565.2505127453855</v>
      </c>
      <c r="AS65" s="150">
        <v>3204.160562554937</v>
      </c>
      <c r="AT65" s="273">
        <v>180</v>
      </c>
      <c r="AU65" s="273">
        <f>('Cost-Effectiveness'!$B$3*AP65)+('Cost-Effectiveness'!$C$3*AQ65)+('Cost-Effectiveness'!$D$3*AR65)+('Cost-Effectiveness'!$E$3*AS65)</f>
        <v>3204.160562554937</v>
      </c>
      <c r="AV65" s="270"/>
      <c r="AW65" s="141"/>
      <c r="AX65" s="150">
        <v>436.2437738060358</v>
      </c>
      <c r="AY65" s="150">
        <v>543.0413126281863</v>
      </c>
      <c r="AZ65" s="150">
        <v>1496.6305303252273</v>
      </c>
      <c r="BA65" s="150">
        <v>1839.232346908878</v>
      </c>
      <c r="BB65" s="273">
        <v>180</v>
      </c>
      <c r="BC65" s="273">
        <f>('Cost-Effectiveness'!$B$3*AX65)+('Cost-Effectiveness'!$C$3*AY65)+('Cost-Effectiveness'!$D$3*AZ65)+('Cost-Effectiveness'!$E$3*BA65)</f>
        <v>1839.232346908878</v>
      </c>
      <c r="BD65" s="141"/>
      <c r="BE65" s="141"/>
      <c r="BF65" s="150">
        <v>797.0700263697628</v>
      </c>
      <c r="BG65" s="150">
        <v>922.2677995898036</v>
      </c>
      <c r="BH65" s="150">
        <v>2159.9472604746556</v>
      </c>
      <c r="BI65" s="150">
        <v>2658.1306768239087</v>
      </c>
      <c r="BJ65" s="273">
        <v>180</v>
      </c>
      <c r="BK65" s="273">
        <f>('Cost-Effectiveness'!$B$3*BF65)+('Cost-Effectiveness'!$C$3*BG65)+('Cost-Effectiveness'!$D$3*BH65)+('Cost-Effectiveness'!$E$3*BI65)</f>
        <v>2658.1306768239087</v>
      </c>
    </row>
    <row r="66" spans="1:63" ht="13.5" thickBot="1">
      <c r="A66" s="314" t="s">
        <v>218</v>
      </c>
      <c r="B66" s="315">
        <f t="shared" si="27"/>
        <v>15.200000000000001</v>
      </c>
      <c r="C66" s="315">
        <f t="shared" si="28"/>
        <v>22</v>
      </c>
      <c r="D66" s="315">
        <f t="shared" si="29"/>
        <v>35.6</v>
      </c>
      <c r="E66" s="316"/>
      <c r="F66" s="5"/>
      <c r="G66" s="338">
        <v>2283</v>
      </c>
      <c r="H66" s="339">
        <f>'Cost-Effectiveness'!$D$18</f>
        <v>0.15</v>
      </c>
      <c r="I66" s="342">
        <f>D70</f>
        <v>645.6086339622641</v>
      </c>
      <c r="J66" s="358">
        <f>L72</f>
        <v>25091.329070583728</v>
      </c>
      <c r="K66" s="340"/>
      <c r="L66" s="119"/>
      <c r="M66" s="119"/>
      <c r="N66" s="119"/>
      <c r="O66" s="119"/>
      <c r="P66" s="119"/>
      <c r="Q66" s="116"/>
      <c r="R66" s="119"/>
      <c r="S66" s="118"/>
      <c r="T66" s="118"/>
      <c r="U66" s="131"/>
      <c r="V66" s="131"/>
      <c r="W66" s="116"/>
      <c r="X66" s="119"/>
      <c r="Y66" s="118"/>
      <c r="Z66" s="118"/>
      <c r="AA66" s="131"/>
      <c r="AB66" s="131"/>
      <c r="AC66" s="116"/>
      <c r="AD66" s="119"/>
      <c r="AE66" s="118"/>
      <c r="AF66" s="118"/>
      <c r="AG66" s="202"/>
      <c r="AH66" s="131"/>
      <c r="AP66" s="150">
        <v>846.938177556402</v>
      </c>
      <c r="AQ66" s="150">
        <v>1005.9185467330794</v>
      </c>
      <c r="AR66" s="150">
        <v>2226.1353647817173</v>
      </c>
      <c r="AS66" s="150">
        <v>2799.3261060650457</v>
      </c>
      <c r="AT66" s="273">
        <v>170</v>
      </c>
      <c r="AU66" s="273">
        <f>('Cost-Effectiveness'!$B$3*AP66)+('Cost-Effectiveness'!$C$3*AQ66)+('Cost-Effectiveness'!$D$3*AR66)+('Cost-Effectiveness'!$E$3*AS66)</f>
        <v>2799.3261060650457</v>
      </c>
      <c r="AV66" s="270"/>
      <c r="AW66" s="141"/>
      <c r="AX66" s="150">
        <v>322.59009668912984</v>
      </c>
      <c r="AY66" s="150">
        <v>423.3811895692939</v>
      </c>
      <c r="AZ66" s="150">
        <v>1252.5637269264578</v>
      </c>
      <c r="BA66" s="150">
        <v>1543.9203047172575</v>
      </c>
      <c r="BB66" s="273">
        <v>170</v>
      </c>
      <c r="BC66" s="273">
        <f>('Cost-Effectiveness'!$B$3*AX66)+('Cost-Effectiveness'!$C$3*AY66)+('Cost-Effectiveness'!$D$3*AZ66)+('Cost-Effectiveness'!$E$3*BA66)</f>
        <v>1543.9203047172575</v>
      </c>
      <c r="BD66" s="141"/>
      <c r="BE66" s="141"/>
      <c r="BF66" s="150">
        <v>636.653970114269</v>
      </c>
      <c r="BG66" s="150">
        <v>741.283328450044</v>
      </c>
      <c r="BH66" s="150">
        <v>1870.2900673893937</v>
      </c>
      <c r="BI66" s="150">
        <v>2296.278933489599</v>
      </c>
      <c r="BJ66" s="273">
        <v>170</v>
      </c>
      <c r="BK66" s="273">
        <f>('Cost-Effectiveness'!$B$3*BF66)+('Cost-Effectiveness'!$C$3*BG66)+('Cost-Effectiveness'!$D$3*BH66)+('Cost-Effectiveness'!$E$3*BI66)</f>
        <v>2296.278933489599</v>
      </c>
    </row>
    <row r="67" spans="1:63" ht="13.5" thickBot="1">
      <c r="A67" s="314" t="s">
        <v>220</v>
      </c>
      <c r="B67" s="315">
        <f t="shared" si="27"/>
        <v>0</v>
      </c>
      <c r="C67" s="315">
        <f t="shared" si="28"/>
        <v>0</v>
      </c>
      <c r="D67" s="315">
        <f t="shared" si="29"/>
        <v>91</v>
      </c>
      <c r="E67" s="316"/>
      <c r="F67" s="5"/>
      <c r="G67" s="354">
        <f>SUMPRODUCT(G64:G66,H64:H66)</f>
        <v>2109.73</v>
      </c>
      <c r="H67" s="355">
        <f>SUM(H64:H66)</f>
        <v>1</v>
      </c>
      <c r="I67" s="356">
        <f>SUMPRODUCT($H64:$H66,I64:I66)</f>
        <v>667.8404661509435</v>
      </c>
      <c r="J67" s="356">
        <f>SUMPRODUCT($H64:$H66,J64:J66)</f>
        <v>24596.67265269104</v>
      </c>
      <c r="K67" s="357"/>
      <c r="L67" s="119"/>
      <c r="M67" s="119"/>
      <c r="N67" s="119"/>
      <c r="O67" s="119"/>
      <c r="P67" s="119"/>
      <c r="Q67" s="116"/>
      <c r="R67" s="119"/>
      <c r="S67" s="118"/>
      <c r="T67" s="118"/>
      <c r="U67" s="131"/>
      <c r="V67" s="131"/>
      <c r="W67" s="116"/>
      <c r="X67" s="119"/>
      <c r="Y67" s="118"/>
      <c r="Z67" s="118"/>
      <c r="AA67" s="131"/>
      <c r="AB67" s="131"/>
      <c r="AC67" s="116"/>
      <c r="AD67" s="119"/>
      <c r="AE67" s="118"/>
      <c r="AF67" s="118"/>
      <c r="AG67" s="202"/>
      <c r="AH67" s="131"/>
      <c r="AP67" s="150">
        <v>673.9525344271901</v>
      </c>
      <c r="AQ67" s="150">
        <v>799.6484031643715</v>
      </c>
      <c r="AR67" s="150">
        <v>1902.6369762672136</v>
      </c>
      <c r="AS67" s="150">
        <v>2402.080281277468</v>
      </c>
      <c r="AT67" s="273">
        <v>160</v>
      </c>
      <c r="AU67" s="273">
        <f>('Cost-Effectiveness'!$B$3*AP67)+('Cost-Effectiveness'!$C$3*AQ67)+('Cost-Effectiveness'!$D$3*AR67)+('Cost-Effectiveness'!$E$3*AS67)</f>
        <v>2402.080281277468</v>
      </c>
      <c r="AV67" s="270"/>
      <c r="AW67" s="141"/>
      <c r="AX67" s="150">
        <v>229.15323762086143</v>
      </c>
      <c r="AY67" s="150">
        <v>318.69323176091416</v>
      </c>
      <c r="AZ67" s="150">
        <v>1022.0920011719895</v>
      </c>
      <c r="BA67" s="150">
        <v>1265.221213009083</v>
      </c>
      <c r="BB67" s="273">
        <v>160</v>
      </c>
      <c r="BC67" s="273">
        <f>('Cost-Effectiveness'!$B$3*AX67)+('Cost-Effectiveness'!$C$3*AY67)+('Cost-Effectiveness'!$D$3*AZ67)+('Cost-Effectiveness'!$E$3*BA67)</f>
        <v>1265.221213009083</v>
      </c>
      <c r="BD67" s="141"/>
      <c r="BE67" s="141"/>
      <c r="BF67" s="150">
        <v>488.71960152358633</v>
      </c>
      <c r="BG67" s="150">
        <v>574.5092294169352</v>
      </c>
      <c r="BH67" s="150">
        <v>1586.727219455025</v>
      </c>
      <c r="BI67" s="150">
        <v>1949.13565777908</v>
      </c>
      <c r="BJ67" s="273">
        <v>160</v>
      </c>
      <c r="BK67" s="273">
        <f>('Cost-Effectiveness'!$B$3*BF67)+('Cost-Effectiveness'!$C$3*BG67)+('Cost-Effectiveness'!$D$3*BH67)+('Cost-Effectiveness'!$E$3*BI67)</f>
        <v>1949.13565777908</v>
      </c>
    </row>
    <row r="68" spans="1:63" ht="13.5" thickBot="1">
      <c r="A68" s="314" t="s">
        <v>222</v>
      </c>
      <c r="B68" s="315">
        <f t="shared" si="27"/>
        <v>0</v>
      </c>
      <c r="C68" s="315">
        <f t="shared" si="28"/>
        <v>0</v>
      </c>
      <c r="D68" s="315">
        <f t="shared" si="29"/>
        <v>30.24</v>
      </c>
      <c r="E68" s="316"/>
      <c r="F68" s="5"/>
      <c r="G68" s="346" t="s">
        <v>23</v>
      </c>
      <c r="H68" s="347">
        <f>'Cost-Effectiveness'!$B$3</f>
        <v>0</v>
      </c>
      <c r="I68" s="347">
        <f>'Cost-Effectiveness'!$C$3</f>
        <v>0</v>
      </c>
      <c r="J68" s="347">
        <f>'Cost-Effectiveness'!$D$3</f>
        <v>0</v>
      </c>
      <c r="K68" s="348">
        <f>'Cost-Effectiveness'!$E$3</f>
        <v>1</v>
      </c>
      <c r="L68" s="131" t="s">
        <v>375</v>
      </c>
      <c r="M68" s="119"/>
      <c r="N68" s="119"/>
      <c r="O68" s="119"/>
      <c r="P68" s="119"/>
      <c r="Q68" s="116"/>
      <c r="R68" s="119"/>
      <c r="S68" s="118"/>
      <c r="T68" s="118"/>
      <c r="U68" s="131"/>
      <c r="V68" s="131"/>
      <c r="W68" s="116"/>
      <c r="X68" s="119"/>
      <c r="Y68" s="118"/>
      <c r="Z68" s="118"/>
      <c r="AA68" s="131"/>
      <c r="AB68" s="131"/>
      <c r="AC68" s="116"/>
      <c r="AD68" s="119"/>
      <c r="AE68" s="118"/>
      <c r="AF68" s="118"/>
      <c r="AG68" s="202"/>
      <c r="AH68" s="131"/>
      <c r="AP68" s="150">
        <v>515.7632581306768</v>
      </c>
      <c r="AQ68" s="150">
        <v>610.049809551714</v>
      </c>
      <c r="AR68" s="150">
        <v>1596.6305303252273</v>
      </c>
      <c r="AS68" s="150">
        <v>2019.1034280691474</v>
      </c>
      <c r="AT68" s="273">
        <v>150</v>
      </c>
      <c r="AU68" s="273">
        <f>('Cost-Effectiveness'!$B$3*AP68)+('Cost-Effectiveness'!$C$3*AQ68)+('Cost-Effectiveness'!$D$3*AR68)+('Cost-Effectiveness'!$E$3*AS68)</f>
        <v>2019.1034280691474</v>
      </c>
      <c r="AV68" s="270"/>
      <c r="AW68" s="141"/>
      <c r="AX68" s="150">
        <v>154.87840609434517</v>
      </c>
      <c r="AY68" s="150">
        <v>223.49838851450338</v>
      </c>
      <c r="AZ68" s="150">
        <v>804.3363609727512</v>
      </c>
      <c r="BA68" s="150">
        <v>1013.0090829182539</v>
      </c>
      <c r="BB68" s="273">
        <v>150</v>
      </c>
      <c r="BC68" s="273">
        <f>('Cost-Effectiveness'!$B$3*AX68)+('Cost-Effectiveness'!$C$3*AY68)+('Cost-Effectiveness'!$D$3*AZ68)+('Cost-Effectiveness'!$E$3*BA68)</f>
        <v>1013.0090829182539</v>
      </c>
      <c r="BD68" s="141"/>
      <c r="BE68" s="141"/>
      <c r="BF68" s="150">
        <v>355.6401992382069</v>
      </c>
      <c r="BG68" s="150">
        <v>424.4652798124817</v>
      </c>
      <c r="BH68" s="150">
        <v>1311.8956929387637</v>
      </c>
      <c r="BI68" s="150">
        <v>1624.6117784939936</v>
      </c>
      <c r="BJ68" s="273">
        <v>150</v>
      </c>
      <c r="BK68" s="273">
        <f>('Cost-Effectiveness'!$B$3*BF68)+('Cost-Effectiveness'!$C$3*BG68)+('Cost-Effectiveness'!$D$3*BH68)+('Cost-Effectiveness'!$E$3*BI68)</f>
        <v>1624.6117784939936</v>
      </c>
    </row>
    <row r="69" spans="1:63" ht="12.75">
      <c r="A69" s="317" t="s">
        <v>224</v>
      </c>
      <c r="B69" s="315">
        <f t="shared" si="27"/>
        <v>67.73759999999999</v>
      </c>
      <c r="C69" s="315">
        <f t="shared" si="28"/>
        <v>110.87999999999998</v>
      </c>
      <c r="D69" s="315">
        <f t="shared" si="29"/>
        <v>115.06319999999998</v>
      </c>
      <c r="E69" s="316"/>
      <c r="F69" s="5"/>
      <c r="G69" s="345"/>
      <c r="H69" s="343" t="s">
        <v>200</v>
      </c>
      <c r="I69" s="343" t="s">
        <v>201</v>
      </c>
      <c r="J69" s="343" t="s">
        <v>202</v>
      </c>
      <c r="K69" s="349" t="s">
        <v>203</v>
      </c>
      <c r="L69" s="353" t="str">
        <f>INDEX('Cost-Effectiveness'!A5:A13,'Cost-Effectiveness'!A14,1)</f>
        <v>Missoula</v>
      </c>
      <c r="M69" s="119"/>
      <c r="N69" s="119"/>
      <c r="O69" s="119"/>
      <c r="P69" s="119"/>
      <c r="Q69" s="116"/>
      <c r="R69" s="119"/>
      <c r="S69" s="118"/>
      <c r="T69" s="118"/>
      <c r="U69" s="131"/>
      <c r="V69" s="131"/>
      <c r="W69" s="116"/>
      <c r="X69" s="119"/>
      <c r="Y69" s="118"/>
      <c r="Z69" s="118"/>
      <c r="AA69" s="131"/>
      <c r="AB69" s="131"/>
      <c r="AC69" s="116"/>
      <c r="AD69" s="119"/>
      <c r="AE69" s="118"/>
      <c r="AF69" s="118"/>
      <c r="AG69" s="131"/>
      <c r="AH69" s="131"/>
      <c r="AP69" s="150">
        <v>377.58570172868446</v>
      </c>
      <c r="AQ69" s="150">
        <v>445.1215939056549</v>
      </c>
      <c r="AR69" s="150">
        <v>1312.481687664811</v>
      </c>
      <c r="AS69" s="150">
        <v>1663.8734251391738</v>
      </c>
      <c r="AT69" s="273">
        <v>140</v>
      </c>
      <c r="AU69" s="273">
        <f>('Cost-Effectiveness'!$B$3*AP69)+('Cost-Effectiveness'!$C$3*AQ69)+('Cost-Effectiveness'!$D$3*AR69)+('Cost-Effectiveness'!$E$3*AS69)</f>
        <v>1663.8734251391738</v>
      </c>
      <c r="AV69" s="270"/>
      <c r="AW69" s="141"/>
      <c r="AX69" s="150">
        <v>96.24963375329622</v>
      </c>
      <c r="AY69" s="150">
        <v>140.40433636097276</v>
      </c>
      <c r="AZ69" s="150">
        <v>606.2701435687079</v>
      </c>
      <c r="BA69" s="150">
        <v>783.8558452973924</v>
      </c>
      <c r="BB69" s="273">
        <v>140</v>
      </c>
      <c r="BC69" s="273">
        <f>('Cost-Effectiveness'!$B$3*AX69)+('Cost-Effectiveness'!$C$3*AY69)+('Cost-Effectiveness'!$D$3*AZ69)+('Cost-Effectiveness'!$E$3*BA69)</f>
        <v>783.8558452973924</v>
      </c>
      <c r="BD69" s="141"/>
      <c r="BE69" s="141"/>
      <c r="BF69" s="150">
        <v>236.41957222385</v>
      </c>
      <c r="BG69" s="150">
        <v>291.00498095517145</v>
      </c>
      <c r="BH69" s="150">
        <v>1044.6234983885147</v>
      </c>
      <c r="BI69" s="150">
        <v>1321.2423088192206</v>
      </c>
      <c r="BJ69" s="273">
        <v>140</v>
      </c>
      <c r="BK69" s="273">
        <f>('Cost-Effectiveness'!$B$3*BF69)+('Cost-Effectiveness'!$C$3*BG69)+('Cost-Effectiveness'!$D$3*BH69)+('Cost-Effectiveness'!$E$3*BI69)</f>
        <v>1321.2423088192206</v>
      </c>
    </row>
    <row r="70" spans="1:63" ht="12.75">
      <c r="A70" s="318" t="s">
        <v>234</v>
      </c>
      <c r="B70" s="319">
        <f>SUM(B60:B69)</f>
        <v>425.7079018867924</v>
      </c>
      <c r="C70" s="319">
        <f>SUM(C60:C69)</f>
        <v>712.2112641509434</v>
      </c>
      <c r="D70" s="319">
        <f>SUM(D60:D69)</f>
        <v>645.6086339622641</v>
      </c>
      <c r="E70" s="319">
        <f>($B$58*B70)+($C$58*C70)+($D$58*D70)</f>
        <v>667.8404661509435</v>
      </c>
      <c r="F70" s="5"/>
      <c r="G70" s="328">
        <v>1344</v>
      </c>
      <c r="H70" s="329">
        <f>(0.0000000483*(I64^4))-(0.0001084986*(I64^3))+(0.0925864926*(I64^2))-(4.7266834675*I64)-483.6424651158</f>
        <v>7499.0434400361055</v>
      </c>
      <c r="I70" s="329">
        <f>(0.0000000474*(I64^4))-(0.0001084079*(I64^3))+(0.0954489266*(I64^2))-(2.7783188788*I64)-729.4847470279</f>
        <v>8578.824827218521</v>
      </c>
      <c r="J70" s="329">
        <f>(0.0000000513*(I64^4))-(0.0001129418*(I64^3))+(0.0942698734*(I64^2))+(9.7772074272*I64)-1597.6523413466</f>
        <v>12620.266606043651</v>
      </c>
      <c r="K70" s="350">
        <f>(0.000000039*(I64^4))-(0.0000915628*(I64^3))+(0.0826236708*(I64^2))+(18.7809842013*I64)-2317.0311644418</f>
        <v>14868.671991045725</v>
      </c>
      <c r="L70" s="330">
        <f>SUMPRODUCT(H70:K70,'Cost-Effectiveness'!$B$3:$E$3)</f>
        <v>14868.671991045725</v>
      </c>
      <c r="M70" s="119"/>
      <c r="N70" s="119"/>
      <c r="O70" s="119"/>
      <c r="P70" s="119"/>
      <c r="Q70" s="116"/>
      <c r="R70" s="119"/>
      <c r="S70" s="118"/>
      <c r="T70" s="118"/>
      <c r="U70" s="131"/>
      <c r="V70" s="131"/>
      <c r="W70" s="116"/>
      <c r="X70" s="119"/>
      <c r="Y70" s="118"/>
      <c r="Z70" s="118"/>
      <c r="AA70" s="131"/>
      <c r="AB70" s="131"/>
      <c r="AC70" s="116"/>
      <c r="AD70" s="119"/>
      <c r="AE70" s="118"/>
      <c r="AF70" s="118"/>
      <c r="AG70" s="131"/>
      <c r="AH70" s="131"/>
      <c r="AP70" s="150">
        <v>255.0835042484618</v>
      </c>
      <c r="AQ70" s="150">
        <v>305.62554937005564</v>
      </c>
      <c r="AR70" s="150">
        <v>1047.2311749194257</v>
      </c>
      <c r="AS70" s="150">
        <v>1334.2513917374745</v>
      </c>
      <c r="AT70" s="273">
        <v>130</v>
      </c>
      <c r="AU70" s="273">
        <f>('Cost-Effectiveness'!$B$3*AP70)+('Cost-Effectiveness'!$C$3*AQ70)+('Cost-Effectiveness'!$D$3*AR70)+('Cost-Effectiveness'!$E$3*AS70)</f>
        <v>1334.2513917374745</v>
      </c>
      <c r="AV70" s="270"/>
      <c r="AW70" s="141"/>
      <c r="AX70" s="150">
        <v>57.48608262525637</v>
      </c>
      <c r="AY70" s="150">
        <v>80.75007324934077</v>
      </c>
      <c r="AZ70" s="150">
        <v>437.122765895107</v>
      </c>
      <c r="BA70" s="150">
        <v>580.1933782595958</v>
      </c>
      <c r="BB70" s="273">
        <v>130</v>
      </c>
      <c r="BC70" s="273">
        <f>('Cost-Effectiveness'!$B$3*AX70)+('Cost-Effectiveness'!$C$3*AY70)+('Cost-Effectiveness'!$D$3*AZ70)+('Cost-Effectiveness'!$E$3*BA70)</f>
        <v>580.1933782595958</v>
      </c>
      <c r="BD70" s="141"/>
      <c r="BE70" s="141"/>
      <c r="BF70" s="150">
        <v>138.29475534720189</v>
      </c>
      <c r="BG70" s="150">
        <v>177.11690594784648</v>
      </c>
      <c r="BH70" s="150">
        <v>793.4954585408731</v>
      </c>
      <c r="BI70" s="150">
        <v>1031.2921183709348</v>
      </c>
      <c r="BJ70" s="273">
        <v>130</v>
      </c>
      <c r="BK70" s="273">
        <f>('Cost-Effectiveness'!$B$3*BF70)+('Cost-Effectiveness'!$C$3*BG70)+('Cost-Effectiveness'!$D$3*BH70)+('Cost-Effectiveness'!$E$3*BI70)</f>
        <v>1031.2921183709348</v>
      </c>
    </row>
    <row r="71" spans="1:63" ht="12.75">
      <c r="A71" s="320" t="s">
        <v>235</v>
      </c>
      <c r="B71" s="319">
        <f>J64</f>
        <v>14868.671991045725</v>
      </c>
      <c r="C71" s="319">
        <f>J65</f>
        <v>26094.154319421912</v>
      </c>
      <c r="D71" s="319">
        <f>J66</f>
        <v>25091.329070583728</v>
      </c>
      <c r="E71" s="319">
        <f>($B$58*B71)+($C$58*C71)+($D$58*D71)</f>
        <v>24596.67265269104</v>
      </c>
      <c r="F71" s="5"/>
      <c r="G71" s="326">
        <v>2200</v>
      </c>
      <c r="H71" s="331">
        <f>(0.000000056*(I65^4))-(0.0001293162*(I65^3))+(0.1156141553*(I65^2))-(18.8087825498*I65)+800.0127173394</f>
        <v>13740.043382336145</v>
      </c>
      <c r="I71" s="331">
        <f>(0.0000000611*(I65^4))-(0.0001407997*(I65^3))+(0.1260787774*(I65^2))-(19.4407217456*I65)+750.1493216982</f>
        <v>15711.855801508114</v>
      </c>
      <c r="J71" s="331">
        <f>(0.0000000511*(I65^4))-(0.0001207491*(I65^3))+(0.1113962896*(I65^2))-(4.5813153206*I65)-608.689338736</f>
        <v>22159.05365957836</v>
      </c>
      <c r="K71" s="351">
        <f>(0.0000000657*(I65^4))-(0.0001522392*(I65^3))+(0.1356085946*(I65^2))-(5.4819652547*I65)-693.95778761</f>
        <v>26094.154319421912</v>
      </c>
      <c r="L71" s="332">
        <f>SUMPRODUCT(H71:K71,'Cost-Effectiveness'!$B$3:$E$3)</f>
        <v>26094.154319421912</v>
      </c>
      <c r="M71" s="119"/>
      <c r="N71" s="119"/>
      <c r="O71" s="119"/>
      <c r="P71" s="119"/>
      <c r="Q71" s="116"/>
      <c r="R71" s="119"/>
      <c r="S71" s="118"/>
      <c r="T71" s="118"/>
      <c r="U71" s="131"/>
      <c r="V71" s="131"/>
      <c r="W71" s="116"/>
      <c r="X71" s="119"/>
      <c r="Y71" s="118"/>
      <c r="Z71" s="118"/>
      <c r="AA71" s="131"/>
      <c r="AB71" s="131"/>
      <c r="AC71" s="116"/>
      <c r="AD71" s="119"/>
      <c r="AE71" s="118"/>
      <c r="AF71" s="118"/>
      <c r="AG71" s="131"/>
      <c r="AH71" s="131"/>
      <c r="AP71" s="150">
        <v>153.14972165250515</v>
      </c>
      <c r="AQ71" s="150">
        <v>194.69674772927044</v>
      </c>
      <c r="AR71" s="150">
        <v>795.5757398183417</v>
      </c>
      <c r="AS71" s="150">
        <v>1024.9340755933197</v>
      </c>
      <c r="AT71" s="273">
        <v>120</v>
      </c>
      <c r="AU71" s="273">
        <f>('Cost-Effectiveness'!$B$3*AP71)+('Cost-Effectiveness'!$C$3*AQ71)+('Cost-Effectiveness'!$D$3*AR71)+('Cost-Effectiveness'!$E$3*AS71)</f>
        <v>1024.9340755933197</v>
      </c>
      <c r="AV71" s="270"/>
      <c r="AW71" s="141"/>
      <c r="AX71" s="150">
        <v>30.061529446234985</v>
      </c>
      <c r="AY71" s="150">
        <v>36.302373278640495</v>
      </c>
      <c r="AZ71" s="150">
        <v>291.678874890126</v>
      </c>
      <c r="BA71" s="150">
        <v>413.59507764430117</v>
      </c>
      <c r="BB71" s="273">
        <v>120</v>
      </c>
      <c r="BC71" s="273">
        <f>('Cost-Effectiveness'!$B$3*AX71)+('Cost-Effectiveness'!$C$3*AY71)+('Cost-Effectiveness'!$D$3*AZ71)+('Cost-Effectiveness'!$E$3*BA71)</f>
        <v>413.59507764430117</v>
      </c>
      <c r="BD71" s="141"/>
      <c r="BE71" s="141"/>
      <c r="BF71" s="150">
        <v>70.52446527981249</v>
      </c>
      <c r="BG71" s="150">
        <v>92.26486961617346</v>
      </c>
      <c r="BH71" s="150">
        <v>572.1066510401406</v>
      </c>
      <c r="BI71" s="150">
        <v>762.9944330501025</v>
      </c>
      <c r="BJ71" s="273">
        <v>120</v>
      </c>
      <c r="BK71" s="273">
        <f>('Cost-Effectiveness'!$B$3*BF71)+('Cost-Effectiveness'!$C$3*BG71)+('Cost-Effectiveness'!$D$3*BH71)+('Cost-Effectiveness'!$E$3*BI71)</f>
        <v>762.9944330501025</v>
      </c>
    </row>
    <row r="72" spans="1:63" ht="13.5" thickBot="1">
      <c r="A72" s="320" t="s">
        <v>236</v>
      </c>
      <c r="B72" s="321">
        <f>B71/B59</f>
        <v>11.062999993337593</v>
      </c>
      <c r="C72" s="321">
        <f>C71/C59</f>
        <v>11.860979236100869</v>
      </c>
      <c r="D72" s="321">
        <f>D71/D59</f>
        <v>10.9905076962697</v>
      </c>
      <c r="E72" s="321">
        <f>E71/E$59</f>
        <v>11.658682700009498</v>
      </c>
      <c r="F72" s="5"/>
      <c r="G72" s="333">
        <v>2283</v>
      </c>
      <c r="H72" s="334">
        <f>(0.000000054*(I66^4))-(0.000122834*(I66^3))+(0.1063388451*(I66^2))-(11.4924855517*I66)+92.1054607712</f>
        <v>13322.88470603266</v>
      </c>
      <c r="I72" s="334">
        <f>(0.0000000587*(I66^4))-(0.0001305165*(I66^3))+(0.1120964665*(I66^2))-(9.8925545335*I66)-175.4426063598</f>
        <v>15237.305143163034</v>
      </c>
      <c r="J72" s="334">
        <f>(0.0000000536*(I66^4))-(0.0001217652*(I66^3))+(0.105850127*(I66^2))+(2.9356430387*I66)-1127.4369636912</f>
        <v>21432.681731380362</v>
      </c>
      <c r="K72" s="352">
        <f>(0.0000000456*(I66^4))-(0.0001041814*(I66^3))+(0.0932589495*(I66^2))+(12.972079966*I66)-2042.1552509592</f>
        <v>25091.329070583728</v>
      </c>
      <c r="L72" s="335">
        <f>SUMPRODUCT(H72:K72,'Cost-Effectiveness'!$B$3:$E$3)</f>
        <v>25091.329070583728</v>
      </c>
      <c r="M72" s="119"/>
      <c r="N72" s="119"/>
      <c r="O72" s="119"/>
      <c r="P72" s="119"/>
      <c r="AC72" s="116"/>
      <c r="AD72" s="119"/>
      <c r="AE72" s="118"/>
      <c r="AF72" s="118"/>
      <c r="AG72" s="131"/>
      <c r="AH72" s="131"/>
      <c r="AP72" s="150">
        <v>81.0430706123645</v>
      </c>
      <c r="AQ72" s="150">
        <v>106.47524172282449</v>
      </c>
      <c r="AR72" s="150">
        <v>565.0454145912687</v>
      </c>
      <c r="AS72" s="150">
        <v>743.8031057720481</v>
      </c>
      <c r="AT72" s="273">
        <v>110</v>
      </c>
      <c r="AU72" s="273">
        <f>('Cost-Effectiveness'!$B$3*AP72)+('Cost-Effectiveness'!$C$3*AQ72)+('Cost-Effectiveness'!$D$3*AR72)+('Cost-Effectiveness'!$E$3*AS72)</f>
        <v>743.8031057720481</v>
      </c>
      <c r="AV72" s="270"/>
      <c r="AW72" s="141"/>
      <c r="AX72" s="150">
        <v>11.0753003222971</v>
      </c>
      <c r="AY72" s="150">
        <v>10.196308233225901</v>
      </c>
      <c r="AZ72" s="150">
        <v>172.78054497509524</v>
      </c>
      <c r="BA72" s="150">
        <v>270.84676237913857</v>
      </c>
      <c r="BB72" s="273">
        <v>110</v>
      </c>
      <c r="BC72" s="273">
        <f>('Cost-Effectiveness'!$B$3*AX72)+('Cost-Effectiveness'!$C$3*AY72)+('Cost-Effectiveness'!$D$3*AZ72)+('Cost-Effectiveness'!$E$3*BA72)</f>
        <v>270.84676237913857</v>
      </c>
      <c r="BD72" s="141"/>
      <c r="BE72" s="141"/>
      <c r="BF72" s="150">
        <v>19.425725168473484</v>
      </c>
      <c r="BG72" s="150">
        <v>34.89598593612658</v>
      </c>
      <c r="BH72" s="150">
        <v>370.40726633460304</v>
      </c>
      <c r="BI72" s="150">
        <v>546.0884852036332</v>
      </c>
      <c r="BJ72" s="273">
        <v>110</v>
      </c>
      <c r="BK72" s="273">
        <f>('Cost-Effectiveness'!$B$3*BF72)+('Cost-Effectiveness'!$C$3*BG72)+('Cost-Effectiveness'!$D$3*BH72)+('Cost-Effectiveness'!$E$3*BI72)</f>
        <v>546.0884852036332</v>
      </c>
    </row>
    <row r="73" spans="1:58" ht="12.75">
      <c r="A73" s="5"/>
      <c r="B73" s="5"/>
      <c r="C73" s="5"/>
      <c r="D73" s="5"/>
      <c r="E73" s="5"/>
      <c r="F73" s="5"/>
      <c r="M73" s="119"/>
      <c r="N73" s="119"/>
      <c r="O73" s="119"/>
      <c r="P73" s="119"/>
      <c r="AC73" s="116"/>
      <c r="AD73" s="119"/>
      <c r="AE73" s="118"/>
      <c r="AF73" s="118"/>
      <c r="AG73" s="131"/>
      <c r="AH73" s="131"/>
      <c r="AQ73" s="5"/>
      <c r="BF73" s="5"/>
    </row>
    <row r="74" spans="1:43" ht="12.75">
      <c r="A74" s="5"/>
      <c r="B74" s="5"/>
      <c r="C74" s="5"/>
      <c r="D74" s="5"/>
      <c r="E74" s="5"/>
      <c r="F74" s="5"/>
      <c r="M74" s="119"/>
      <c r="N74" s="119"/>
      <c r="O74" s="119"/>
      <c r="P74" s="119"/>
      <c r="AC74" s="116"/>
      <c r="AD74" s="119"/>
      <c r="AE74" s="118"/>
      <c r="AF74" s="118"/>
      <c r="AG74" s="131"/>
      <c r="AH74" s="131"/>
      <c r="AQ74" s="5"/>
    </row>
    <row r="75" spans="1:43" ht="12.75">
      <c r="A75" s="155" t="s">
        <v>237</v>
      </c>
      <c r="B75" s="155">
        <v>1344</v>
      </c>
      <c r="C75" s="155">
        <v>2200</v>
      </c>
      <c r="D75" s="155">
        <v>2283</v>
      </c>
      <c r="E75" s="313">
        <f>$E$59</f>
        <v>2109.73</v>
      </c>
      <c r="F75" s="134"/>
      <c r="L75" s="119"/>
      <c r="M75" s="119"/>
      <c r="N75" s="119"/>
      <c r="O75" s="119"/>
      <c r="AC75" s="116"/>
      <c r="AD75" s="119"/>
      <c r="AE75" s="118"/>
      <c r="AF75" s="118"/>
      <c r="AG75" s="131"/>
      <c r="AH75" s="131"/>
      <c r="AQ75" s="5"/>
    </row>
    <row r="76" spans="1:43" ht="12.75">
      <c r="A76" s="314" t="s">
        <v>348</v>
      </c>
      <c r="B76" s="315">
        <f>VLOOKUP($A76,$A$5:$I$48,7,0)</f>
        <v>76.322</v>
      </c>
      <c r="C76" s="315">
        <f>VLOOKUP($A76,$A$5:$I$48,8,0)</f>
        <v>131.564</v>
      </c>
      <c r="D76" s="315">
        <f>VLOOKUP($A76,$A$5:$I$48,9,0)</f>
        <v>112.654</v>
      </c>
      <c r="E76" s="316"/>
      <c r="F76" s="134"/>
      <c r="L76" s="119"/>
      <c r="M76" s="119"/>
      <c r="N76" s="119"/>
      <c r="O76" s="119"/>
      <c r="AC76" s="116"/>
      <c r="AD76" s="119"/>
      <c r="AE76" s="118"/>
      <c r="AF76" s="118"/>
      <c r="AG76" s="131"/>
      <c r="AH76" s="131"/>
      <c r="AQ76" s="5"/>
    </row>
    <row r="77" spans="1:42" ht="12.75">
      <c r="A77" s="314" t="s">
        <v>212</v>
      </c>
      <c r="B77" s="315">
        <f aca="true" t="shared" si="30" ref="B77:B85">VLOOKUP($A77,$A$5:$I$48,7,0)</f>
        <v>29.759999999999998</v>
      </c>
      <c r="C77" s="315">
        <f aca="true" t="shared" si="31" ref="C77:C85">VLOOKUP($A77,$A$5:$I$48,8,0)</f>
        <v>24.862</v>
      </c>
      <c r="D77" s="315">
        <f aca="true" t="shared" si="32" ref="D77:D85">VLOOKUP($A77,$A$5:$I$48,9,0)</f>
        <v>37.138</v>
      </c>
      <c r="E77" s="316"/>
      <c r="F77" s="134"/>
      <c r="L77" s="119"/>
      <c r="M77" s="119"/>
      <c r="N77" s="119"/>
      <c r="O77" s="119"/>
      <c r="AP77" s="5"/>
    </row>
    <row r="78" spans="1:42" ht="13.5" thickBot="1">
      <c r="A78" s="314" t="s">
        <v>370</v>
      </c>
      <c r="B78" s="315">
        <f t="shared" si="30"/>
        <v>17.415</v>
      </c>
      <c r="C78" s="315">
        <f t="shared" si="31"/>
        <v>29.412</v>
      </c>
      <c r="D78" s="315">
        <f t="shared" si="32"/>
        <v>0</v>
      </c>
      <c r="E78" s="316"/>
      <c r="F78" s="134"/>
      <c r="L78" s="119"/>
      <c r="M78" s="119"/>
      <c r="N78" s="119"/>
      <c r="O78" s="119"/>
      <c r="P78" s="5"/>
      <c r="Q78" s="5"/>
      <c r="R78" s="5"/>
      <c r="S78" s="5"/>
      <c r="T78" s="5"/>
      <c r="AA78" s="5"/>
      <c r="AB78" s="5"/>
      <c r="AC78" s="5"/>
      <c r="AD78" s="5"/>
      <c r="AE78" s="5"/>
      <c r="AF78" s="5"/>
      <c r="AG78" s="5"/>
      <c r="AI78" s="5"/>
      <c r="AJ78" s="5"/>
      <c r="AK78" s="5"/>
      <c r="AL78" s="5"/>
      <c r="AM78" s="5"/>
      <c r="AP78" s="5"/>
    </row>
    <row r="79" spans="1:42" ht="12.75">
      <c r="A79" s="314" t="s">
        <v>213</v>
      </c>
      <c r="B79" s="315">
        <f t="shared" si="30"/>
        <v>0</v>
      </c>
      <c r="C79" s="315">
        <f t="shared" si="31"/>
        <v>0</v>
      </c>
      <c r="D79" s="315">
        <f t="shared" si="32"/>
        <v>20.596999999999998</v>
      </c>
      <c r="E79" s="316"/>
      <c r="F79" s="134"/>
      <c r="G79" s="344" t="s">
        <v>374</v>
      </c>
      <c r="H79" s="343" t="s">
        <v>23</v>
      </c>
      <c r="I79" s="343" t="s">
        <v>204</v>
      </c>
      <c r="J79" s="343" t="s">
        <v>376</v>
      </c>
      <c r="K79" s="337"/>
      <c r="L79" s="119"/>
      <c r="M79" s="119"/>
      <c r="N79" s="119"/>
      <c r="O79" s="119"/>
      <c r="P79" s="5"/>
      <c r="Q79" s="5"/>
      <c r="R79" s="5"/>
      <c r="S79" s="5"/>
      <c r="T79" s="5"/>
      <c r="AA79" s="5"/>
      <c r="AB79" s="5"/>
      <c r="AC79" s="5"/>
      <c r="AD79" s="5"/>
      <c r="AE79" s="5"/>
      <c r="AF79" s="5"/>
      <c r="AG79" s="5"/>
      <c r="AI79" s="5"/>
      <c r="AJ79" s="5"/>
      <c r="AK79" s="5"/>
      <c r="AL79" s="5"/>
      <c r="AM79" s="5"/>
      <c r="AP79" s="5"/>
    </row>
    <row r="80" spans="1:42" ht="12.75">
      <c r="A80" s="314" t="s">
        <v>214</v>
      </c>
      <c r="B80" s="315">
        <f t="shared" si="30"/>
        <v>55.104</v>
      </c>
      <c r="C80" s="315">
        <f t="shared" si="31"/>
        <v>70.561</v>
      </c>
      <c r="D80" s="315">
        <f t="shared" si="32"/>
        <v>4.264</v>
      </c>
      <c r="E80" s="316"/>
      <c r="F80" s="134"/>
      <c r="G80" s="328">
        <v>1344</v>
      </c>
      <c r="H80" s="336">
        <f>'Cost-Effectiveness'!$B$18</f>
        <v>0.12</v>
      </c>
      <c r="I80" s="341">
        <f>B86</f>
        <v>378.2052666666666</v>
      </c>
      <c r="J80" s="358">
        <f>L86</f>
        <v>12449.028722638199</v>
      </c>
      <c r="K80" s="327"/>
      <c r="L80" s="119"/>
      <c r="M80" s="119"/>
      <c r="N80" s="119"/>
      <c r="O80" s="119"/>
      <c r="P80" s="5"/>
      <c r="Q80" s="5"/>
      <c r="R80" s="5"/>
      <c r="S80" s="5"/>
      <c r="T80" s="5"/>
      <c r="AA80" s="5"/>
      <c r="AB80" s="5"/>
      <c r="AC80" s="5"/>
      <c r="AD80" s="5"/>
      <c r="AE80" s="5"/>
      <c r="AF80" s="5"/>
      <c r="AG80" s="5"/>
      <c r="AI80" s="5"/>
      <c r="AJ80" s="5"/>
      <c r="AK80" s="5"/>
      <c r="AL80" s="5"/>
      <c r="AM80" s="5"/>
      <c r="AP80" s="5"/>
    </row>
    <row r="81" spans="1:39" ht="12.75">
      <c r="A81" s="314" t="s">
        <v>238</v>
      </c>
      <c r="B81" s="315">
        <f t="shared" si="30"/>
        <v>116.66666666666666</v>
      </c>
      <c r="C81" s="315">
        <f t="shared" si="31"/>
        <v>242.61363636363635</v>
      </c>
      <c r="D81" s="315">
        <f t="shared" si="32"/>
        <v>132.57575757575756</v>
      </c>
      <c r="E81" s="316"/>
      <c r="F81" s="134"/>
      <c r="G81" s="326">
        <v>2200</v>
      </c>
      <c r="H81" s="336">
        <f>'Cost-Effectiveness'!$C$18</f>
        <v>0.73</v>
      </c>
      <c r="I81" s="341">
        <f>C86</f>
        <v>631.8926363636364</v>
      </c>
      <c r="J81" s="358">
        <f>L87</f>
        <v>22052.513550539414</v>
      </c>
      <c r="K81" s="327"/>
      <c r="L81" s="119"/>
      <c r="M81" s="119"/>
      <c r="N81" s="119"/>
      <c r="O81" s="119"/>
      <c r="P81" s="5"/>
      <c r="Q81" s="5"/>
      <c r="R81" s="5"/>
      <c r="S81" s="5"/>
      <c r="T81" s="5"/>
      <c r="AA81" s="5"/>
      <c r="AB81" s="5"/>
      <c r="AC81" s="5"/>
      <c r="AD81" s="5"/>
      <c r="AE81" s="5"/>
      <c r="AF81" s="5"/>
      <c r="AG81" s="5"/>
      <c r="AI81" s="5"/>
      <c r="AJ81" s="5"/>
      <c r="AK81" s="5"/>
      <c r="AL81" s="5"/>
      <c r="AM81" s="5"/>
    </row>
    <row r="82" spans="1:39" ht="13.5" thickBot="1">
      <c r="A82" s="314" t="s">
        <v>218</v>
      </c>
      <c r="B82" s="315">
        <f t="shared" si="30"/>
        <v>15.200000000000001</v>
      </c>
      <c r="C82" s="315">
        <f t="shared" si="31"/>
        <v>22</v>
      </c>
      <c r="D82" s="315">
        <f t="shared" si="32"/>
        <v>35.6</v>
      </c>
      <c r="E82" s="316"/>
      <c r="F82" s="134"/>
      <c r="G82" s="338">
        <v>2283</v>
      </c>
      <c r="H82" s="339">
        <f>'Cost-Effectiveness'!$D$18</f>
        <v>0.15</v>
      </c>
      <c r="I82" s="342">
        <f>D86</f>
        <v>579.1319575757576</v>
      </c>
      <c r="J82" s="358">
        <f>L88</f>
        <v>21642.45375449931</v>
      </c>
      <c r="K82" s="340"/>
      <c r="L82" s="119"/>
      <c r="M82" s="119"/>
      <c r="N82" s="119"/>
      <c r="O82" s="119"/>
      <c r="P82" s="5"/>
      <c r="Q82" s="5"/>
      <c r="R82" s="5"/>
      <c r="S82" s="5"/>
      <c r="T82" s="5"/>
      <c r="AA82" s="5"/>
      <c r="AB82" s="5"/>
      <c r="AC82" s="5"/>
      <c r="AD82" s="5"/>
      <c r="AE82" s="5"/>
      <c r="AF82" s="5"/>
      <c r="AG82" s="5"/>
      <c r="AI82" s="5"/>
      <c r="AJ82" s="5"/>
      <c r="AK82" s="5"/>
      <c r="AL82" s="5"/>
      <c r="AM82" s="5"/>
    </row>
    <row r="83" spans="1:39" ht="13.5" thickBot="1">
      <c r="A83" s="314" t="s">
        <v>220</v>
      </c>
      <c r="B83" s="315">
        <f t="shared" si="30"/>
        <v>0</v>
      </c>
      <c r="C83" s="315">
        <f t="shared" si="31"/>
        <v>0</v>
      </c>
      <c r="D83" s="315">
        <f t="shared" si="32"/>
        <v>91</v>
      </c>
      <c r="E83" s="316"/>
      <c r="F83" s="134"/>
      <c r="G83" s="354">
        <f>SUMPRODUCT(G80:G82,H80:H82)</f>
        <v>2109.73</v>
      </c>
      <c r="H83" s="355">
        <f>SUM(H80:H82)</f>
        <v>1</v>
      </c>
      <c r="I83" s="356">
        <f>SUMPRODUCT($H80:$H82,I80:I82)</f>
        <v>593.5360501818182</v>
      </c>
      <c r="J83" s="356">
        <f>SUMPRODUCT($H80:$H82,J80:J82)</f>
        <v>20838.586401785255</v>
      </c>
      <c r="K83" s="357"/>
      <c r="L83" s="119"/>
      <c r="P83" s="5"/>
      <c r="Q83" s="5"/>
      <c r="R83" s="5"/>
      <c r="S83" s="5"/>
      <c r="T83" s="5"/>
      <c r="AA83" s="5"/>
      <c r="AB83" s="5"/>
      <c r="AC83" s="5"/>
      <c r="AD83" s="5"/>
      <c r="AE83" s="5"/>
      <c r="AF83" s="5"/>
      <c r="AG83" s="5"/>
      <c r="AI83" s="5"/>
      <c r="AJ83" s="5"/>
      <c r="AK83" s="5"/>
      <c r="AL83" s="5"/>
      <c r="AM83" s="5"/>
    </row>
    <row r="84" spans="1:39" ht="13.5" thickBot="1">
      <c r="A84" s="314" t="s">
        <v>222</v>
      </c>
      <c r="B84" s="315">
        <f t="shared" si="30"/>
        <v>0</v>
      </c>
      <c r="C84" s="315">
        <f t="shared" si="31"/>
        <v>0</v>
      </c>
      <c r="D84" s="315">
        <f t="shared" si="32"/>
        <v>30.24</v>
      </c>
      <c r="E84" s="316"/>
      <c r="F84" s="134"/>
      <c r="G84" s="346" t="s">
        <v>23</v>
      </c>
      <c r="H84" s="347">
        <f>'Cost-Effectiveness'!$B$3</f>
        <v>0</v>
      </c>
      <c r="I84" s="347">
        <f>'Cost-Effectiveness'!$C$3</f>
        <v>0</v>
      </c>
      <c r="J84" s="347">
        <f>'Cost-Effectiveness'!$D$3</f>
        <v>0</v>
      </c>
      <c r="K84" s="348">
        <f>'Cost-Effectiveness'!$E$3</f>
        <v>1</v>
      </c>
      <c r="L84" s="131" t="s">
        <v>375</v>
      </c>
      <c r="P84" s="5"/>
      <c r="Q84" s="5"/>
      <c r="R84" s="5"/>
      <c r="S84" s="5"/>
      <c r="T84" s="5"/>
      <c r="AA84" s="5"/>
      <c r="AB84" s="5"/>
      <c r="AC84" s="5"/>
      <c r="AD84" s="5"/>
      <c r="AE84" s="5"/>
      <c r="AF84" s="5"/>
      <c r="AG84" s="5"/>
      <c r="AI84" s="5"/>
      <c r="AJ84" s="5"/>
      <c r="AK84" s="5"/>
      <c r="AL84" s="5"/>
      <c r="AM84" s="5"/>
    </row>
    <row r="85" spans="1:39" ht="12.75">
      <c r="A85" s="317" t="s">
        <v>224</v>
      </c>
      <c r="B85" s="315">
        <f t="shared" si="30"/>
        <v>67.73759999999999</v>
      </c>
      <c r="C85" s="315">
        <f t="shared" si="31"/>
        <v>110.87999999999998</v>
      </c>
      <c r="D85" s="315">
        <f t="shared" si="32"/>
        <v>115.06319999999998</v>
      </c>
      <c r="E85" s="316"/>
      <c r="F85" s="134"/>
      <c r="G85" s="345"/>
      <c r="H85" s="343" t="s">
        <v>200</v>
      </c>
      <c r="I85" s="343" t="s">
        <v>201</v>
      </c>
      <c r="J85" s="343" t="s">
        <v>202</v>
      </c>
      <c r="K85" s="349" t="s">
        <v>203</v>
      </c>
      <c r="L85" s="353" t="str">
        <f>L69</f>
        <v>Missoula</v>
      </c>
      <c r="P85" s="5"/>
      <c r="Q85" s="5"/>
      <c r="R85" s="5"/>
      <c r="S85" s="5"/>
      <c r="T85" s="5"/>
      <c r="AA85" s="5"/>
      <c r="AB85" s="5"/>
      <c r="AC85" s="5"/>
      <c r="AD85" s="5"/>
      <c r="AE85" s="5"/>
      <c r="AF85" s="5"/>
      <c r="AG85" s="5"/>
      <c r="AI85" s="5"/>
      <c r="AJ85" s="5"/>
      <c r="AK85" s="5"/>
      <c r="AL85" s="5"/>
      <c r="AM85" s="5"/>
    </row>
    <row r="86" spans="1:39" ht="12.75">
      <c r="A86" s="318" t="s">
        <v>234</v>
      </c>
      <c r="B86" s="319">
        <f>SUM(B76:B85)</f>
        <v>378.2052666666666</v>
      </c>
      <c r="C86" s="319">
        <f>SUM(C76:C85)</f>
        <v>631.8926363636364</v>
      </c>
      <c r="D86" s="319">
        <f>SUM(D76:D85)</f>
        <v>579.1319575757576</v>
      </c>
      <c r="E86" s="319">
        <f>($B$58*B86)+($C$58*C86)+($D$58*D86)</f>
        <v>593.5360501818182</v>
      </c>
      <c r="F86" s="134"/>
      <c r="G86" s="328">
        <v>1344</v>
      </c>
      <c r="H86" s="329">
        <f>(0.0000000483*(I80^4))-(0.0001084986*(I80^3))+(0.0925864926*(I80^2))-(4.7266834675*I80)-483.6424651158</f>
        <v>6090.851952444824</v>
      </c>
      <c r="I86" s="329">
        <f>(0.0000000474*(I80^4))-(0.0001084079*(I80^3))+(0.0954489266*(I80^2))-(2.7783188788*I80)-729.4847470279</f>
        <v>6977.824264772471</v>
      </c>
      <c r="J86" s="329">
        <f>(0.0000000513*(I80^4))-(0.0001129418*(I80^3))+(0.0942698734*(I80^2))+(9.7772074272*I80)-1597.6523413466</f>
        <v>10524.091073370671</v>
      </c>
      <c r="K86" s="350">
        <f>(0.000000039*(I80^4))-(0.0000915628*(I80^3))+(0.0826236708*(I80^2))+(18.7809842013*I80)-2317.0311644418</f>
        <v>12449.028722638199</v>
      </c>
      <c r="L86" s="330">
        <f>SUMPRODUCT(H86:K86,'Cost-Effectiveness'!$B$3:$E$3)</f>
        <v>12449.028722638199</v>
      </c>
      <c r="M86" s="5"/>
      <c r="N86" s="5"/>
      <c r="O86" s="5"/>
      <c r="P86" s="5"/>
      <c r="Q86" s="5"/>
      <c r="R86" s="5"/>
      <c r="S86" s="5"/>
      <c r="T86" s="5"/>
      <c r="AA86" s="5"/>
      <c r="AB86" s="5"/>
      <c r="AC86" s="5"/>
      <c r="AD86" s="5"/>
      <c r="AE86" s="5"/>
      <c r="AF86" s="5"/>
      <c r="AG86" s="5"/>
      <c r="AI86" s="5"/>
      <c r="AJ86" s="5"/>
      <c r="AK86" s="5"/>
      <c r="AL86" s="5"/>
      <c r="AM86" s="5"/>
    </row>
    <row r="87" spans="1:39" ht="12.75">
      <c r="A87" s="320" t="s">
        <v>235</v>
      </c>
      <c r="B87" s="319">
        <f>J80</f>
        <v>12449.028722638199</v>
      </c>
      <c r="C87" s="319">
        <f>J81</f>
        <v>22052.513550539414</v>
      </c>
      <c r="D87" s="319">
        <f>J82</f>
        <v>21642.45375449931</v>
      </c>
      <c r="E87" s="319">
        <f>($B$58*B87)+($C$58*C87)+($D$58*D87)</f>
        <v>20838.586401785255</v>
      </c>
      <c r="F87" s="134"/>
      <c r="G87" s="326">
        <v>2200</v>
      </c>
      <c r="H87" s="331">
        <f>(0.000000056*(I81^4))-(0.0001293162*(I81^3))+(0.1156141553*(I81^2))-(18.8087825498*I81)+800.0127173394</f>
        <v>11378.979566091597</v>
      </c>
      <c r="I87" s="331">
        <f>(0.0000000611*(I81^4))-(0.0001407997*(I81^3))+(0.1260787774*(I81^2))-(19.4407217456*I81)+750.1493216982</f>
        <v>13023.927190667235</v>
      </c>
      <c r="J87" s="331">
        <f>(0.0000000511*(I81^4))-(0.0001207491*(I81^3))+(0.1113962896*(I81^2))-(4.5813153206*I81)-608.689338736</f>
        <v>18656.694415776496</v>
      </c>
      <c r="K87" s="351">
        <f>(0.0000000657*(I81^4))-(0.0001522392*(I81^3))+(0.1356085946*(I81^2))-(5.4819652547*I81)-693.95778761</f>
        <v>22052.513550539414</v>
      </c>
      <c r="L87" s="332">
        <f>SUMPRODUCT(H87:K87,'Cost-Effectiveness'!$B$3:$E$3)</f>
        <v>22052.513550539414</v>
      </c>
      <c r="M87" s="5"/>
      <c r="N87" s="5"/>
      <c r="O87" s="5"/>
      <c r="P87" s="5"/>
      <c r="Q87" s="5"/>
      <c r="R87" s="5"/>
      <c r="S87" s="5"/>
      <c r="T87" s="5"/>
      <c r="AA87" s="5"/>
      <c r="AB87" s="5"/>
      <c r="AC87" s="5"/>
      <c r="AD87" s="5"/>
      <c r="AE87" s="5"/>
      <c r="AF87" s="5"/>
      <c r="AG87" s="5"/>
      <c r="AI87" s="5"/>
      <c r="AJ87" s="5"/>
      <c r="AK87" s="5"/>
      <c r="AL87" s="5"/>
      <c r="AM87" s="5"/>
    </row>
    <row r="88" spans="1:39" ht="13.5" thickBot="1">
      <c r="A88" s="320" t="s">
        <v>236</v>
      </c>
      <c r="B88" s="321">
        <f>B87/B75</f>
        <v>9.262670180534375</v>
      </c>
      <c r="C88" s="321">
        <f>C87/C75</f>
        <v>10.023869795699733</v>
      </c>
      <c r="D88" s="321">
        <f>D87/D75</f>
        <v>9.479830816688265</v>
      </c>
      <c r="E88" s="321">
        <f>E87/E$59</f>
        <v>9.877371228444044</v>
      </c>
      <c r="F88" s="134"/>
      <c r="G88" s="333">
        <v>2283</v>
      </c>
      <c r="H88" s="334">
        <f>(0.000000054*(I82^4))-(0.000122834*(I82^3))+(0.1063388451*(I82^2))-(11.4924855517*I82)+92.1054607712</f>
        <v>11317.296372605873</v>
      </c>
      <c r="I88" s="334">
        <f>(0.0000000587*(I82^4))-(0.0001305165*(I82^3))+(0.1120964665*(I82^2))-(9.8925545335*I82)-175.4426063598</f>
        <v>12943.860610701224</v>
      </c>
      <c r="J88" s="334">
        <f>(0.0000000536*(I82^4))-(0.0001217652*(I82^3))+(0.105850127*(I82^2))+(2.9356430387*I82)-1127.4369636912</f>
        <v>18452.236470372558</v>
      </c>
      <c r="K88" s="352">
        <f>(0.0000000456*(I82^4))-(0.0001041814*(I82^3))+(0.0932589495*(I82^2))+(12.972079966*I82)-2042.1552509592</f>
        <v>21642.45375449931</v>
      </c>
      <c r="L88" s="335">
        <f>SUMPRODUCT(H88:K88,'Cost-Effectiveness'!$B$3:$E$3)</f>
        <v>21642.45375449931</v>
      </c>
      <c r="M88" s="5"/>
      <c r="N88" s="5"/>
      <c r="O88" s="5"/>
      <c r="P88" s="5"/>
      <c r="Q88" s="5"/>
      <c r="R88" s="5"/>
      <c r="S88" s="5"/>
      <c r="T88" s="5"/>
      <c r="AA88" s="5"/>
      <c r="AB88" s="5"/>
      <c r="AC88" s="5"/>
      <c r="AD88" s="5"/>
      <c r="AE88" s="5"/>
      <c r="AF88" s="5"/>
      <c r="AG88" s="5"/>
      <c r="AI88" s="5"/>
      <c r="AJ88" s="5"/>
      <c r="AK88" s="5"/>
      <c r="AL88" s="5"/>
      <c r="AM88" s="5"/>
    </row>
    <row r="89" spans="1:39" ht="12.75">
      <c r="A89" s="134"/>
      <c r="B89" s="134"/>
      <c r="C89" s="134"/>
      <c r="D89" s="134"/>
      <c r="E89" s="134"/>
      <c r="F89" s="134"/>
      <c r="I89" s="133"/>
      <c r="J89" s="133"/>
      <c r="L89" s="119"/>
      <c r="M89" s="5"/>
      <c r="N89" s="5"/>
      <c r="O89" s="5"/>
      <c r="P89" s="5"/>
      <c r="Q89" s="5"/>
      <c r="R89" s="5"/>
      <c r="S89" s="5"/>
      <c r="T89" s="5"/>
      <c r="AA89" s="5"/>
      <c r="AB89" s="5"/>
      <c r="AC89" s="5"/>
      <c r="AD89" s="5"/>
      <c r="AE89" s="5"/>
      <c r="AF89" s="5"/>
      <c r="AG89" s="5"/>
      <c r="AI89" s="5"/>
      <c r="AJ89" s="5"/>
      <c r="AK89" s="5"/>
      <c r="AL89" s="5"/>
      <c r="AM89" s="5"/>
    </row>
    <row r="90" spans="1:39" ht="12.75">
      <c r="A90" s="134"/>
      <c r="E90" s="133"/>
      <c r="F90" s="134"/>
      <c r="I90" s="133"/>
      <c r="J90" s="133"/>
      <c r="L90" s="119"/>
      <c r="M90" s="5"/>
      <c r="N90" s="5"/>
      <c r="O90" s="5"/>
      <c r="P90" s="5"/>
      <c r="Q90" s="5"/>
      <c r="R90" s="5"/>
      <c r="S90" s="5"/>
      <c r="T90" s="5"/>
      <c r="AA90" s="5"/>
      <c r="AB90" s="5"/>
      <c r="AC90" s="5"/>
      <c r="AD90" s="5"/>
      <c r="AE90" s="5"/>
      <c r="AF90" s="5"/>
      <c r="AG90" s="5"/>
      <c r="AI90" s="5"/>
      <c r="AJ90" s="5"/>
      <c r="AK90" s="5"/>
      <c r="AL90" s="5"/>
      <c r="AM90" s="5"/>
    </row>
    <row r="91" spans="1:39" ht="12.75">
      <c r="A91" s="155" t="s">
        <v>239</v>
      </c>
      <c r="B91" s="155">
        <v>1344</v>
      </c>
      <c r="C91" s="155">
        <v>2200</v>
      </c>
      <c r="D91" s="155">
        <v>2283</v>
      </c>
      <c r="E91" s="313">
        <f>$E$59</f>
        <v>2109.73</v>
      </c>
      <c r="F91" s="134"/>
      <c r="I91" s="133"/>
      <c r="J91" s="133"/>
      <c r="L91" s="119"/>
      <c r="M91" s="5"/>
      <c r="N91" s="5"/>
      <c r="O91" s="5"/>
      <c r="P91" s="5"/>
      <c r="Q91" s="5"/>
      <c r="R91" s="5"/>
      <c r="S91" s="5"/>
      <c r="T91" s="5"/>
      <c r="AA91" s="5"/>
      <c r="AB91" s="5"/>
      <c r="AC91" s="5"/>
      <c r="AD91" s="5"/>
      <c r="AE91" s="5"/>
      <c r="AF91" s="5"/>
      <c r="AG91" s="5"/>
      <c r="AI91" s="5"/>
      <c r="AJ91" s="5"/>
      <c r="AK91" s="5"/>
      <c r="AL91" s="5"/>
      <c r="AM91" s="5"/>
    </row>
    <row r="92" spans="1:39" ht="12.75">
      <c r="A92" s="314" t="s">
        <v>348</v>
      </c>
      <c r="B92" s="315">
        <f>VLOOKUP($A92,$A$5:$I$48,7,0)</f>
        <v>76.322</v>
      </c>
      <c r="C92" s="315">
        <f>VLOOKUP($A92,$A$5:$I$48,8,0)</f>
        <v>131.564</v>
      </c>
      <c r="D92" s="315">
        <f>VLOOKUP($A92,$A$5:$I$48,9,0)</f>
        <v>112.654</v>
      </c>
      <c r="E92" s="316"/>
      <c r="F92" s="134"/>
      <c r="I92" s="133"/>
      <c r="J92" s="133"/>
      <c r="L92" s="119"/>
      <c r="M92" s="5"/>
      <c r="N92" s="5"/>
      <c r="O92" s="5"/>
      <c r="P92" s="5"/>
      <c r="Q92" s="5"/>
      <c r="R92" s="5"/>
      <c r="S92" s="5"/>
      <c r="T92" s="5"/>
      <c r="AA92" s="5"/>
      <c r="AB92" s="5"/>
      <c r="AC92" s="5"/>
      <c r="AD92" s="5"/>
      <c r="AE92" s="5"/>
      <c r="AF92" s="5"/>
      <c r="AG92" s="5"/>
      <c r="AI92" s="5"/>
      <c r="AJ92" s="5"/>
      <c r="AK92" s="5"/>
      <c r="AL92" s="5"/>
      <c r="AM92" s="5"/>
    </row>
    <row r="93" spans="1:36" ht="12.75">
      <c r="A93" s="314" t="s">
        <v>212</v>
      </c>
      <c r="B93" s="315">
        <f aca="true" t="shared" si="33" ref="B93:B101">VLOOKUP($A93,$A$5:$I$48,7,0)</f>
        <v>29.759999999999998</v>
      </c>
      <c r="C93" s="315">
        <f aca="true" t="shared" si="34" ref="C93:C101">VLOOKUP($A93,$A$5:$I$48,8,0)</f>
        <v>24.862</v>
      </c>
      <c r="D93" s="315">
        <f aca="true" t="shared" si="35" ref="D93:D101">VLOOKUP($A93,$A$5:$I$48,9,0)</f>
        <v>37.138</v>
      </c>
      <c r="E93" s="316"/>
      <c r="F93" s="134"/>
      <c r="I93" s="133"/>
      <c r="J93" s="133"/>
      <c r="L93" s="119"/>
      <c r="M93" s="5"/>
      <c r="N93" s="5"/>
      <c r="O93" s="5"/>
      <c r="P93" s="5"/>
      <c r="Q93" s="5"/>
      <c r="R93" s="5"/>
      <c r="S93" s="5"/>
      <c r="T93" s="5"/>
      <c r="W93" s="116"/>
      <c r="X93" s="119"/>
      <c r="Y93" s="135"/>
      <c r="Z93" s="135"/>
      <c r="AA93" s="5"/>
      <c r="AB93" s="5"/>
      <c r="AC93" s="5"/>
      <c r="AD93" s="5"/>
      <c r="AE93" s="5"/>
      <c r="AF93" s="5"/>
      <c r="AG93" s="5"/>
      <c r="AH93" s="135"/>
      <c r="AI93" s="131"/>
      <c r="AJ93" s="131"/>
    </row>
    <row r="94" spans="1:36" ht="13.5" thickBot="1">
      <c r="A94" s="314" t="s">
        <v>370</v>
      </c>
      <c r="B94" s="315">
        <f t="shared" si="33"/>
        <v>17.415</v>
      </c>
      <c r="C94" s="315">
        <f t="shared" si="34"/>
        <v>29.412</v>
      </c>
      <c r="D94" s="315">
        <f t="shared" si="35"/>
        <v>0</v>
      </c>
      <c r="E94" s="316"/>
      <c r="F94" s="134"/>
      <c r="I94" s="133"/>
      <c r="J94" s="133"/>
      <c r="L94" s="119"/>
      <c r="M94" s="5"/>
      <c r="N94" s="5"/>
      <c r="O94" s="5"/>
      <c r="P94" s="131"/>
      <c r="W94" s="116"/>
      <c r="X94" s="119"/>
      <c r="Y94" s="135"/>
      <c r="Z94" s="135"/>
      <c r="AA94" s="131"/>
      <c r="AB94" s="131"/>
      <c r="AE94" s="116"/>
      <c r="AF94" s="116"/>
      <c r="AG94" s="119"/>
      <c r="AH94" s="135"/>
      <c r="AI94" s="131"/>
      <c r="AJ94" s="131"/>
    </row>
    <row r="95" spans="1:36" ht="12.75">
      <c r="A95" s="314" t="s">
        <v>213</v>
      </c>
      <c r="B95" s="315">
        <f t="shared" si="33"/>
        <v>0</v>
      </c>
      <c r="C95" s="315">
        <f t="shared" si="34"/>
        <v>0</v>
      </c>
      <c r="D95" s="315">
        <f t="shared" si="35"/>
        <v>20.596999999999998</v>
      </c>
      <c r="E95" s="316"/>
      <c r="F95" s="134"/>
      <c r="G95" s="344" t="s">
        <v>374</v>
      </c>
      <c r="H95" s="343" t="s">
        <v>23</v>
      </c>
      <c r="I95" s="343" t="s">
        <v>204</v>
      </c>
      <c r="J95" s="343" t="s">
        <v>376</v>
      </c>
      <c r="K95" s="337"/>
      <c r="L95" s="119"/>
      <c r="M95" s="5"/>
      <c r="N95" s="5"/>
      <c r="O95" s="5"/>
      <c r="AE95" s="116"/>
      <c r="AF95" s="116"/>
      <c r="AG95" s="119"/>
      <c r="AH95" s="135"/>
      <c r="AI95" s="131"/>
      <c r="AJ95" s="131"/>
    </row>
    <row r="96" spans="1:36" ht="12.75">
      <c r="A96" s="314" t="s">
        <v>214</v>
      </c>
      <c r="B96" s="315">
        <f t="shared" si="33"/>
        <v>55.104</v>
      </c>
      <c r="C96" s="315">
        <f t="shared" si="34"/>
        <v>70.561</v>
      </c>
      <c r="D96" s="315">
        <f t="shared" si="35"/>
        <v>4.264</v>
      </c>
      <c r="E96" s="316"/>
      <c r="F96" s="134"/>
      <c r="G96" s="328">
        <v>1344</v>
      </c>
      <c r="H96" s="336">
        <f>'Cost-Effectiveness'!$B$18</f>
        <v>0.12</v>
      </c>
      <c r="I96" s="341">
        <f>B102</f>
        <v>370.28384714828894</v>
      </c>
      <c r="J96" s="358">
        <f>L102</f>
        <v>12050.361522106854</v>
      </c>
      <c r="K96" s="327"/>
      <c r="L96" s="119"/>
      <c r="M96" s="5"/>
      <c r="N96" s="5"/>
      <c r="O96" s="5"/>
      <c r="AE96" s="116"/>
      <c r="AF96" s="116"/>
      <c r="AG96" s="119"/>
      <c r="AH96" s="135"/>
      <c r="AI96" s="131"/>
      <c r="AJ96" s="131"/>
    </row>
    <row r="97" spans="1:34" ht="12.75">
      <c r="A97" s="314" t="s">
        <v>215</v>
      </c>
      <c r="B97" s="315">
        <f t="shared" si="33"/>
        <v>108.74524714828897</v>
      </c>
      <c r="C97" s="315">
        <f t="shared" si="34"/>
        <v>226.1406844106464</v>
      </c>
      <c r="D97" s="315">
        <f t="shared" si="35"/>
        <v>123.57414448669202</v>
      </c>
      <c r="E97" s="316"/>
      <c r="F97" s="134"/>
      <c r="G97" s="326">
        <v>2200</v>
      </c>
      <c r="H97" s="336">
        <f>'Cost-Effectiveness'!$C$18</f>
        <v>0.73</v>
      </c>
      <c r="I97" s="341">
        <f>C102</f>
        <v>615.4196844106464</v>
      </c>
      <c r="J97" s="358">
        <f>L103</f>
        <v>21232.599744753345</v>
      </c>
      <c r="K97" s="327"/>
      <c r="L97" s="119"/>
      <c r="M97" s="5"/>
      <c r="N97" s="5"/>
      <c r="O97" s="5"/>
      <c r="AE97" s="116"/>
      <c r="AF97" s="116"/>
      <c r="AG97" s="119"/>
      <c r="AH97" s="135"/>
    </row>
    <row r="98" spans="1:34" ht="13.5" thickBot="1">
      <c r="A98" s="314" t="s">
        <v>218</v>
      </c>
      <c r="B98" s="315">
        <f t="shared" si="33"/>
        <v>15.200000000000001</v>
      </c>
      <c r="C98" s="315">
        <f t="shared" si="34"/>
        <v>22</v>
      </c>
      <c r="D98" s="315">
        <f t="shared" si="35"/>
        <v>35.6</v>
      </c>
      <c r="E98" s="316"/>
      <c r="F98" s="134"/>
      <c r="G98" s="338">
        <v>2283</v>
      </c>
      <c r="H98" s="339">
        <f>'Cost-Effectiveness'!$D$18</f>
        <v>0.15</v>
      </c>
      <c r="I98" s="342">
        <f>D102</f>
        <v>570.130344486692</v>
      </c>
      <c r="J98" s="358">
        <f>L104</f>
        <v>21178.348998000674</v>
      </c>
      <c r="K98" s="340"/>
      <c r="L98" s="119"/>
      <c r="M98" s="5"/>
      <c r="N98" s="5"/>
      <c r="O98" s="5"/>
      <c r="AE98" s="116"/>
      <c r="AF98" s="116"/>
      <c r="AG98" s="119"/>
      <c r="AH98" s="135"/>
    </row>
    <row r="99" spans="1:34" ht="13.5" thickBot="1">
      <c r="A99" s="314" t="s">
        <v>220</v>
      </c>
      <c r="B99" s="315">
        <f t="shared" si="33"/>
        <v>0</v>
      </c>
      <c r="C99" s="315">
        <f t="shared" si="34"/>
        <v>0</v>
      </c>
      <c r="D99" s="315">
        <f t="shared" si="35"/>
        <v>91</v>
      </c>
      <c r="E99" s="316"/>
      <c r="F99" s="134"/>
      <c r="G99" s="354">
        <f>SUMPRODUCT(G96:G98,H96:H98)</f>
        <v>2109.73</v>
      </c>
      <c r="H99" s="355">
        <f>SUM(H96:H98)</f>
        <v>1</v>
      </c>
      <c r="I99" s="356">
        <f>SUMPRODUCT($H96:$H98,I96:I98)</f>
        <v>579.2099829505703</v>
      </c>
      <c r="J99" s="356">
        <f>SUMPRODUCT($H96:$H98,J96:J98)</f>
        <v>20122.593546022865</v>
      </c>
      <c r="K99" s="357"/>
      <c r="L99" s="119"/>
      <c r="M99" s="5"/>
      <c r="N99" s="5"/>
      <c r="O99" s="5"/>
      <c r="AE99" s="116"/>
      <c r="AF99" s="116"/>
      <c r="AG99" s="119"/>
      <c r="AH99" s="135"/>
    </row>
    <row r="100" spans="1:34" ht="13.5" thickBot="1">
      <c r="A100" s="314" t="s">
        <v>222</v>
      </c>
      <c r="B100" s="315">
        <f t="shared" si="33"/>
        <v>0</v>
      </c>
      <c r="C100" s="315">
        <f t="shared" si="34"/>
        <v>0</v>
      </c>
      <c r="D100" s="315">
        <f t="shared" si="35"/>
        <v>30.24</v>
      </c>
      <c r="E100" s="316"/>
      <c r="F100" s="134"/>
      <c r="G100" s="346" t="s">
        <v>23</v>
      </c>
      <c r="H100" s="347">
        <f>'Cost-Effectiveness'!$B$3</f>
        <v>0</v>
      </c>
      <c r="I100" s="347">
        <f>'Cost-Effectiveness'!$C$3</f>
        <v>0</v>
      </c>
      <c r="J100" s="347">
        <f>'Cost-Effectiveness'!$D$3</f>
        <v>0</v>
      </c>
      <c r="K100" s="348">
        <f>'Cost-Effectiveness'!$E$3</f>
        <v>1</v>
      </c>
      <c r="L100" s="131" t="s">
        <v>375</v>
      </c>
      <c r="M100" s="5"/>
      <c r="N100" s="5"/>
      <c r="O100" s="5"/>
      <c r="AE100" s="116"/>
      <c r="AF100" s="116"/>
      <c r="AG100" s="119"/>
      <c r="AH100" s="135"/>
    </row>
    <row r="101" spans="1:38" ht="12.75">
      <c r="A101" s="317" t="s">
        <v>224</v>
      </c>
      <c r="B101" s="315">
        <f t="shared" si="33"/>
        <v>67.73759999999999</v>
      </c>
      <c r="C101" s="315">
        <f t="shared" si="34"/>
        <v>110.87999999999998</v>
      </c>
      <c r="D101" s="315">
        <f t="shared" si="35"/>
        <v>115.06319999999998</v>
      </c>
      <c r="E101" s="316"/>
      <c r="F101" s="134"/>
      <c r="G101" s="345"/>
      <c r="H101" s="343" t="s">
        <v>200</v>
      </c>
      <c r="I101" s="343" t="s">
        <v>201</v>
      </c>
      <c r="J101" s="343" t="s">
        <v>202</v>
      </c>
      <c r="K101" s="349" t="s">
        <v>203</v>
      </c>
      <c r="L101" s="353" t="str">
        <f>L85</f>
        <v>Missoula</v>
      </c>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row>
    <row r="102" spans="1:38" ht="12.75">
      <c r="A102" s="318" t="s">
        <v>234</v>
      </c>
      <c r="B102" s="319">
        <f>SUM(B92:B101)</f>
        <v>370.28384714828894</v>
      </c>
      <c r="C102" s="319">
        <f>SUM(C92:C101)</f>
        <v>615.4196844106464</v>
      </c>
      <c r="D102" s="319">
        <f>SUM(D92:D101)</f>
        <v>570.130344486692</v>
      </c>
      <c r="E102" s="319">
        <f>($B$58*B102)+($C$58*C102)+($D$58*D102)</f>
        <v>579.2099829505703</v>
      </c>
      <c r="F102" s="134"/>
      <c r="G102" s="328">
        <v>1344</v>
      </c>
      <c r="H102" s="329">
        <f>(0.0000000483*(I96^4))-(0.0001084986*(I96^3))+(0.0925864926*(I96^2))-(4.7266834675*I96)-483.6424651158</f>
        <v>5860.251905366048</v>
      </c>
      <c r="I102" s="329">
        <f>(0.0000000474*(I96^4))-(0.0001084079*(I96^3))+(0.0954489266*(I96^2))-(2.7783188788*I96)-729.4847470279</f>
        <v>6716.011789900349</v>
      </c>
      <c r="J102" s="329">
        <f>(0.0000000513*(I96^4))-(0.0001129418*(I96^3))+(0.0942698734*(I96^2))+(9.7772074272*I96)-1597.6523413466</f>
        <v>10178.424887795132</v>
      </c>
      <c r="K102" s="350">
        <f>(0.000000039*(I96^4))-(0.0000915628*(I96^3))+(0.0826236708*(I96^2))+(18.7809842013*I96)-2317.0311644418</f>
        <v>12050.361522106854</v>
      </c>
      <c r="L102" s="330">
        <f>SUMPRODUCT(H102:K102,'Cost-Effectiveness'!$B$3:$E$3)</f>
        <v>12050.361522106854</v>
      </c>
      <c r="M102" s="131"/>
      <c r="N102" s="131"/>
      <c r="O102" s="131"/>
      <c r="P102" s="5"/>
      <c r="Q102" s="5"/>
      <c r="R102" s="5"/>
      <c r="S102" s="5"/>
      <c r="T102" s="5"/>
      <c r="U102" s="5"/>
      <c r="V102" s="5"/>
      <c r="W102" s="5"/>
      <c r="X102" s="5"/>
      <c r="Y102" s="5"/>
      <c r="Z102" s="5"/>
      <c r="AA102" s="5"/>
      <c r="AB102" s="5"/>
      <c r="AC102" s="5"/>
      <c r="AD102" s="5"/>
      <c r="AE102" s="5"/>
      <c r="AF102" s="5"/>
      <c r="AG102" s="5"/>
      <c r="AH102" s="5"/>
      <c r="AI102" s="5"/>
      <c r="AJ102" s="5"/>
      <c r="AK102" s="5"/>
      <c r="AL102" s="5"/>
    </row>
    <row r="103" spans="1:38" ht="12.75">
      <c r="A103" s="320" t="s">
        <v>235</v>
      </c>
      <c r="B103" s="319">
        <f>J96</f>
        <v>12050.361522106854</v>
      </c>
      <c r="C103" s="319">
        <f>J97</f>
        <v>21232.599744753345</v>
      </c>
      <c r="D103" s="319">
        <f>J98</f>
        <v>21178.348998000674</v>
      </c>
      <c r="E103" s="319">
        <f>($B$58*B103)+($C$58*C103)+($D$58*D103)</f>
        <v>20122.593546022865</v>
      </c>
      <c r="F103" s="5"/>
      <c r="G103" s="326">
        <v>2200</v>
      </c>
      <c r="H103" s="331">
        <f>(0.000000056*(I97^4))-(0.0001293162*(I97^3))+(0.1156141553*(I97^2))-(18.8087825498*I97)+800.0127173394</f>
        <v>10903.851273603035</v>
      </c>
      <c r="I103" s="331">
        <f>(0.0000000611*(I97^4))-(0.0001407997*(I97^3))+(0.1260787774*(I97^2))-(19.4407217456*I97)+750.1493216982</f>
        <v>12483.404743058838</v>
      </c>
      <c r="J103" s="331">
        <f>(0.0000000511*(I97^4))-(0.0001207491*(I97^3))+(0.1113962896*(I97^2))-(4.5813153206*I97)-608.689338736</f>
        <v>17947.513302857966</v>
      </c>
      <c r="K103" s="351">
        <f>(0.0000000657*(I97^4))-(0.0001522392*(I97^3))+(0.1356085946*(I97^2))-(5.4819652547*I97)-693.95778761</f>
        <v>21232.599744753345</v>
      </c>
      <c r="L103" s="332">
        <f>SUMPRODUCT(H103:K103,'Cost-Effectiveness'!$B$3:$E$3)</f>
        <v>21232.599744753345</v>
      </c>
      <c r="P103" s="5"/>
      <c r="Q103" s="5"/>
      <c r="R103" s="5"/>
      <c r="S103" s="5"/>
      <c r="T103" s="5"/>
      <c r="U103" s="5"/>
      <c r="V103" s="5"/>
      <c r="W103" s="5"/>
      <c r="X103" s="5"/>
      <c r="Y103" s="5"/>
      <c r="Z103" s="5"/>
      <c r="AA103" s="5"/>
      <c r="AB103" s="5"/>
      <c r="AC103" s="5"/>
      <c r="AD103" s="5"/>
      <c r="AE103" s="5"/>
      <c r="AF103" s="5"/>
      <c r="AG103" s="5"/>
      <c r="AH103" s="5"/>
      <c r="AI103" s="5"/>
      <c r="AJ103" s="5"/>
      <c r="AK103" s="5"/>
      <c r="AL103" s="5"/>
    </row>
    <row r="104" spans="1:38" ht="13.5" thickBot="1">
      <c r="A104" s="320" t="s">
        <v>236</v>
      </c>
      <c r="B104" s="321">
        <f>B103/B91</f>
        <v>8.966042799186647</v>
      </c>
      <c r="C104" s="321">
        <f>C103/C91</f>
        <v>9.651181702160612</v>
      </c>
      <c r="D104" s="321">
        <f>D103/D91</f>
        <v>9.276543582129074</v>
      </c>
      <c r="E104" s="321">
        <f>E103/E91</f>
        <v>9.537994694118614</v>
      </c>
      <c r="F104" s="5"/>
      <c r="G104" s="333">
        <v>2283</v>
      </c>
      <c r="H104" s="334">
        <f>(0.000000054*(I98^4))-(0.000122834*(I98^3))+(0.1063388451*(I98^2))-(11.4924855517*I98)+92.1054607712</f>
        <v>11047.034605755278</v>
      </c>
      <c r="I104" s="334">
        <f>(0.0000000587*(I98^4))-(0.0001305165*(I98^3))+(0.1120964665*(I98^2))-(9.8925545335*I98)-175.4426063598</f>
        <v>12636.02712368212</v>
      </c>
      <c r="J104" s="334">
        <f>(0.0000000536*(I98^4))-(0.0001217652*(I98^3))+(0.105850127*(I98^2))+(2.9356430387*I98)-1127.4369636912</f>
        <v>18050.356423467718</v>
      </c>
      <c r="K104" s="352">
        <f>(0.0000000456*(I98^4))-(0.0001041814*(I98^3))+(0.0932589495*(I98^2))+(12.972079966*I98)-2042.1552509592</f>
        <v>21178.348998000674</v>
      </c>
      <c r="L104" s="335">
        <f>SUMPRODUCT(H104:K104,'Cost-Effectiveness'!$B$3:$E$3)</f>
        <v>21178.348998000674</v>
      </c>
      <c r="P104" s="5"/>
      <c r="Q104" s="5"/>
      <c r="R104" s="5"/>
      <c r="S104" s="5"/>
      <c r="T104" s="5"/>
      <c r="U104" s="5"/>
      <c r="V104" s="5"/>
      <c r="W104" s="5"/>
      <c r="X104" s="5"/>
      <c r="Y104" s="5"/>
      <c r="Z104" s="5"/>
      <c r="AA104" s="5"/>
      <c r="AB104" s="5"/>
      <c r="AC104" s="5"/>
      <c r="AD104" s="5"/>
      <c r="AE104" s="5"/>
      <c r="AF104" s="5"/>
      <c r="AG104" s="5"/>
      <c r="AH104" s="5"/>
      <c r="AI104" s="5"/>
      <c r="AJ104" s="5"/>
      <c r="AK104" s="5"/>
      <c r="AL104" s="5"/>
    </row>
    <row r="105" spans="1:38" ht="12.75">
      <c r="A105" s="134"/>
      <c r="B105" s="134"/>
      <c r="C105" s="134"/>
      <c r="D105" s="134"/>
      <c r="E105" s="134"/>
      <c r="F105" s="5"/>
      <c r="G105" s="5"/>
      <c r="H105" s="116"/>
      <c r="I105" s="5"/>
      <c r="J105" s="5"/>
      <c r="L105" s="119"/>
      <c r="P105" s="5"/>
      <c r="Q105" s="5"/>
      <c r="R105" s="5"/>
      <c r="S105" s="5"/>
      <c r="T105" s="5"/>
      <c r="U105" s="5"/>
      <c r="V105" s="5"/>
      <c r="W105" s="5"/>
      <c r="X105" s="5"/>
      <c r="Y105" s="5"/>
      <c r="Z105" s="5"/>
      <c r="AA105" s="5"/>
      <c r="AB105" s="5"/>
      <c r="AC105" s="5"/>
      <c r="AD105" s="5"/>
      <c r="AE105" s="5"/>
      <c r="AF105" s="5"/>
      <c r="AG105" s="5"/>
      <c r="AH105" s="5"/>
      <c r="AI105" s="5"/>
      <c r="AJ105" s="5"/>
      <c r="AK105" s="5"/>
      <c r="AL105" s="5"/>
    </row>
    <row r="106" spans="1:38" ht="12.75">
      <c r="A106" s="5"/>
      <c r="B106" s="5"/>
      <c r="C106" s="5"/>
      <c r="D106" s="5"/>
      <c r="E106" s="5"/>
      <c r="F106" s="5"/>
      <c r="G106" s="5"/>
      <c r="H106" s="116"/>
      <c r="I106" s="5"/>
      <c r="J106" s="5"/>
      <c r="L106" s="119"/>
      <c r="P106" s="5"/>
      <c r="Q106" s="5"/>
      <c r="R106" s="5"/>
      <c r="S106" s="5"/>
      <c r="T106" s="5"/>
      <c r="U106" s="5"/>
      <c r="V106" s="5"/>
      <c r="W106" s="5"/>
      <c r="X106" s="5"/>
      <c r="Y106" s="5"/>
      <c r="Z106" s="5"/>
      <c r="AA106" s="5"/>
      <c r="AB106" s="5"/>
      <c r="AC106" s="5"/>
      <c r="AD106" s="5"/>
      <c r="AE106" s="5"/>
      <c r="AF106" s="5"/>
      <c r="AG106" s="5"/>
      <c r="AH106" s="5"/>
      <c r="AI106" s="5"/>
      <c r="AJ106" s="5"/>
      <c r="AK106" s="5"/>
      <c r="AL106" s="5"/>
    </row>
    <row r="107" spans="1:38" ht="12.75">
      <c r="A107" s="155" t="s">
        <v>381</v>
      </c>
      <c r="B107" s="155">
        <v>1344</v>
      </c>
      <c r="C107" s="155">
        <v>2200</v>
      </c>
      <c r="D107" s="155">
        <v>2283</v>
      </c>
      <c r="E107" s="313">
        <f>$E$59</f>
        <v>2109.73</v>
      </c>
      <c r="F107" s="5"/>
      <c r="G107" s="5"/>
      <c r="H107" s="116"/>
      <c r="I107" s="5"/>
      <c r="J107" s="5"/>
      <c r="L107" s="119"/>
      <c r="P107" s="5"/>
      <c r="Q107" s="5"/>
      <c r="R107" s="5"/>
      <c r="S107" s="5"/>
      <c r="T107" s="5"/>
      <c r="U107" s="5"/>
      <c r="V107" s="5"/>
      <c r="W107" s="5"/>
      <c r="X107" s="5"/>
      <c r="Y107" s="5"/>
      <c r="Z107" s="5"/>
      <c r="AA107" s="5"/>
      <c r="AB107" s="5"/>
      <c r="AC107" s="5"/>
      <c r="AD107" s="5"/>
      <c r="AE107" s="5"/>
      <c r="AF107" s="5"/>
      <c r="AG107" s="5"/>
      <c r="AH107" s="5"/>
      <c r="AI107" s="5"/>
      <c r="AJ107" s="5"/>
      <c r="AK107" s="5"/>
      <c r="AL107" s="5"/>
    </row>
    <row r="108" spans="1:38" ht="12.75">
      <c r="A108" s="314" t="s">
        <v>348</v>
      </c>
      <c r="B108" s="315">
        <f>VLOOKUP($A108,$A$5:$I$48,7,0)</f>
        <v>76.322</v>
      </c>
      <c r="C108" s="315">
        <f>VLOOKUP($A108,$A$5:$I$48,8,0)</f>
        <v>131.564</v>
      </c>
      <c r="D108" s="315">
        <f>VLOOKUP($A108,$A$5:$I$48,9,0)</f>
        <v>112.654</v>
      </c>
      <c r="E108" s="316"/>
      <c r="F108" s="5"/>
      <c r="G108" s="5"/>
      <c r="H108" s="116"/>
      <c r="I108" s="5"/>
      <c r="J108" s="5"/>
      <c r="L108" s="119"/>
      <c r="P108" s="5"/>
      <c r="Q108" s="5"/>
      <c r="R108" s="5"/>
      <c r="S108" s="5"/>
      <c r="T108" s="5"/>
      <c r="U108" s="5"/>
      <c r="V108" s="5"/>
      <c r="W108" s="5"/>
      <c r="X108" s="5"/>
      <c r="Y108" s="5"/>
      <c r="Z108" s="5"/>
      <c r="AA108" s="5"/>
      <c r="AB108" s="5"/>
      <c r="AC108" s="5"/>
      <c r="AD108" s="5"/>
      <c r="AE108" s="5"/>
      <c r="AF108" s="5"/>
      <c r="AG108" s="5"/>
      <c r="AH108" s="5"/>
      <c r="AI108" s="5"/>
      <c r="AJ108" s="5"/>
      <c r="AK108" s="5"/>
      <c r="AL108" s="5"/>
    </row>
    <row r="109" spans="1:38" ht="12.75">
      <c r="A109" s="314" t="s">
        <v>212</v>
      </c>
      <c r="B109" s="315">
        <f aca="true" t="shared" si="36" ref="B109:B117">VLOOKUP($A109,$A$5:$I$48,7,0)</f>
        <v>29.759999999999998</v>
      </c>
      <c r="C109" s="315">
        <f aca="true" t="shared" si="37" ref="C109:C117">VLOOKUP($A109,$A$5:$I$48,8,0)</f>
        <v>24.862</v>
      </c>
      <c r="D109" s="315">
        <f aca="true" t="shared" si="38" ref="D109:D117">VLOOKUP($A109,$A$5:$I$48,9,0)</f>
        <v>37.138</v>
      </c>
      <c r="E109" s="316"/>
      <c r="F109" s="5"/>
      <c r="G109" s="5"/>
      <c r="H109" s="116"/>
      <c r="I109" s="5"/>
      <c r="J109" s="5"/>
      <c r="K109" s="5"/>
      <c r="L109" s="119"/>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row>
    <row r="110" spans="1:38" ht="13.5" thickBot="1">
      <c r="A110" s="314" t="s">
        <v>331</v>
      </c>
      <c r="B110" s="315">
        <f t="shared" si="36"/>
        <v>13.770000000000001</v>
      </c>
      <c r="C110" s="315">
        <f t="shared" si="37"/>
        <v>23.256</v>
      </c>
      <c r="D110" s="315">
        <f t="shared" si="38"/>
        <v>0</v>
      </c>
      <c r="E110" s="316"/>
      <c r="F110" s="5"/>
      <c r="G110" s="5"/>
      <c r="H110" s="116"/>
      <c r="I110" s="5"/>
      <c r="J110" s="5"/>
      <c r="L110" s="119"/>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row>
    <row r="111" spans="1:38" ht="12.75">
      <c r="A111" s="314" t="s">
        <v>183</v>
      </c>
      <c r="B111" s="315">
        <f t="shared" si="36"/>
        <v>0</v>
      </c>
      <c r="C111" s="315">
        <f t="shared" si="37"/>
        <v>0</v>
      </c>
      <c r="D111" s="315">
        <f t="shared" si="38"/>
        <v>16.765</v>
      </c>
      <c r="E111" s="316"/>
      <c r="F111" s="5"/>
      <c r="G111" s="344" t="s">
        <v>374</v>
      </c>
      <c r="H111" s="343" t="s">
        <v>23</v>
      </c>
      <c r="I111" s="343" t="s">
        <v>204</v>
      </c>
      <c r="J111" s="343" t="s">
        <v>376</v>
      </c>
      <c r="K111" s="337"/>
      <c r="L111" s="119"/>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row>
    <row r="112" spans="1:38" ht="12.75">
      <c r="A112" s="314" t="s">
        <v>181</v>
      </c>
      <c r="B112" s="315">
        <f t="shared" si="36"/>
        <v>38.976</v>
      </c>
      <c r="C112" s="315">
        <f t="shared" si="37"/>
        <v>49.909000000000006</v>
      </c>
      <c r="D112" s="315">
        <f t="shared" si="38"/>
        <v>3.016</v>
      </c>
      <c r="E112" s="316"/>
      <c r="F112" s="5"/>
      <c r="G112" s="328">
        <v>1344</v>
      </c>
      <c r="H112" s="336">
        <f>'Cost-Effectiveness'!$B$18</f>
        <v>0.12</v>
      </c>
      <c r="I112" s="341">
        <f>B118</f>
        <v>302.0026542635659</v>
      </c>
      <c r="J112" s="358">
        <f>L118</f>
        <v>8693.001298914442</v>
      </c>
      <c r="K112" s="327"/>
      <c r="L112" s="119"/>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row>
    <row r="113" spans="1:38" ht="12.75">
      <c r="A113" s="314" t="s">
        <v>217</v>
      </c>
      <c r="B113" s="315">
        <f t="shared" si="36"/>
        <v>68.21705426356588</v>
      </c>
      <c r="C113" s="315">
        <f t="shared" si="37"/>
        <v>141.86046511627904</v>
      </c>
      <c r="D113" s="315">
        <f t="shared" si="38"/>
        <v>77.51937984496124</v>
      </c>
      <c r="E113" s="316"/>
      <c r="F113" s="5"/>
      <c r="G113" s="326">
        <v>2200</v>
      </c>
      <c r="H113" s="336">
        <f>'Cost-Effectiveness'!$C$18</f>
        <v>0.73</v>
      </c>
      <c r="I113" s="341">
        <f>C118</f>
        <v>492.78146511627904</v>
      </c>
      <c r="J113" s="358">
        <f>L119</f>
        <v>15191.623960905992</v>
      </c>
      <c r="K113" s="327"/>
      <c r="L113" s="119"/>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row>
    <row r="114" spans="1:38" ht="13.5" thickBot="1">
      <c r="A114" s="314" t="s">
        <v>219</v>
      </c>
      <c r="B114" s="315">
        <f t="shared" si="36"/>
        <v>7.22</v>
      </c>
      <c r="C114" s="315">
        <f t="shared" si="37"/>
        <v>10.45</v>
      </c>
      <c r="D114" s="315">
        <f t="shared" si="38"/>
        <v>16.91</v>
      </c>
      <c r="E114" s="316"/>
      <c r="F114" s="5"/>
      <c r="G114" s="338">
        <v>2283</v>
      </c>
      <c r="H114" s="339">
        <f>'Cost-Effectiveness'!$D$18</f>
        <v>0.15</v>
      </c>
      <c r="I114" s="342">
        <f>D118</f>
        <v>473.7055798449613</v>
      </c>
      <c r="J114" s="358">
        <f>L120</f>
        <v>16251.675380544402</v>
      </c>
      <c r="K114" s="340"/>
      <c r="L114" s="119"/>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row>
    <row r="115" spans="1:38" ht="13.5" thickBot="1">
      <c r="A115" s="314" t="s">
        <v>221</v>
      </c>
      <c r="B115" s="315">
        <f t="shared" si="36"/>
        <v>0</v>
      </c>
      <c r="C115" s="315">
        <f t="shared" si="37"/>
        <v>0</v>
      </c>
      <c r="D115" s="315">
        <f t="shared" si="38"/>
        <v>75.60000000000001</v>
      </c>
      <c r="E115" s="316"/>
      <c r="F115" s="5"/>
      <c r="G115" s="354">
        <f>SUMPRODUCT(G112:G114,H112:H114)</f>
        <v>2109.73</v>
      </c>
      <c r="H115" s="355">
        <f>SUM(H112:H114)</f>
        <v>1</v>
      </c>
      <c r="I115" s="356">
        <f>SUMPRODUCT($H112:$H114,I112:I114)</f>
        <v>467.02662502325575</v>
      </c>
      <c r="J115" s="356">
        <f>SUMPRODUCT($H112:$H114,J112:J114)</f>
        <v>14570.796954412768</v>
      </c>
      <c r="K115" s="357"/>
      <c r="L115" s="119"/>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row>
    <row r="116" spans="1:38" ht="13.5" thickBot="1">
      <c r="A116" s="314" t="s">
        <v>196</v>
      </c>
      <c r="B116" s="315">
        <f t="shared" si="36"/>
        <v>0</v>
      </c>
      <c r="C116" s="315">
        <f t="shared" si="37"/>
        <v>0</v>
      </c>
      <c r="D116" s="315">
        <f t="shared" si="38"/>
        <v>19.040000000000003</v>
      </c>
      <c r="E116" s="316"/>
      <c r="F116" s="137"/>
      <c r="G116" s="346" t="s">
        <v>23</v>
      </c>
      <c r="H116" s="347">
        <f>'Cost-Effectiveness'!$B$3</f>
        <v>0</v>
      </c>
      <c r="I116" s="347">
        <f>'Cost-Effectiveness'!$C$3</f>
        <v>0</v>
      </c>
      <c r="J116" s="347">
        <f>'Cost-Effectiveness'!$D$3</f>
        <v>0</v>
      </c>
      <c r="K116" s="348">
        <f>'Cost-Effectiveness'!$E$3</f>
        <v>1</v>
      </c>
      <c r="L116" s="131" t="s">
        <v>375</v>
      </c>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row>
    <row r="117" spans="1:38" ht="12.75">
      <c r="A117" s="317" t="s">
        <v>224</v>
      </c>
      <c r="B117" s="315">
        <f t="shared" si="36"/>
        <v>67.73759999999999</v>
      </c>
      <c r="C117" s="315">
        <f t="shared" si="37"/>
        <v>110.87999999999998</v>
      </c>
      <c r="D117" s="315">
        <f t="shared" si="38"/>
        <v>115.06319999999998</v>
      </c>
      <c r="E117" s="316"/>
      <c r="F117" s="114"/>
      <c r="G117" s="345"/>
      <c r="H117" s="343" t="s">
        <v>200</v>
      </c>
      <c r="I117" s="343" t="s">
        <v>201</v>
      </c>
      <c r="J117" s="343" t="s">
        <v>202</v>
      </c>
      <c r="K117" s="349" t="s">
        <v>203</v>
      </c>
      <c r="L117" s="353" t="str">
        <f>L101</f>
        <v>Missoula</v>
      </c>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row>
    <row r="118" spans="1:38" ht="12.75">
      <c r="A118" s="318" t="s">
        <v>234</v>
      </c>
      <c r="B118" s="319">
        <f>SUM(B108:B117)</f>
        <v>302.0026542635659</v>
      </c>
      <c r="C118" s="319">
        <f>SUM(C108:C117)</f>
        <v>492.78146511627904</v>
      </c>
      <c r="D118" s="319">
        <f>SUM(D108:D117)</f>
        <v>473.7055798449613</v>
      </c>
      <c r="E118" s="319">
        <f>($B$58*B118)+($C$58*C118)+($D$58*D118)</f>
        <v>467.02662502325575</v>
      </c>
      <c r="F118" s="204">
        <f>E118/E107</f>
        <v>0.22136795941815102</v>
      </c>
      <c r="G118" s="328">
        <v>1344</v>
      </c>
      <c r="H118" s="329">
        <f>(0.0000000483*(I112^4))-(0.0001084986*(I112^3))+(0.0925864926*(I112^2))-(4.7266834675*I112)-483.6424651158</f>
        <v>3946.553499563101</v>
      </c>
      <c r="I118" s="329">
        <f>(0.0000000474*(I112^4))-(0.0001084079*(I112^3))+(0.0954489266*(I112^2))-(2.7783188788*I112)-729.4847470279</f>
        <v>4545.204169720235</v>
      </c>
      <c r="J118" s="329">
        <f>(0.0000000513*(I112^4))-(0.0001129418*(I112^3))+(0.0942698734*(I112^2))+(9.7772074272*I112)-1597.6523413466</f>
        <v>7268.861332169519</v>
      </c>
      <c r="K118" s="350">
        <f>(0.000000039*(I112^4))-(0.0000915628*(I112^3))+(0.0826236708*(I112^2))+(18.7809842013*I112)-2317.0311644418</f>
        <v>8693.001298914442</v>
      </c>
      <c r="L118" s="330">
        <f>SUMPRODUCT(H118:K118,'Cost-Effectiveness'!$B$3:$E$3)</f>
        <v>8693.001298914442</v>
      </c>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row>
    <row r="119" spans="1:38" ht="12.75">
      <c r="A119" s="320" t="s">
        <v>235</v>
      </c>
      <c r="B119" s="319">
        <f>J112</f>
        <v>8693.001298914442</v>
      </c>
      <c r="C119" s="319">
        <f>J113</f>
        <v>15191.623960905992</v>
      </c>
      <c r="D119" s="319">
        <f>J114</f>
        <v>16251.675380544402</v>
      </c>
      <c r="E119" s="319">
        <f>($B$58*B119)+($C$58*C119)+($D$58*D119)</f>
        <v>14570.796954412768</v>
      </c>
      <c r="F119" s="131"/>
      <c r="G119" s="326">
        <v>2200</v>
      </c>
      <c r="H119" s="331">
        <f>(0.000000056*(I113^4))-(0.0001293162*(I113^3))+(0.1156141553*(I113^2))-(18.8087825498*I113)+800.0127173394</f>
        <v>7434.128998770332</v>
      </c>
      <c r="I119" s="331">
        <f>(0.0000000611*(I113^4))-(0.0001407997*(I113^3))+(0.1260787774*(I113^2))-(19.4407217456*I113)+750.1493216982</f>
        <v>8540.596575085125</v>
      </c>
      <c r="J119" s="331">
        <f>(0.0000000511*(I113^4))-(0.0001207491*(I113^3))+(0.1113962896*(I113^2))-(4.5813153206*I113)-608.689338736</f>
        <v>12748.448245090742</v>
      </c>
      <c r="K119" s="351">
        <f>(0.0000000657*(I113^4))-(0.0001522392*(I113^3))+(0.1356085946*(I113^2))-(5.4819652547*I113)-693.95778761</f>
        <v>15191.623960905992</v>
      </c>
      <c r="L119" s="332">
        <f>SUMPRODUCT(H119:K119,'Cost-Effectiveness'!$B$3:$E$3)</f>
        <v>15191.623960905992</v>
      </c>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row>
    <row r="120" spans="1:38" ht="13.5" thickBot="1">
      <c r="A120" s="320" t="s">
        <v>236</v>
      </c>
      <c r="B120" s="321">
        <f>B119/B107</f>
        <v>6.46800691883515</v>
      </c>
      <c r="C120" s="321">
        <f>C119/C107</f>
        <v>6.905283618593633</v>
      </c>
      <c r="D120" s="321">
        <f>D119/D107</f>
        <v>7.118561270496891</v>
      </c>
      <c r="E120" s="321">
        <f>E119/E107</f>
        <v>6.906474740565271</v>
      </c>
      <c r="F120" s="5"/>
      <c r="G120" s="333">
        <v>2283</v>
      </c>
      <c r="H120" s="334">
        <f>(0.000000054*(I114^4))-(0.000122834*(I114^3))+(0.1063388451*(I114^2))-(11.4924855517*I114)+92.1054607712</f>
        <v>8172.26161076018</v>
      </c>
      <c r="I120" s="334">
        <f>(0.0000000587*(I114^4))-(0.0001305165*(I114^3))+(0.1120964665*(I114^2))-(9.8925545335*I114)-175.4426063598</f>
        <v>9374.631289940186</v>
      </c>
      <c r="J120" s="334">
        <f>(0.0000000536*(I114^4))-(0.0001217652*(I114^3))+(0.105850127*(I114^2))+(2.9356430387*I114)-1127.4369636912</f>
        <v>13771.20715022449</v>
      </c>
      <c r="K120" s="352">
        <f>(0.0000000456*(I114^4))-(0.0001041814*(I114^3))+(0.0932589495*(I114^2))+(12.972079966*I114)-2042.1552509592</f>
        <v>16251.675380544402</v>
      </c>
      <c r="L120" s="335">
        <f>SUMPRODUCT(H120:K120,'Cost-Effectiveness'!$B$3:$E$3)</f>
        <v>16251.675380544402</v>
      </c>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row>
    <row r="121" spans="1:38" ht="12.75">
      <c r="A121" s="134"/>
      <c r="B121" s="134"/>
      <c r="C121" s="134"/>
      <c r="D121" s="134"/>
      <c r="E121" s="134"/>
      <c r="F121" s="5"/>
      <c r="G121" s="138"/>
      <c r="H121" s="5"/>
      <c r="I121" s="119"/>
      <c r="J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row>
    <row r="122" spans="1:38" ht="12.75">
      <c r="A122" s="5"/>
      <c r="B122" s="5"/>
      <c r="C122" s="5"/>
      <c r="D122" s="5"/>
      <c r="E122" s="5"/>
      <c r="F122" s="5"/>
      <c r="G122" s="5"/>
      <c r="H122" s="5"/>
      <c r="I122" s="5"/>
      <c r="J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row>
    <row r="123" spans="1:38" ht="12.75">
      <c r="A123" s="155" t="s">
        <v>377</v>
      </c>
      <c r="B123" s="155">
        <v>1344</v>
      </c>
      <c r="C123" s="155">
        <v>2200</v>
      </c>
      <c r="D123" s="155">
        <v>2283</v>
      </c>
      <c r="E123" s="313">
        <f>$E$59</f>
        <v>2109.73</v>
      </c>
      <c r="F123" s="5"/>
      <c r="G123" s="139"/>
      <c r="H123" s="119"/>
      <c r="I123" s="5"/>
      <c r="J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row>
    <row r="124" spans="1:38" ht="12.75">
      <c r="A124" s="314" t="s">
        <v>353</v>
      </c>
      <c r="B124" s="315">
        <f>VLOOKUP($A124,$A$5:$I$48,7,0)</f>
        <v>62.781</v>
      </c>
      <c r="C124" s="315">
        <f>VLOOKUP($A124,$A$5:$I$48,8,0)</f>
        <v>108.222</v>
      </c>
      <c r="D124" s="315">
        <f>VLOOKUP($A124,$A$5:$I$48,9,0)</f>
        <v>92.66699999999999</v>
      </c>
      <c r="E124" s="316"/>
      <c r="F124" s="5"/>
      <c r="G124" s="119"/>
      <c r="H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row>
    <row r="125" spans="1:38" ht="12.75">
      <c r="A125" s="314" t="s">
        <v>212</v>
      </c>
      <c r="B125" s="315">
        <f aca="true" t="shared" si="39" ref="B125:B133">VLOOKUP($A125,$A$5:$I$48,7,0)</f>
        <v>29.759999999999998</v>
      </c>
      <c r="C125" s="315">
        <f aca="true" t="shared" si="40" ref="C125:C133">VLOOKUP($A125,$A$5:$I$48,8,0)</f>
        <v>24.862</v>
      </c>
      <c r="D125" s="315">
        <f aca="true" t="shared" si="41" ref="D125:D133">VLOOKUP($A125,$A$5:$I$48,9,0)</f>
        <v>37.138</v>
      </c>
      <c r="E125" s="316"/>
      <c r="F125" s="5"/>
      <c r="G125" s="5"/>
      <c r="H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row>
    <row r="126" spans="1:38" ht="13.5" thickBot="1">
      <c r="A126" s="314" t="s">
        <v>183</v>
      </c>
      <c r="B126" s="315">
        <f t="shared" si="39"/>
        <v>0</v>
      </c>
      <c r="C126" s="315">
        <f t="shared" si="40"/>
        <v>0</v>
      </c>
      <c r="D126" s="315">
        <f t="shared" si="41"/>
        <v>16.765</v>
      </c>
      <c r="E126" s="316"/>
      <c r="F126" s="5"/>
      <c r="G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row>
    <row r="127" spans="1:38" ht="12.75">
      <c r="A127" s="314" t="s">
        <v>331</v>
      </c>
      <c r="B127" s="315">
        <f t="shared" si="39"/>
        <v>13.770000000000001</v>
      </c>
      <c r="C127" s="315">
        <f t="shared" si="40"/>
        <v>23.256</v>
      </c>
      <c r="D127" s="315">
        <f t="shared" si="41"/>
        <v>0</v>
      </c>
      <c r="E127" s="316"/>
      <c r="F127" s="5"/>
      <c r="G127" s="344" t="s">
        <v>374</v>
      </c>
      <c r="H127" s="343" t="s">
        <v>23</v>
      </c>
      <c r="I127" s="343" t="s">
        <v>204</v>
      </c>
      <c r="J127" s="343" t="s">
        <v>376</v>
      </c>
      <c r="K127" s="337"/>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row>
    <row r="128" spans="1:38" ht="12.75">
      <c r="A128" s="314" t="s">
        <v>181</v>
      </c>
      <c r="B128" s="315">
        <f t="shared" si="39"/>
        <v>38.976</v>
      </c>
      <c r="C128" s="315">
        <f t="shared" si="40"/>
        <v>49.909000000000006</v>
      </c>
      <c r="D128" s="315">
        <f t="shared" si="41"/>
        <v>3.016</v>
      </c>
      <c r="E128" s="316"/>
      <c r="F128" s="5"/>
      <c r="G128" s="328">
        <v>1344</v>
      </c>
      <c r="H128" s="336">
        <f>'Cost-Effectiveness'!$B$18</f>
        <v>0.12</v>
      </c>
      <c r="I128" s="341">
        <f>B134</f>
        <v>280.16677898832677</v>
      </c>
      <c r="J128" s="358">
        <f>L134</f>
        <v>7656.898595126044</v>
      </c>
      <c r="K128" s="327"/>
      <c r="L128" s="119"/>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row>
    <row r="129" spans="1:38" ht="12.75">
      <c r="A129" s="314" t="s">
        <v>179</v>
      </c>
      <c r="B129" s="315">
        <f t="shared" si="39"/>
        <v>59.92217898832685</v>
      </c>
      <c r="C129" s="315">
        <f t="shared" si="40"/>
        <v>124.61089494163424</v>
      </c>
      <c r="D129" s="315">
        <f t="shared" si="41"/>
        <v>68.09338521400778</v>
      </c>
      <c r="E129" s="316"/>
      <c r="F129" s="5"/>
      <c r="G129" s="326">
        <v>2200</v>
      </c>
      <c r="H129" s="336">
        <f>'Cost-Effectiveness'!$C$18</f>
        <v>0.73</v>
      </c>
      <c r="I129" s="341">
        <f>C134</f>
        <v>452.18989494163424</v>
      </c>
      <c r="J129" s="358">
        <f>L135</f>
        <v>13226.435460496627</v>
      </c>
      <c r="K129" s="327"/>
      <c r="L129" s="119"/>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row>
    <row r="130" spans="1:38" ht="13.5" thickBot="1">
      <c r="A130" s="314" t="s">
        <v>219</v>
      </c>
      <c r="B130" s="315">
        <f t="shared" si="39"/>
        <v>7.22</v>
      </c>
      <c r="C130" s="315">
        <f t="shared" si="40"/>
        <v>10.45</v>
      </c>
      <c r="D130" s="315">
        <f t="shared" si="41"/>
        <v>16.91</v>
      </c>
      <c r="E130" s="316"/>
      <c r="F130" s="5"/>
      <c r="G130" s="338">
        <v>2283</v>
      </c>
      <c r="H130" s="339">
        <f>'Cost-Effectiveness'!$D$18</f>
        <v>0.15</v>
      </c>
      <c r="I130" s="342">
        <f>D134</f>
        <v>443.17258521400777</v>
      </c>
      <c r="J130" s="358">
        <f>L136</f>
        <v>14713.970891737124</v>
      </c>
      <c r="K130" s="340"/>
      <c r="L130" s="119"/>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row>
    <row r="131" spans="1:38" ht="13.5" thickBot="1">
      <c r="A131" s="314" t="s">
        <v>221</v>
      </c>
      <c r="B131" s="315">
        <f t="shared" si="39"/>
        <v>0</v>
      </c>
      <c r="C131" s="315">
        <f t="shared" si="40"/>
        <v>0</v>
      </c>
      <c r="D131" s="315">
        <f t="shared" si="41"/>
        <v>75.60000000000001</v>
      </c>
      <c r="E131" s="316"/>
      <c r="F131" s="5"/>
      <c r="G131" s="354">
        <f>SUMPRODUCT(G128:G130,H128:H130)</f>
        <v>2109.73</v>
      </c>
      <c r="H131" s="355">
        <f>SUM(H128:H130)</f>
        <v>1</v>
      </c>
      <c r="I131" s="356">
        <f>SUMPRODUCT($H128:$H130,I128:I130)</f>
        <v>430.19452456809336</v>
      </c>
      <c r="J131" s="356">
        <f>SUMPRODUCT($H128:$H130,J128:J130)</f>
        <v>12781.22135133823</v>
      </c>
      <c r="K131" s="357"/>
      <c r="L131" s="119"/>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row>
    <row r="132" spans="1:38" ht="13.5" thickBot="1">
      <c r="A132" s="314" t="s">
        <v>194</v>
      </c>
      <c r="B132" s="315">
        <f t="shared" si="39"/>
        <v>0</v>
      </c>
      <c r="C132" s="315">
        <f t="shared" si="40"/>
        <v>0</v>
      </c>
      <c r="D132" s="315">
        <f t="shared" si="41"/>
        <v>17.92</v>
      </c>
      <c r="E132" s="316"/>
      <c r="F132" s="5"/>
      <c r="G132" s="346" t="s">
        <v>23</v>
      </c>
      <c r="H132" s="347">
        <f>'Cost-Effectiveness'!$B$3</f>
        <v>0</v>
      </c>
      <c r="I132" s="347">
        <f>'Cost-Effectiveness'!$C$3</f>
        <v>0</v>
      </c>
      <c r="J132" s="347">
        <f>'Cost-Effectiveness'!$D$3</f>
        <v>0</v>
      </c>
      <c r="K132" s="348">
        <f>'Cost-Effectiveness'!$E$3</f>
        <v>1</v>
      </c>
      <c r="L132" s="131" t="s">
        <v>375</v>
      </c>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row>
    <row r="133" spans="1:38" ht="12.75">
      <c r="A133" s="317" t="s">
        <v>224</v>
      </c>
      <c r="B133" s="315">
        <f t="shared" si="39"/>
        <v>67.73759999999999</v>
      </c>
      <c r="C133" s="315">
        <f t="shared" si="40"/>
        <v>110.87999999999998</v>
      </c>
      <c r="D133" s="315">
        <f t="shared" si="41"/>
        <v>115.06319999999998</v>
      </c>
      <c r="E133" s="316"/>
      <c r="F133" s="5"/>
      <c r="G133" s="345"/>
      <c r="H133" s="343" t="s">
        <v>200</v>
      </c>
      <c r="I133" s="343" t="s">
        <v>201</v>
      </c>
      <c r="J133" s="343" t="s">
        <v>202</v>
      </c>
      <c r="K133" s="349" t="s">
        <v>203</v>
      </c>
      <c r="L133" s="353" t="str">
        <f>L117</f>
        <v>Missoula</v>
      </c>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row>
    <row r="134" spans="1:38" ht="12.75">
      <c r="A134" s="318" t="s">
        <v>234</v>
      </c>
      <c r="B134" s="319">
        <f>SUM(B124:B133)</f>
        <v>280.16677898832677</v>
      </c>
      <c r="C134" s="319">
        <f>SUM(C124:C133)</f>
        <v>452.18989494163424</v>
      </c>
      <c r="D134" s="319">
        <f>SUM(D124:D133)</f>
        <v>443.17258521400777</v>
      </c>
      <c r="E134" s="319">
        <f>($B$58*B134)+($C$58*C134)+($D$58*D134)</f>
        <v>430.19452456809336</v>
      </c>
      <c r="F134" s="204">
        <f>E134/E123</f>
        <v>0.20390975365003738</v>
      </c>
      <c r="G134" s="328">
        <v>1344</v>
      </c>
      <c r="H134" s="329">
        <f>(0.0000000483*(I128^4))-(0.0001084986*(I128^3))+(0.0925864926*(I128^2))-(4.7266834675*I128)-483.6424651158</f>
        <v>3371.095674130022</v>
      </c>
      <c r="I134" s="329">
        <f>(0.0000000474*(I128^4))-(0.0001084079*(I128^3))+(0.0954489266*(I128^2))-(2.7783188788*I128)-729.4847470279</f>
        <v>3892.2521796010415</v>
      </c>
      <c r="J134" s="329">
        <f>(0.0000000513*(I128^4))-(0.0001129418*(I128^3))+(0.0942698734*(I128^2))+(9.7772074272*I128)-1597.6523413466</f>
        <v>6373.500647436171</v>
      </c>
      <c r="K134" s="350">
        <f>(0.000000039*(I128^4))-(0.0000915628*(I128^3))+(0.0826236708*(I128^2))+(18.7809842013*I128)-2317.0311644418</f>
        <v>7656.898595126044</v>
      </c>
      <c r="L134" s="330">
        <f>SUMPRODUCT(H134:K134,'Cost-Effectiveness'!$B$3:$E$3)</f>
        <v>7656.898595126044</v>
      </c>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row>
    <row r="135" spans="1:38" ht="12.75">
      <c r="A135" s="320" t="s">
        <v>235</v>
      </c>
      <c r="B135" s="319">
        <f>J128</f>
        <v>7656.898595126044</v>
      </c>
      <c r="C135" s="319">
        <f>J129</f>
        <v>13226.435460496627</v>
      </c>
      <c r="D135" s="319">
        <f>J130</f>
        <v>14713.970891737124</v>
      </c>
      <c r="E135" s="319">
        <f>($B$58*B135)+($C$58*C135)+($D$58*D135)</f>
        <v>12781.22135133823</v>
      </c>
      <c r="F135" s="5"/>
      <c r="G135" s="326">
        <v>2200</v>
      </c>
      <c r="H135" s="331">
        <f>(0.000000056*(I129^4))-(0.0001293162*(I129^3))+(0.1156141553*(I129^2))-(18.8087825498*I129)+800.0127173394</f>
        <v>6319.719720610164</v>
      </c>
      <c r="I135" s="331">
        <f>(0.0000000611*(I129^4))-(0.0001407997*(I129^3))+(0.1260787774*(I129^2))-(19.4407217456*I129)+750.1493216982</f>
        <v>7275.30773366981</v>
      </c>
      <c r="J135" s="331">
        <f>(0.0000000511*(I129^4))-(0.0001207491*(I129^3))+(0.1113962896*(I129^2))-(4.5813153206*I129)-608.689338736</f>
        <v>11069.342878741772</v>
      </c>
      <c r="K135" s="351">
        <f>(0.0000000657*(I129^4))-(0.0001522392*(I129^3))+(0.1356085946*(I129^2))-(5.4819652547*I129)-693.95778761</f>
        <v>13226.435460496627</v>
      </c>
      <c r="L135" s="332">
        <f>SUMPRODUCT(H135:K135,'Cost-Effectiveness'!$B$3:$E$3)</f>
        <v>13226.435460496627</v>
      </c>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row>
    <row r="136" spans="1:38" ht="13.5" thickBot="1">
      <c r="A136" s="320" t="s">
        <v>236</v>
      </c>
      <c r="B136" s="321">
        <f>B135/B123</f>
        <v>5.697097168992592</v>
      </c>
      <c r="C136" s="321">
        <f>C135/C123</f>
        <v>6.012016118407558</v>
      </c>
      <c r="D136" s="321">
        <f>D135/D123</f>
        <v>6.44501572130404</v>
      </c>
      <c r="E136" s="321">
        <f>E135/E123</f>
        <v>6.058226100656591</v>
      </c>
      <c r="F136" s="5"/>
      <c r="G136" s="333">
        <v>2283</v>
      </c>
      <c r="H136" s="334">
        <f>(0.000000054*(I130^4))-(0.000122834*(I130^3))+(0.1063388451*(I130^2))-(11.4924855517*I130)+92.1054607712</f>
        <v>7275.621521314671</v>
      </c>
      <c r="I136" s="334">
        <f>(0.0000000587*(I130^4))-(0.0001305165*(I130^3))+(0.1120964665*(I130^2))-(9.8925545335*I130)-175.4426063598</f>
        <v>8360.539069136492</v>
      </c>
      <c r="J136" s="334">
        <f>(0.0000000536*(I130^4))-(0.0001217652*(I130^3))+(0.105850127*(I130^2))+(2.9356430387*I130)-1127.4369636912</f>
        <v>12431.843776672058</v>
      </c>
      <c r="K136" s="352">
        <f>(0.0000000456*(I130^4))-(0.0001041814*(I130^3))+(0.0932589495*(I130^2))+(12.972079966*I130)-2042.1552509592</f>
        <v>14713.970891737124</v>
      </c>
      <c r="L136" s="335">
        <f>SUMPRODUCT(H136:K136,'Cost-Effectiveness'!$B$3:$E$3)</f>
        <v>14713.970891737124</v>
      </c>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row>
    <row r="137" spans="1:38" ht="12.75">
      <c r="A137" s="134"/>
      <c r="B137" s="134"/>
      <c r="C137" s="134"/>
      <c r="D137" s="134"/>
      <c r="E137" s="134"/>
      <c r="F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row>
    <row r="138" spans="1:38" ht="12.75">
      <c r="A138" s="5"/>
      <c r="B138" s="5"/>
      <c r="C138" s="5"/>
      <c r="D138" s="5"/>
      <c r="E138" s="5"/>
      <c r="F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row>
    <row r="139" spans="1:38" ht="12.75">
      <c r="A139" s="155" t="s">
        <v>406</v>
      </c>
      <c r="B139" s="155">
        <v>1344</v>
      </c>
      <c r="C139" s="155">
        <v>2200</v>
      </c>
      <c r="D139" s="155">
        <v>2283</v>
      </c>
      <c r="E139" s="313">
        <f>$E$59</f>
        <v>2109.73</v>
      </c>
      <c r="F139" s="139"/>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row>
    <row r="140" spans="1:38" ht="12.75">
      <c r="A140" s="314" t="s">
        <v>353</v>
      </c>
      <c r="B140" s="315">
        <f>VLOOKUP($A140,$A$5:$I$48,7,0)</f>
        <v>62.781</v>
      </c>
      <c r="C140" s="315">
        <f>VLOOKUP($A140,$A$5:$I$48,8,0)</f>
        <v>108.222</v>
      </c>
      <c r="D140" s="315">
        <f>VLOOKUP($A140,$A$5:$I$48,9,0)</f>
        <v>92.66699999999999</v>
      </c>
      <c r="E140" s="316"/>
      <c r="F140" s="119"/>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row>
    <row r="141" spans="1:38" ht="12.75">
      <c r="A141" s="314" t="s">
        <v>212</v>
      </c>
      <c r="B141" s="315">
        <f aca="true" t="shared" si="42" ref="B141:B149">VLOOKUP($A141,$A$5:$I$48,7,0)</f>
        <v>29.759999999999998</v>
      </c>
      <c r="C141" s="315">
        <f aca="true" t="shared" si="43" ref="C141:C149">VLOOKUP($A141,$A$5:$I$48,8,0)</f>
        <v>24.862</v>
      </c>
      <c r="D141" s="315">
        <f aca="true" t="shared" si="44" ref="D141:D149">VLOOKUP($A141,$A$5:$I$48,9,0)</f>
        <v>37.138</v>
      </c>
      <c r="E141" s="316"/>
      <c r="F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row>
    <row r="142" spans="1:38" ht="13.5" thickBot="1">
      <c r="A142" s="314" t="s">
        <v>183</v>
      </c>
      <c r="B142" s="315">
        <f t="shared" si="42"/>
        <v>0</v>
      </c>
      <c r="C142" s="315">
        <f t="shared" si="43"/>
        <v>0</v>
      </c>
      <c r="D142" s="315">
        <f t="shared" si="44"/>
        <v>16.765</v>
      </c>
      <c r="E142" s="316"/>
      <c r="K142" s="5"/>
      <c r="L142" s="5"/>
      <c r="M142" s="5"/>
      <c r="N142" s="5"/>
      <c r="O142" s="5"/>
      <c r="P142" s="5"/>
      <c r="Q142" s="5"/>
      <c r="S142" s="5"/>
      <c r="T142" s="5"/>
      <c r="U142" s="5"/>
      <c r="V142" s="5"/>
      <c r="W142" s="5"/>
      <c r="X142" s="5"/>
      <c r="Y142" s="5"/>
      <c r="Z142" s="5"/>
      <c r="AA142" s="5"/>
      <c r="AB142" s="5"/>
      <c r="AC142" s="5"/>
      <c r="AD142" s="5"/>
      <c r="AE142" s="5"/>
      <c r="AF142" s="5"/>
      <c r="AG142" s="5"/>
      <c r="AH142" s="5"/>
      <c r="AI142" s="5"/>
      <c r="AJ142" s="5"/>
      <c r="AK142" s="5"/>
      <c r="AL142" s="5"/>
    </row>
    <row r="143" spans="1:38" ht="12.75">
      <c r="A143" s="314" t="s">
        <v>331</v>
      </c>
      <c r="B143" s="315">
        <f t="shared" si="42"/>
        <v>13.770000000000001</v>
      </c>
      <c r="C143" s="315">
        <f t="shared" si="43"/>
        <v>23.256</v>
      </c>
      <c r="D143" s="315">
        <f t="shared" si="44"/>
        <v>0</v>
      </c>
      <c r="E143" s="316"/>
      <c r="G143" s="344" t="s">
        <v>374</v>
      </c>
      <c r="H143" s="343" t="s">
        <v>23</v>
      </c>
      <c r="I143" s="343" t="s">
        <v>204</v>
      </c>
      <c r="J143" s="343" t="s">
        <v>376</v>
      </c>
      <c r="K143" s="337"/>
      <c r="M143" s="5"/>
      <c r="N143" s="5"/>
      <c r="O143" s="5"/>
      <c r="P143" s="5"/>
      <c r="Q143" s="5"/>
      <c r="V143" s="5"/>
      <c r="W143" s="5"/>
      <c r="X143" s="5"/>
      <c r="Y143" s="5"/>
      <c r="Z143" s="5"/>
      <c r="AA143" s="5"/>
      <c r="AB143" s="5"/>
      <c r="AC143" s="5"/>
      <c r="AD143" s="5"/>
      <c r="AE143" s="5"/>
      <c r="AF143" s="5"/>
      <c r="AG143" s="5"/>
      <c r="AH143" s="5"/>
      <c r="AI143" s="5"/>
      <c r="AJ143" s="5"/>
      <c r="AK143" s="5"/>
      <c r="AL143" s="5"/>
    </row>
    <row r="144" spans="1:38" ht="12.75">
      <c r="A144" s="314" t="s">
        <v>181</v>
      </c>
      <c r="B144" s="315">
        <f t="shared" si="42"/>
        <v>38.976</v>
      </c>
      <c r="C144" s="315">
        <f t="shared" si="43"/>
        <v>49.909000000000006</v>
      </c>
      <c r="D144" s="315">
        <f t="shared" si="44"/>
        <v>3.016</v>
      </c>
      <c r="E144" s="316"/>
      <c r="G144" s="328">
        <v>1344</v>
      </c>
      <c r="H144" s="336">
        <f>'Cost-Effectiveness'!$B$18</f>
        <v>0.12</v>
      </c>
      <c r="I144" s="341">
        <f>B150</f>
        <v>304.8599846153846</v>
      </c>
      <c r="J144" s="358">
        <f>L150</f>
        <v>8830.123391016155</v>
      </c>
      <c r="K144" s="327"/>
      <c r="L144" s="119"/>
      <c r="M144" s="5"/>
      <c r="N144" s="5"/>
      <c r="O144" s="5"/>
      <c r="P144" s="5"/>
      <c r="Q144" s="5"/>
      <c r="S144" s="119"/>
      <c r="T144" s="119"/>
      <c r="U144" s="119"/>
      <c r="V144" s="5"/>
      <c r="W144" s="5"/>
      <c r="X144" s="5"/>
      <c r="Y144" s="5"/>
      <c r="Z144" s="5"/>
      <c r="AA144" s="5"/>
      <c r="AB144" s="5"/>
      <c r="AC144" s="5"/>
      <c r="AD144" s="5"/>
      <c r="AE144" s="5"/>
      <c r="AF144" s="5"/>
      <c r="AG144" s="5"/>
      <c r="AH144" s="5"/>
      <c r="AI144" s="5"/>
      <c r="AJ144" s="5"/>
      <c r="AK144" s="5"/>
      <c r="AL144" s="5"/>
    </row>
    <row r="145" spans="1:38" ht="12.75">
      <c r="A145" s="314" t="s">
        <v>216</v>
      </c>
      <c r="B145" s="315">
        <f t="shared" si="42"/>
        <v>84.61538461538461</v>
      </c>
      <c r="C145" s="315">
        <f t="shared" si="43"/>
        <v>175.96153846153845</v>
      </c>
      <c r="D145" s="315">
        <f t="shared" si="44"/>
        <v>96.15384615384615</v>
      </c>
      <c r="E145" s="316"/>
      <c r="G145" s="326">
        <v>2200</v>
      </c>
      <c r="H145" s="336">
        <f>'Cost-Effectiveness'!$C$18</f>
        <v>0.73</v>
      </c>
      <c r="I145" s="341">
        <f>C150</f>
        <v>503.54053846153846</v>
      </c>
      <c r="J145" s="358">
        <f>L151</f>
        <v>15716.398490608035</v>
      </c>
      <c r="K145" s="327"/>
      <c r="L145" s="119"/>
      <c r="M145" s="5"/>
      <c r="N145" s="5"/>
      <c r="O145" s="5"/>
      <c r="P145" s="5"/>
      <c r="Q145" s="5"/>
      <c r="S145" s="119"/>
      <c r="T145" s="119"/>
      <c r="U145" s="119"/>
      <c r="V145" s="5"/>
      <c r="W145" s="5"/>
      <c r="X145" s="5"/>
      <c r="Y145" s="5"/>
      <c r="Z145" s="5"/>
      <c r="AA145" s="5"/>
      <c r="AB145" s="5"/>
      <c r="AC145" s="5"/>
      <c r="AD145" s="5"/>
      <c r="AE145" s="5"/>
      <c r="AF145" s="5"/>
      <c r="AG145" s="5"/>
      <c r="AH145" s="5"/>
      <c r="AI145" s="5"/>
      <c r="AJ145" s="5"/>
      <c r="AK145" s="5"/>
      <c r="AL145" s="5"/>
    </row>
    <row r="146" spans="1:38" ht="13.5" thickBot="1">
      <c r="A146" s="314" t="s">
        <v>219</v>
      </c>
      <c r="B146" s="315">
        <f t="shared" si="42"/>
        <v>7.22</v>
      </c>
      <c r="C146" s="315">
        <f t="shared" si="43"/>
        <v>10.45</v>
      </c>
      <c r="D146" s="315">
        <f t="shared" si="44"/>
        <v>16.91</v>
      </c>
      <c r="E146" s="316"/>
      <c r="G146" s="338">
        <v>2283</v>
      </c>
      <c r="H146" s="339">
        <f>'Cost-Effectiveness'!$D$18</f>
        <v>0.15</v>
      </c>
      <c r="I146" s="342">
        <f>D150</f>
        <v>471.2330461538462</v>
      </c>
      <c r="J146" s="358">
        <f>L152</f>
        <v>16126.651661947486</v>
      </c>
      <c r="K146" s="340"/>
      <c r="L146" s="119"/>
      <c r="M146" s="5"/>
      <c r="N146" s="5"/>
      <c r="O146" s="5"/>
      <c r="P146" s="5"/>
      <c r="Q146" s="5"/>
      <c r="S146" s="119"/>
      <c r="T146" s="119"/>
      <c r="U146" s="119"/>
      <c r="V146" s="5"/>
      <c r="W146" s="5"/>
      <c r="X146" s="5"/>
      <c r="Y146" s="5"/>
      <c r="Z146" s="5"/>
      <c r="AA146" s="5"/>
      <c r="AB146" s="5"/>
      <c r="AC146" s="5"/>
      <c r="AD146" s="5"/>
      <c r="AE146" s="5"/>
      <c r="AF146" s="5"/>
      <c r="AG146" s="5"/>
      <c r="AH146" s="5"/>
      <c r="AI146" s="5"/>
      <c r="AJ146" s="5"/>
      <c r="AK146" s="5"/>
      <c r="AL146" s="5"/>
    </row>
    <row r="147" spans="1:38" ht="13.5" thickBot="1">
      <c r="A147" s="314" t="s">
        <v>221</v>
      </c>
      <c r="B147" s="315">
        <f t="shared" si="42"/>
        <v>0</v>
      </c>
      <c r="C147" s="315">
        <f t="shared" si="43"/>
        <v>0</v>
      </c>
      <c r="D147" s="315">
        <f t="shared" si="44"/>
        <v>75.60000000000001</v>
      </c>
      <c r="E147" s="316"/>
      <c r="G147" s="354">
        <f>SUMPRODUCT(G144:G146,H144:H146)</f>
        <v>2109.73</v>
      </c>
      <c r="H147" s="355">
        <f>SUM(H144:H146)</f>
        <v>1</v>
      </c>
      <c r="I147" s="356">
        <f>SUMPRODUCT($H144:$H146,I144:I146)</f>
        <v>474.8527481538461</v>
      </c>
      <c r="J147" s="356">
        <f>SUMPRODUCT($H144:$H146,J144:J146)</f>
        <v>14951.583454357926</v>
      </c>
      <c r="K147" s="357"/>
      <c r="L147" s="119"/>
      <c r="M147" s="5"/>
      <c r="N147" s="5"/>
      <c r="O147" s="5"/>
      <c r="P147" s="5"/>
      <c r="Q147" s="5"/>
      <c r="S147" s="119"/>
      <c r="T147" s="119"/>
      <c r="U147" s="119"/>
      <c r="V147" s="5"/>
      <c r="W147" s="5"/>
      <c r="X147" s="5"/>
      <c r="Y147" s="5"/>
      <c r="Z147" s="5"/>
      <c r="AA147" s="5"/>
      <c r="AB147" s="5"/>
      <c r="AC147" s="5"/>
      <c r="AD147" s="5"/>
      <c r="AE147" s="5"/>
      <c r="AF147" s="5"/>
      <c r="AG147" s="5"/>
      <c r="AH147" s="5"/>
      <c r="AI147" s="5"/>
      <c r="AJ147" s="5"/>
      <c r="AK147" s="5"/>
      <c r="AL147" s="5"/>
    </row>
    <row r="148" spans="1:38" ht="13.5" thickBot="1">
      <c r="A148" s="314" t="s">
        <v>194</v>
      </c>
      <c r="B148" s="315">
        <f t="shared" si="42"/>
        <v>0</v>
      </c>
      <c r="C148" s="315">
        <f t="shared" si="43"/>
        <v>0</v>
      </c>
      <c r="D148" s="315">
        <f t="shared" si="44"/>
        <v>17.92</v>
      </c>
      <c r="E148" s="316"/>
      <c r="G148" s="346" t="s">
        <v>23</v>
      </c>
      <c r="H148" s="347">
        <f>'Cost-Effectiveness'!$B$3</f>
        <v>0</v>
      </c>
      <c r="I148" s="347">
        <f>'Cost-Effectiveness'!$C$3</f>
        <v>0</v>
      </c>
      <c r="J148" s="347">
        <f>'Cost-Effectiveness'!$D$3</f>
        <v>0</v>
      </c>
      <c r="K148" s="348">
        <f>'Cost-Effectiveness'!$E$3</f>
        <v>1</v>
      </c>
      <c r="L148" s="131" t="s">
        <v>375</v>
      </c>
      <c r="M148" s="5"/>
      <c r="N148" s="5"/>
      <c r="O148" s="5"/>
      <c r="P148" s="5"/>
      <c r="Q148" s="5"/>
      <c r="S148" s="119"/>
      <c r="T148" s="119"/>
      <c r="U148" s="119"/>
      <c r="V148" s="5"/>
      <c r="W148" s="5"/>
      <c r="X148" s="5"/>
      <c r="Y148" s="5"/>
      <c r="Z148" s="5"/>
      <c r="AA148" s="5"/>
      <c r="AB148" s="5"/>
      <c r="AC148" s="5"/>
      <c r="AD148" s="5"/>
      <c r="AE148" s="5"/>
      <c r="AF148" s="5"/>
      <c r="AG148" s="5"/>
      <c r="AH148" s="5"/>
      <c r="AI148" s="5"/>
      <c r="AJ148" s="5"/>
      <c r="AK148" s="5"/>
      <c r="AL148" s="5"/>
    </row>
    <row r="149" spans="1:38" ht="12.75">
      <c r="A149" s="317" t="s">
        <v>224</v>
      </c>
      <c r="B149" s="315">
        <f t="shared" si="42"/>
        <v>67.73759999999999</v>
      </c>
      <c r="C149" s="315">
        <f t="shared" si="43"/>
        <v>110.87999999999998</v>
      </c>
      <c r="D149" s="315">
        <f t="shared" si="44"/>
        <v>115.06319999999998</v>
      </c>
      <c r="E149" s="316"/>
      <c r="G149" s="345"/>
      <c r="H149" s="343" t="s">
        <v>200</v>
      </c>
      <c r="I149" s="343" t="s">
        <v>201</v>
      </c>
      <c r="J149" s="343" t="s">
        <v>202</v>
      </c>
      <c r="K149" s="349" t="s">
        <v>203</v>
      </c>
      <c r="L149" s="353" t="str">
        <f>L133</f>
        <v>Missoula</v>
      </c>
      <c r="M149" s="5"/>
      <c r="N149" s="5"/>
      <c r="O149" s="5"/>
      <c r="P149" s="5"/>
      <c r="Q149" s="5"/>
      <c r="S149" s="119"/>
      <c r="T149" s="119"/>
      <c r="U149" s="119"/>
      <c r="V149" s="5"/>
      <c r="W149" s="5"/>
      <c r="X149" s="5"/>
      <c r="Y149" s="5"/>
      <c r="Z149" s="5"/>
      <c r="AA149" s="5"/>
      <c r="AB149" s="5"/>
      <c r="AC149" s="5"/>
      <c r="AD149" s="5"/>
      <c r="AE149" s="5"/>
      <c r="AF149" s="5"/>
      <c r="AG149" s="5"/>
      <c r="AH149" s="5"/>
      <c r="AI149" s="5"/>
      <c r="AJ149" s="5"/>
      <c r="AK149" s="5"/>
      <c r="AL149" s="5"/>
    </row>
    <row r="150" spans="1:38" ht="12.75">
      <c r="A150" s="318" t="s">
        <v>234</v>
      </c>
      <c r="B150" s="319">
        <f>SUM(B140:B149)</f>
        <v>304.8599846153846</v>
      </c>
      <c r="C150" s="319">
        <f>SUM(C140:C149)</f>
        <v>503.54053846153846</v>
      </c>
      <c r="D150" s="319">
        <f>SUM(D140:D149)</f>
        <v>471.2330461538462</v>
      </c>
      <c r="E150" s="319">
        <f>($B$58*B150)+($C$58*C150)+($D$58*D150)</f>
        <v>474.8527481538461</v>
      </c>
      <c r="G150" s="328">
        <v>1344</v>
      </c>
      <c r="H150" s="329">
        <f>(0.0000000483*(I144^4))-(0.0001084986*(I144^3))+(0.0925864926*(I144^2))-(4.7266834675*I144)-483.6424651158</f>
        <v>4023.3852896080994</v>
      </c>
      <c r="I150" s="329">
        <f>(0.0000000474*(I144^4))-(0.0001084079*(I144^3))+(0.0954489266*(I144^2))-(2.7783188788*I144)-729.4847470279</f>
        <v>4632.350767069282</v>
      </c>
      <c r="J150" s="329">
        <f>(0.0000000513*(I144^4))-(0.0001129418*(I144^3))+(0.0942698734*(I144^2))+(9.7772074272*I144)-1597.6523413466</f>
        <v>7387.505727278078</v>
      </c>
      <c r="K150" s="350">
        <f>(0.000000039*(I144^4))-(0.0000915628*(I144^3))+(0.0826236708*(I144^2))+(18.7809842013*I144)-2317.0311644418</f>
        <v>8830.123391016155</v>
      </c>
      <c r="L150" s="330">
        <f>SUMPRODUCT(H150:K150,'Cost-Effectiveness'!$B$3:$E$3)</f>
        <v>8830.123391016155</v>
      </c>
      <c r="M150" s="5"/>
      <c r="N150" s="5"/>
      <c r="O150" s="5"/>
      <c r="P150" s="5"/>
      <c r="Q150" s="5"/>
      <c r="S150" s="119"/>
      <c r="T150" s="119"/>
      <c r="U150" s="119"/>
      <c r="V150" s="5"/>
      <c r="W150" s="5"/>
      <c r="X150" s="5"/>
      <c r="Y150" s="5"/>
      <c r="Z150" s="5"/>
      <c r="AA150" s="5"/>
      <c r="AB150" s="5"/>
      <c r="AC150" s="5"/>
      <c r="AD150" s="5"/>
      <c r="AE150" s="5"/>
      <c r="AF150" s="5"/>
      <c r="AG150" s="5"/>
      <c r="AH150" s="5"/>
      <c r="AI150" s="5"/>
      <c r="AJ150" s="5"/>
      <c r="AK150" s="5"/>
      <c r="AL150" s="5"/>
    </row>
    <row r="151" spans="1:38" ht="12.75">
      <c r="A151" s="320" t="s">
        <v>235</v>
      </c>
      <c r="B151" s="319">
        <f>J144</f>
        <v>8830.123391016155</v>
      </c>
      <c r="C151" s="319">
        <f>J145</f>
        <v>15716.398490608035</v>
      </c>
      <c r="D151" s="319">
        <f>J146</f>
        <v>16126.651661947486</v>
      </c>
      <c r="E151" s="319">
        <f>($B$58*B151)+($C$58*C151)+($D$58*D151)</f>
        <v>14951.583454357926</v>
      </c>
      <c r="G151" s="326">
        <v>2200</v>
      </c>
      <c r="H151" s="331">
        <f>(0.000000056*(I145^4))-(0.0001293162*(I145^3))+(0.1156141553*(I145^2))-(18.8087825498*I145)+800.0127173394</f>
        <v>7733.196693201447</v>
      </c>
      <c r="I151" s="331">
        <f>(0.0000000611*(I145^4))-(0.0001407997*(I145^3))+(0.1260787774*(I145^2))-(19.4407217456*I145)+750.1493216982</f>
        <v>8880.190852155476</v>
      </c>
      <c r="J151" s="331">
        <f>(0.0000000511*(I145^4))-(0.0001207491*(I145^3))+(0.1113962896*(I145^2))-(4.5813153206*I145)-608.689338736</f>
        <v>13197.929521726273</v>
      </c>
      <c r="K151" s="351">
        <f>(0.0000000657*(I145^4))-(0.0001522392*(I145^3))+(0.1356085946*(I145^2))-(5.4819652547*I145)-693.95778761</f>
        <v>15716.398490608035</v>
      </c>
      <c r="L151" s="332">
        <f>SUMPRODUCT(H151:K151,'Cost-Effectiveness'!$B$3:$E$3)</f>
        <v>15716.398490608035</v>
      </c>
      <c r="M151" s="5"/>
      <c r="N151" s="5"/>
      <c r="O151" s="5"/>
      <c r="P151" s="5"/>
      <c r="Q151" s="5"/>
      <c r="S151" s="119"/>
      <c r="T151" s="119"/>
      <c r="U151" s="119"/>
      <c r="V151" s="5"/>
      <c r="W151" s="5"/>
      <c r="X151" s="5"/>
      <c r="Y151" s="5"/>
      <c r="Z151" s="5"/>
      <c r="AA151" s="5"/>
      <c r="AB151" s="5"/>
      <c r="AC151" s="5"/>
      <c r="AD151" s="5"/>
      <c r="AE151" s="5"/>
      <c r="AF151" s="5"/>
      <c r="AG151" s="5"/>
      <c r="AH151" s="5"/>
      <c r="AI151" s="5"/>
      <c r="AJ151" s="5"/>
      <c r="AK151" s="5"/>
      <c r="AL151" s="5"/>
    </row>
    <row r="152" spans="1:38" ht="13.5" thickBot="1">
      <c r="A152" s="320" t="s">
        <v>236</v>
      </c>
      <c r="B152" s="321">
        <f>B151/B139</f>
        <v>6.5700322849822586</v>
      </c>
      <c r="C152" s="321">
        <f>C151/C139</f>
        <v>7.143817495730925</v>
      </c>
      <c r="D152" s="321">
        <f>D151/D139</f>
        <v>7.063798362657681</v>
      </c>
      <c r="E152" s="321">
        <f>E151/E139</f>
        <v>7.086965372041885</v>
      </c>
      <c r="G152" s="333">
        <v>2283</v>
      </c>
      <c r="H152" s="334">
        <f>(0.000000054*(I146^4))-(0.000122834*(I146^3))+(0.1063388451*(I146^2))-(11.4924855517*I146)+92.1054607712</f>
        <v>8099.290787556406</v>
      </c>
      <c r="I152" s="334">
        <f>(0.0000000587*(I146^4))-(0.0001305165*(I146^3))+(0.1120964665*(I146^2))-(9.8925545335*I146)-175.4426063598</f>
        <v>9292.070743538392</v>
      </c>
      <c r="J152" s="334">
        <f>(0.0000000536*(I146^4))-(0.0001217652*(I146^3))+(0.105850127*(I146^2))+(2.9356430387*I146)-1127.4369636912</f>
        <v>13662.351635864785</v>
      </c>
      <c r="K152" s="352">
        <f>(0.0000000456*(I146^4))-(0.0001041814*(I146^3))+(0.0932589495*(I146^2))+(12.972079966*I146)-2042.1552509592</f>
        <v>16126.651661947486</v>
      </c>
      <c r="L152" s="335">
        <f>SUMPRODUCT(H152:K152,'Cost-Effectiveness'!$B$3:$E$3)</f>
        <v>16126.651661947486</v>
      </c>
      <c r="M152" s="5"/>
      <c r="N152" s="5"/>
      <c r="O152" s="5"/>
      <c r="P152" s="5"/>
      <c r="Q152" s="5"/>
      <c r="S152" s="119"/>
      <c r="T152" s="119"/>
      <c r="U152" s="119"/>
      <c r="V152" s="5"/>
      <c r="W152" s="5"/>
      <c r="X152" s="5"/>
      <c r="Y152" s="5"/>
      <c r="Z152" s="5"/>
      <c r="AA152" s="5"/>
      <c r="AB152" s="5"/>
      <c r="AC152" s="5"/>
      <c r="AD152" s="5"/>
      <c r="AE152" s="5"/>
      <c r="AF152" s="5"/>
      <c r="AG152" s="5"/>
      <c r="AH152" s="5"/>
      <c r="AI152" s="5"/>
      <c r="AJ152" s="5"/>
      <c r="AK152" s="5"/>
      <c r="AL152" s="5"/>
    </row>
    <row r="153" spans="1:38" ht="12.75">
      <c r="A153" s="134"/>
      <c r="B153" s="134"/>
      <c r="C153" s="134"/>
      <c r="D153" s="134"/>
      <c r="E153" s="134"/>
      <c r="G153" s="140"/>
      <c r="K153" s="5"/>
      <c r="L153" s="5"/>
      <c r="M153" s="5"/>
      <c r="N153" s="5"/>
      <c r="O153" s="5"/>
      <c r="P153" s="5"/>
      <c r="Q153" s="5"/>
      <c r="S153" s="131"/>
      <c r="T153" s="131"/>
      <c r="U153" s="131"/>
      <c r="V153" s="5"/>
      <c r="W153" s="5"/>
      <c r="X153" s="5"/>
      <c r="Y153" s="5"/>
      <c r="Z153" s="5"/>
      <c r="AA153" s="5"/>
      <c r="AB153" s="5"/>
      <c r="AC153" s="5"/>
      <c r="AD153" s="5"/>
      <c r="AE153" s="5"/>
      <c r="AF153" s="5"/>
      <c r="AG153" s="5"/>
      <c r="AH153" s="5"/>
      <c r="AI153" s="5"/>
      <c r="AJ153" s="5"/>
      <c r="AK153" s="5"/>
      <c r="AL153" s="5"/>
    </row>
    <row r="154" spans="1:38" ht="12.75">
      <c r="A154" s="5"/>
      <c r="B154" s="5"/>
      <c r="C154" s="5"/>
      <c r="D154" s="5"/>
      <c r="E154" s="5"/>
      <c r="G154" s="140"/>
      <c r="K154" s="5"/>
      <c r="L154" s="5"/>
      <c r="M154" s="5"/>
      <c r="N154" s="5"/>
      <c r="O154" s="5"/>
      <c r="P154" s="5"/>
      <c r="Q154" s="5"/>
      <c r="V154" s="5"/>
      <c r="W154" s="5"/>
      <c r="X154" s="5"/>
      <c r="Y154" s="5"/>
      <c r="Z154" s="5"/>
      <c r="AA154" s="5"/>
      <c r="AB154" s="5"/>
      <c r="AC154" s="5"/>
      <c r="AD154" s="5"/>
      <c r="AE154" s="5"/>
      <c r="AF154" s="5"/>
      <c r="AG154" s="5"/>
      <c r="AH154" s="5"/>
      <c r="AI154" s="5"/>
      <c r="AJ154" s="5"/>
      <c r="AK154" s="5"/>
      <c r="AL154" s="5"/>
    </row>
    <row r="155" spans="1:38" ht="12.75">
      <c r="A155"/>
      <c r="B155"/>
      <c r="C155"/>
      <c r="D155"/>
      <c r="E155"/>
      <c r="F155"/>
      <c r="G155"/>
      <c r="K155" s="5"/>
      <c r="L155" s="5"/>
      <c r="M155" s="5"/>
      <c r="N155" s="5"/>
      <c r="O155" s="5"/>
      <c r="P155" s="5"/>
      <c r="Q155" s="5"/>
      <c r="V155" s="5"/>
      <c r="W155" s="5"/>
      <c r="X155" s="5"/>
      <c r="Y155" s="5"/>
      <c r="Z155" s="5"/>
      <c r="AA155" s="5"/>
      <c r="AB155" s="5"/>
      <c r="AC155" s="5"/>
      <c r="AD155" s="5"/>
      <c r="AE155" s="5"/>
      <c r="AF155" s="5"/>
      <c r="AG155" s="5"/>
      <c r="AH155" s="5"/>
      <c r="AI155" s="5"/>
      <c r="AJ155" s="5"/>
      <c r="AK155" s="5"/>
      <c r="AL155" s="5"/>
    </row>
    <row r="156" spans="1:38" ht="12.75">
      <c r="A156"/>
      <c r="B156"/>
      <c r="C156"/>
      <c r="D156"/>
      <c r="E156"/>
      <c r="F156"/>
      <c r="G156"/>
      <c r="K156" s="5"/>
      <c r="L156" s="5"/>
      <c r="M156" s="5"/>
      <c r="N156" s="5"/>
      <c r="O156" s="5"/>
      <c r="P156" s="5"/>
      <c r="Q156" s="5"/>
      <c r="V156" s="5"/>
      <c r="W156" s="5"/>
      <c r="X156" s="5"/>
      <c r="Y156" s="5"/>
      <c r="Z156" s="5"/>
      <c r="AA156" s="5"/>
      <c r="AB156" s="5"/>
      <c r="AC156" s="5"/>
      <c r="AD156" s="5"/>
      <c r="AE156" s="5"/>
      <c r="AF156" s="5"/>
      <c r="AG156" s="5"/>
      <c r="AH156" s="5"/>
      <c r="AI156" s="5"/>
      <c r="AJ156" s="5"/>
      <c r="AK156" s="5"/>
      <c r="AL156" s="5"/>
    </row>
    <row r="157" spans="1:38" ht="12.75">
      <c r="A157"/>
      <c r="B157"/>
      <c r="C157"/>
      <c r="D157"/>
      <c r="E157"/>
      <c r="F157"/>
      <c r="G157"/>
      <c r="K157" s="115"/>
      <c r="L157" s="5"/>
      <c r="M157" s="5"/>
      <c r="N157" s="5"/>
      <c r="O157" s="5"/>
      <c r="P157" s="5"/>
      <c r="Q157" s="5"/>
      <c r="V157" s="5"/>
      <c r="W157" s="5"/>
      <c r="X157" s="5"/>
      <c r="Y157" s="5"/>
      <c r="Z157" s="5"/>
      <c r="AA157" s="5"/>
      <c r="AB157" s="5"/>
      <c r="AC157" s="5"/>
      <c r="AD157" s="5"/>
      <c r="AE157" s="5"/>
      <c r="AF157" s="5"/>
      <c r="AG157" s="5"/>
      <c r="AH157" s="5"/>
      <c r="AI157" s="5"/>
      <c r="AJ157" s="5"/>
      <c r="AK157" s="5"/>
      <c r="AL157" s="5"/>
    </row>
    <row r="158" spans="1:38" ht="12.75">
      <c r="A158"/>
      <c r="B158"/>
      <c r="C158"/>
      <c r="D158"/>
      <c r="E158"/>
      <c r="F158"/>
      <c r="G158"/>
      <c r="I158" s="5"/>
      <c r="J158" s="131"/>
      <c r="K158" s="115"/>
      <c r="L158" s="5"/>
      <c r="M158" s="5"/>
      <c r="N158" s="5"/>
      <c r="O158" s="5"/>
      <c r="P158" s="5"/>
      <c r="Q158" s="5"/>
      <c r="V158" s="5"/>
      <c r="W158" s="5"/>
      <c r="X158" s="5"/>
      <c r="Y158" s="5"/>
      <c r="Z158" s="5"/>
      <c r="AA158" s="5"/>
      <c r="AB158" s="5"/>
      <c r="AC158" s="5"/>
      <c r="AD158" s="5"/>
      <c r="AE158" s="5"/>
      <c r="AF158" s="5"/>
      <c r="AG158" s="5"/>
      <c r="AH158" s="5"/>
      <c r="AI158" s="5"/>
      <c r="AJ158" s="5"/>
      <c r="AK158" s="5"/>
      <c r="AL158" s="5"/>
    </row>
    <row r="159" spans="1:38" ht="12.75">
      <c r="A159"/>
      <c r="B159"/>
      <c r="C159"/>
      <c r="D159"/>
      <c r="E159"/>
      <c r="F159"/>
      <c r="G159"/>
      <c r="I159" s="128"/>
      <c r="J159" s="131"/>
      <c r="K159" s="115"/>
      <c r="L159" s="5"/>
      <c r="M159" s="5"/>
      <c r="N159" s="5"/>
      <c r="O159" s="5"/>
      <c r="P159" s="5"/>
      <c r="Q159" s="5"/>
      <c r="V159" s="5"/>
      <c r="W159" s="5"/>
      <c r="X159" s="5"/>
      <c r="Y159" s="5"/>
      <c r="Z159" s="5"/>
      <c r="AA159" s="5"/>
      <c r="AB159" s="5"/>
      <c r="AC159" s="5"/>
      <c r="AD159" s="5"/>
      <c r="AE159" s="5"/>
      <c r="AF159" s="5"/>
      <c r="AG159" s="5"/>
      <c r="AH159" s="5"/>
      <c r="AI159" s="5"/>
      <c r="AJ159" s="5"/>
      <c r="AK159" s="5"/>
      <c r="AL159" s="5"/>
    </row>
    <row r="160" spans="1:38" ht="12.75">
      <c r="A160"/>
      <c r="B160"/>
      <c r="C160"/>
      <c r="D160"/>
      <c r="E160"/>
      <c r="F160"/>
      <c r="G160"/>
      <c r="I160" s="143"/>
      <c r="J160" s="131"/>
      <c r="K160" s="115"/>
      <c r="L160" s="5"/>
      <c r="M160" s="5"/>
      <c r="N160" s="5"/>
      <c r="O160" s="5"/>
      <c r="P160" s="5"/>
      <c r="Q160" s="5"/>
      <c r="V160" s="5"/>
      <c r="W160" s="5"/>
      <c r="X160" s="5"/>
      <c r="Y160" s="5"/>
      <c r="Z160" s="5"/>
      <c r="AA160" s="5"/>
      <c r="AB160" s="5"/>
      <c r="AC160" s="5"/>
      <c r="AD160" s="5"/>
      <c r="AE160" s="5"/>
      <c r="AF160" s="5"/>
      <c r="AG160" s="5"/>
      <c r="AH160" s="5"/>
      <c r="AI160" s="5"/>
      <c r="AJ160" s="5"/>
      <c r="AK160" s="5"/>
      <c r="AL160" s="5"/>
    </row>
    <row r="161" spans="1:38" ht="12.75">
      <c r="A161"/>
      <c r="B161"/>
      <c r="C161"/>
      <c r="D161"/>
      <c r="E161"/>
      <c r="F161"/>
      <c r="G161"/>
      <c r="H161" s="5"/>
      <c r="I161" s="144"/>
      <c r="J161" s="131"/>
      <c r="K161" s="115"/>
      <c r="L161" s="5"/>
      <c r="M161" s="5"/>
      <c r="N161" s="5"/>
      <c r="O161" s="5"/>
      <c r="P161" s="5"/>
      <c r="Q161" s="5"/>
      <c r="V161" s="5"/>
      <c r="W161" s="5"/>
      <c r="X161" s="5"/>
      <c r="Y161" s="5"/>
      <c r="Z161" s="5"/>
      <c r="AA161" s="5"/>
      <c r="AB161" s="5"/>
      <c r="AC161" s="5"/>
      <c r="AD161" s="5"/>
      <c r="AE161" s="5"/>
      <c r="AF161" s="5"/>
      <c r="AG161" s="5"/>
      <c r="AH161" s="5"/>
      <c r="AI161" s="5"/>
      <c r="AJ161" s="5"/>
      <c r="AK161" s="5"/>
      <c r="AL161" s="5"/>
    </row>
    <row r="162" spans="7:38" ht="12.75">
      <c r="G162" s="5"/>
      <c r="H162" s="128"/>
      <c r="I162" s="144"/>
      <c r="J162" s="131"/>
      <c r="K162" s="115"/>
      <c r="L162" s="5"/>
      <c r="M162" s="5"/>
      <c r="N162" s="5"/>
      <c r="O162" s="5"/>
      <c r="P162" s="5"/>
      <c r="Q162" s="5"/>
      <c r="V162" s="5"/>
      <c r="W162" s="5"/>
      <c r="X162" s="5"/>
      <c r="Y162" s="5"/>
      <c r="Z162" s="5"/>
      <c r="AA162" s="5"/>
      <c r="AB162" s="5"/>
      <c r="AC162" s="5"/>
      <c r="AD162" s="5"/>
      <c r="AE162" s="5"/>
      <c r="AF162" s="5"/>
      <c r="AG162" s="5"/>
      <c r="AH162" s="5"/>
      <c r="AI162" s="5"/>
      <c r="AJ162" s="5"/>
      <c r="AK162" s="5"/>
      <c r="AL162" s="5"/>
    </row>
    <row r="163" spans="1:38" ht="12.75">
      <c r="A163" s="157" t="s">
        <v>244</v>
      </c>
      <c r="B163" s="157" t="s">
        <v>407</v>
      </c>
      <c r="C163" s="157" t="str">
        <f>L149</f>
        <v>Missoula</v>
      </c>
      <c r="G163" s="128"/>
      <c r="H163" s="143"/>
      <c r="I163" s="115"/>
      <c r="J163" s="131"/>
      <c r="K163" s="115"/>
      <c r="L163" s="5"/>
      <c r="M163" s="5"/>
      <c r="N163" s="5"/>
      <c r="O163" s="5"/>
      <c r="P163" s="5"/>
      <c r="Q163" s="5"/>
      <c r="V163" s="5"/>
      <c r="W163" s="5"/>
      <c r="X163" s="5"/>
      <c r="Y163" s="5"/>
      <c r="Z163" s="5"/>
      <c r="AA163" s="5"/>
      <c r="AB163" s="5"/>
      <c r="AC163" s="5"/>
      <c r="AD163" s="5"/>
      <c r="AE163" s="5"/>
      <c r="AF163" s="5"/>
      <c r="AG163" s="5"/>
      <c r="AH163" s="5"/>
      <c r="AI163" s="5"/>
      <c r="AJ163" s="5"/>
      <c r="AK163" s="5"/>
      <c r="AL163" s="5"/>
    </row>
    <row r="164" spans="1:38" ht="25.5">
      <c r="A164" s="435" t="s">
        <v>245</v>
      </c>
      <c r="B164" s="435" t="s">
        <v>246</v>
      </c>
      <c r="C164" s="435" t="s">
        <v>247</v>
      </c>
      <c r="D164" s="435" t="s">
        <v>248</v>
      </c>
      <c r="E164" s="436" t="s">
        <v>249</v>
      </c>
      <c r="F164" s="436" t="s">
        <v>250</v>
      </c>
      <c r="G164" s="143"/>
      <c r="H164" s="144"/>
      <c r="I164" s="143"/>
      <c r="J164" s="131"/>
      <c r="K164" s="115"/>
      <c r="L164" s="5"/>
      <c r="M164" s="5"/>
      <c r="N164" s="5"/>
      <c r="O164" s="5"/>
      <c r="P164" s="5"/>
      <c r="Q164" s="5"/>
      <c r="V164" s="5"/>
      <c r="W164" s="5"/>
      <c r="X164" s="5"/>
      <c r="Y164" s="5"/>
      <c r="Z164" s="5"/>
      <c r="AA164" s="5"/>
      <c r="AB164" s="5"/>
      <c r="AC164" s="5"/>
      <c r="AD164" s="5"/>
      <c r="AE164" s="5"/>
      <c r="AF164" s="5"/>
      <c r="AG164" s="5"/>
      <c r="AH164" s="5"/>
      <c r="AI164" s="5"/>
      <c r="AJ164" s="5"/>
      <c r="AK164" s="5"/>
      <c r="AL164" s="5"/>
    </row>
    <row r="165" spans="1:38" ht="12.75">
      <c r="A165" s="157">
        <v>1983</v>
      </c>
      <c r="B165" s="430">
        <f>E71</f>
        <v>24596.67265269104</v>
      </c>
      <c r="C165" s="431">
        <f>E72</f>
        <v>11.658682700009498</v>
      </c>
      <c r="D165" s="432">
        <f>B165/$B$165</f>
        <v>1</v>
      </c>
      <c r="E165" s="433">
        <f>B165-B165</f>
        <v>0</v>
      </c>
      <c r="F165" s="433">
        <f>SUM(E$165:E165)</f>
        <v>0</v>
      </c>
      <c r="G165" s="144"/>
      <c r="H165" s="144"/>
      <c r="I165" s="143"/>
      <c r="J165" s="131"/>
      <c r="K165" s="115"/>
      <c r="L165" s="5"/>
      <c r="M165" s="5"/>
      <c r="N165" s="5"/>
      <c r="O165" s="5"/>
      <c r="P165" s="5"/>
      <c r="Q165" s="5"/>
      <c r="V165" s="5"/>
      <c r="W165" s="5"/>
      <c r="X165" s="5"/>
      <c r="Y165" s="5"/>
      <c r="Z165" s="5"/>
      <c r="AA165" s="5"/>
      <c r="AB165" s="5"/>
      <c r="AC165" s="5"/>
      <c r="AD165" s="5"/>
      <c r="AE165" s="5"/>
      <c r="AF165" s="5"/>
      <c r="AG165" s="5"/>
      <c r="AH165" s="5"/>
      <c r="AI165" s="5"/>
      <c r="AJ165" s="5"/>
      <c r="AK165" s="5"/>
      <c r="AL165" s="5"/>
    </row>
    <row r="166" spans="1:38" ht="12.75">
      <c r="A166" s="157">
        <v>1986</v>
      </c>
      <c r="B166" s="430">
        <f>E87</f>
        <v>20838.586401785255</v>
      </c>
      <c r="C166" s="431">
        <f>E88</f>
        <v>9.877371228444044</v>
      </c>
      <c r="D166" s="432">
        <f>B166/$B$165</f>
        <v>0.8472116003668234</v>
      </c>
      <c r="E166" s="433">
        <f>B165-B166</f>
        <v>3758.0862509057843</v>
      </c>
      <c r="F166" s="433">
        <f>SUM(E$165:E166)</f>
        <v>3758.0862509057843</v>
      </c>
      <c r="G166" s="144"/>
      <c r="H166" s="115"/>
      <c r="I166" s="5"/>
      <c r="J166" s="131"/>
      <c r="K166" s="5"/>
      <c r="L166" s="5"/>
      <c r="M166" s="5"/>
      <c r="N166" s="5"/>
      <c r="O166" s="5"/>
      <c r="P166" s="5"/>
      <c r="Q166" s="5"/>
      <c r="V166" s="5"/>
      <c r="W166" s="5"/>
      <c r="X166" s="5"/>
      <c r="Y166" s="5"/>
      <c r="Z166" s="5"/>
      <c r="AA166" s="5"/>
      <c r="AB166" s="5"/>
      <c r="AC166" s="5"/>
      <c r="AD166" s="5"/>
      <c r="AE166" s="5"/>
      <c r="AF166" s="5"/>
      <c r="AG166" s="5"/>
      <c r="AH166" s="5"/>
      <c r="AI166" s="5"/>
      <c r="AJ166" s="5"/>
      <c r="AK166" s="5"/>
      <c r="AL166" s="5"/>
    </row>
    <row r="167" spans="1:38" ht="12.75">
      <c r="A167" s="157">
        <v>1989</v>
      </c>
      <c r="B167" s="430">
        <f>E103</f>
        <v>20122.593546022865</v>
      </c>
      <c r="C167" s="431">
        <f>E104</f>
        <v>9.537994694118614</v>
      </c>
      <c r="D167" s="432">
        <f>B167/$B$165</f>
        <v>0.8181022624546462</v>
      </c>
      <c r="E167" s="433">
        <f>B166-B167</f>
        <v>715.9928557623898</v>
      </c>
      <c r="F167" s="433">
        <f>SUM(E$165:E167)</f>
        <v>4474.079106668174</v>
      </c>
      <c r="G167" s="115"/>
      <c r="H167" s="143"/>
      <c r="I167" s="5"/>
      <c r="J167" s="143"/>
      <c r="K167" s="5"/>
      <c r="L167" s="5"/>
      <c r="M167" s="5"/>
      <c r="N167" s="5"/>
      <c r="O167" s="5"/>
      <c r="P167" s="5"/>
      <c r="Q167" s="5"/>
      <c r="V167" s="5"/>
      <c r="W167" s="5"/>
      <c r="X167" s="5"/>
      <c r="Y167" s="5"/>
      <c r="Z167" s="5"/>
      <c r="AA167" s="5"/>
      <c r="AB167" s="5"/>
      <c r="AC167" s="5"/>
      <c r="AD167" s="5"/>
      <c r="AE167" s="5"/>
      <c r="AF167" s="5"/>
      <c r="AG167" s="5"/>
      <c r="AH167" s="5"/>
      <c r="AI167" s="5"/>
      <c r="AJ167" s="5"/>
      <c r="AK167" s="5"/>
      <c r="AL167" s="5"/>
    </row>
    <row r="168" spans="1:38" ht="12.75">
      <c r="A168" s="157">
        <v>1992</v>
      </c>
      <c r="B168" s="430">
        <f>E119</f>
        <v>14570.796954412768</v>
      </c>
      <c r="C168" s="431">
        <f>E120</f>
        <v>6.906474740565271</v>
      </c>
      <c r="D168" s="432">
        <f>B168/$B$165</f>
        <v>0.5923889446412024</v>
      </c>
      <c r="E168" s="433">
        <f>B167-B168</f>
        <v>5551.796591610097</v>
      </c>
      <c r="F168" s="433">
        <f>SUM(E$165:E168)</f>
        <v>10025.87569827827</v>
      </c>
      <c r="G168" s="143"/>
      <c r="H168" s="143"/>
      <c r="I168" s="143"/>
      <c r="J168" s="119"/>
      <c r="K168" s="5"/>
      <c r="L168" s="5"/>
      <c r="M168" s="5"/>
      <c r="N168" s="5"/>
      <c r="O168" s="5"/>
      <c r="P168" s="5"/>
      <c r="Q168" s="5"/>
      <c r="V168" s="5"/>
      <c r="W168" s="5"/>
      <c r="X168" s="5"/>
      <c r="Y168" s="5"/>
      <c r="Z168" s="5"/>
      <c r="AA168" s="5"/>
      <c r="AB168" s="5"/>
      <c r="AC168" s="5"/>
      <c r="AD168" s="5"/>
      <c r="AE168" s="5"/>
      <c r="AF168" s="5"/>
      <c r="AG168" s="5"/>
      <c r="AH168" s="5"/>
      <c r="AI168" s="5"/>
      <c r="AJ168" s="5"/>
      <c r="AK168" s="5"/>
      <c r="AL168" s="5"/>
    </row>
    <row r="169" spans="1:38" ht="12.75">
      <c r="A169" s="434" t="s">
        <v>405</v>
      </c>
      <c r="B169" s="430">
        <f>E135</f>
        <v>12781.22135133823</v>
      </c>
      <c r="C169" s="431">
        <f>E136</f>
        <v>6.058226100656591</v>
      </c>
      <c r="D169" s="432">
        <f>B169/$B$165</f>
        <v>0.5196321279634496</v>
      </c>
      <c r="E169" s="433">
        <f>B168-B169</f>
        <v>1789.5756030745379</v>
      </c>
      <c r="F169" s="433">
        <f>SUM(E$165:E169)</f>
        <v>11815.451301352809</v>
      </c>
      <c r="G169" s="143"/>
      <c r="H169" s="5"/>
      <c r="K169" s="5"/>
      <c r="L169" s="5"/>
      <c r="M169" s="5"/>
      <c r="N169" s="5"/>
      <c r="O169" s="5"/>
      <c r="P169" s="5"/>
      <c r="Q169" s="5"/>
      <c r="V169" s="5"/>
      <c r="W169" s="5"/>
      <c r="X169" s="5"/>
      <c r="Y169" s="5"/>
      <c r="Z169" s="5"/>
      <c r="AA169" s="5"/>
      <c r="AB169" s="5"/>
      <c r="AC169" s="5"/>
      <c r="AD169" s="5"/>
      <c r="AE169" s="5"/>
      <c r="AF169" s="5"/>
      <c r="AG169" s="5"/>
      <c r="AH169" s="5"/>
      <c r="AI169" s="5"/>
      <c r="AJ169" s="5"/>
      <c r="AK169" s="5"/>
      <c r="AL169" s="5"/>
    </row>
    <row r="170" spans="7:38" ht="12.75">
      <c r="G170" s="5"/>
      <c r="H170" s="5"/>
      <c r="K170" s="5"/>
      <c r="L170" s="5"/>
      <c r="M170" s="5"/>
      <c r="N170" s="5"/>
      <c r="O170" s="5"/>
      <c r="P170" s="5"/>
      <c r="Q170" s="5"/>
      <c r="V170" s="5"/>
      <c r="W170" s="5"/>
      <c r="X170" s="5"/>
      <c r="Y170" s="5"/>
      <c r="Z170" s="5"/>
      <c r="AA170" s="5"/>
      <c r="AB170" s="5"/>
      <c r="AC170" s="5"/>
      <c r="AD170" s="5"/>
      <c r="AE170" s="5"/>
      <c r="AF170" s="5"/>
      <c r="AG170" s="5"/>
      <c r="AH170" s="5"/>
      <c r="AI170" s="5"/>
      <c r="AJ170" s="5"/>
      <c r="AK170" s="5"/>
      <c r="AL170" s="5"/>
    </row>
    <row r="171" spans="7:38" ht="12.75">
      <c r="G171" s="5"/>
      <c r="H171" s="143"/>
      <c r="K171" s="5"/>
      <c r="L171" s="5"/>
      <c r="M171" s="5"/>
      <c r="N171" s="5"/>
      <c r="O171" s="5"/>
      <c r="P171" s="5"/>
      <c r="Q171" s="5"/>
      <c r="V171" s="5"/>
      <c r="W171" s="5"/>
      <c r="X171" s="5"/>
      <c r="Y171" s="5"/>
      <c r="Z171" s="5"/>
      <c r="AA171" s="5"/>
      <c r="AB171" s="5"/>
      <c r="AC171" s="5"/>
      <c r="AD171" s="5"/>
      <c r="AE171" s="5"/>
      <c r="AF171" s="5"/>
      <c r="AG171" s="5"/>
      <c r="AH171" s="5"/>
      <c r="AI171" s="5"/>
      <c r="AJ171" s="5"/>
      <c r="AK171" s="5"/>
      <c r="AL171" s="5"/>
    </row>
    <row r="172" spans="7:38" ht="12.75">
      <c r="G172" s="143"/>
      <c r="H172" s="5"/>
      <c r="K172" s="5"/>
      <c r="L172" s="5"/>
      <c r="M172" s="5"/>
      <c r="N172" s="5"/>
      <c r="O172" s="5"/>
      <c r="P172" s="5"/>
      <c r="Q172" s="5"/>
      <c r="V172" s="5"/>
      <c r="W172" s="5"/>
      <c r="X172" s="5"/>
      <c r="Y172" s="5"/>
      <c r="Z172" s="5"/>
      <c r="AA172" s="5"/>
      <c r="AB172" s="5"/>
      <c r="AC172" s="5"/>
      <c r="AD172" s="5"/>
      <c r="AE172" s="5"/>
      <c r="AF172" s="5"/>
      <c r="AG172" s="5"/>
      <c r="AH172" s="5"/>
      <c r="AI172" s="5"/>
      <c r="AJ172" s="5"/>
      <c r="AK172" s="5"/>
      <c r="AL172" s="5"/>
    </row>
    <row r="173" spans="7:38" ht="12.75">
      <c r="G173" s="5"/>
      <c r="H173" s="5"/>
      <c r="K173" s="5"/>
      <c r="L173" s="5"/>
      <c r="M173" s="5"/>
      <c r="N173" s="5"/>
      <c r="O173" s="5"/>
      <c r="P173" s="5"/>
      <c r="Q173" s="5"/>
      <c r="V173" s="5"/>
      <c r="W173" s="5"/>
      <c r="X173" s="5"/>
      <c r="Y173" s="5"/>
      <c r="Z173" s="5"/>
      <c r="AA173" s="5"/>
      <c r="AB173" s="5"/>
      <c r="AC173" s="5"/>
      <c r="AD173" s="5"/>
      <c r="AE173" s="5"/>
      <c r="AF173" s="5"/>
      <c r="AG173" s="5"/>
      <c r="AH173" s="5"/>
      <c r="AI173" s="5"/>
      <c r="AJ173" s="5"/>
      <c r="AK173" s="5"/>
      <c r="AL173" s="5"/>
    </row>
    <row r="174" spans="7:38" ht="12.75">
      <c r="G174" s="5"/>
      <c r="H174" s="5"/>
      <c r="K174" s="5"/>
      <c r="L174" s="5"/>
      <c r="M174" s="5"/>
      <c r="N174" s="5"/>
      <c r="O174" s="5"/>
      <c r="P174" s="5"/>
      <c r="Q174" s="5"/>
      <c r="S174" s="119"/>
      <c r="T174" s="119"/>
      <c r="U174" s="119"/>
      <c r="V174" s="5"/>
      <c r="W174" s="5"/>
      <c r="X174" s="5"/>
      <c r="Y174" s="5"/>
      <c r="Z174" s="5"/>
      <c r="AA174" s="5"/>
      <c r="AB174" s="5"/>
      <c r="AC174" s="5"/>
      <c r="AD174" s="5"/>
      <c r="AE174" s="5"/>
      <c r="AF174" s="5"/>
      <c r="AG174" s="5"/>
      <c r="AH174" s="5"/>
      <c r="AI174" s="5"/>
      <c r="AJ174" s="5"/>
      <c r="AK174" s="5"/>
      <c r="AL174" s="5"/>
    </row>
    <row r="175" spans="6:38" ht="12.75">
      <c r="F175" s="5"/>
      <c r="G175" s="5"/>
      <c r="H175" s="5"/>
      <c r="K175" s="5"/>
      <c r="L175" s="5"/>
      <c r="M175" s="5"/>
      <c r="N175" s="5"/>
      <c r="O175" s="5"/>
      <c r="P175" s="5"/>
      <c r="Q175" s="5"/>
      <c r="S175" s="119"/>
      <c r="T175" s="119"/>
      <c r="U175" s="119"/>
      <c r="V175" s="5"/>
      <c r="W175" s="5"/>
      <c r="X175" s="5"/>
      <c r="Y175" s="5"/>
      <c r="Z175" s="5"/>
      <c r="AA175" s="5"/>
      <c r="AB175" s="5"/>
      <c r="AC175" s="5"/>
      <c r="AD175" s="5"/>
      <c r="AE175" s="5"/>
      <c r="AF175" s="5"/>
      <c r="AG175" s="5"/>
      <c r="AH175" s="5"/>
      <c r="AI175" s="5"/>
      <c r="AJ175" s="5"/>
      <c r="AK175" s="5"/>
      <c r="AL175" s="5"/>
    </row>
    <row r="176" spans="1:38" ht="12.75">
      <c r="A176" s="155" t="s">
        <v>251</v>
      </c>
      <c r="B176" s="155">
        <v>1344</v>
      </c>
      <c r="C176" s="155">
        <v>2200</v>
      </c>
      <c r="D176" s="155">
        <v>2283</v>
      </c>
      <c r="E176" s="313">
        <f>$E$59</f>
        <v>2109.73</v>
      </c>
      <c r="F176" s="5"/>
      <c r="G176" s="5"/>
      <c r="H176" s="5"/>
      <c r="K176" s="5"/>
      <c r="L176" s="5"/>
      <c r="M176" s="5"/>
      <c r="N176" s="5"/>
      <c r="O176" s="5"/>
      <c r="P176" s="5"/>
      <c r="Q176" s="5"/>
      <c r="S176" s="119"/>
      <c r="T176" s="119"/>
      <c r="U176" s="119"/>
      <c r="V176" s="5"/>
      <c r="W176" s="5"/>
      <c r="X176" s="5"/>
      <c r="Y176" s="5"/>
      <c r="Z176" s="5"/>
      <c r="AA176" s="5"/>
      <c r="AB176" s="5"/>
      <c r="AC176" s="5"/>
      <c r="AD176" s="5"/>
      <c r="AE176" s="5"/>
      <c r="AF176" s="5"/>
      <c r="AG176" s="5"/>
      <c r="AH176" s="5"/>
      <c r="AI176" s="5"/>
      <c r="AJ176" s="5"/>
      <c r="AK176" s="5"/>
      <c r="AL176" s="5"/>
    </row>
    <row r="177" spans="1:38" ht="12.75">
      <c r="A177" s="314" t="s">
        <v>353</v>
      </c>
      <c r="B177" s="315">
        <f>VLOOKUP($A177,$A$5:$I$48,7,0)</f>
        <v>62.781</v>
      </c>
      <c r="C177" s="315">
        <f>VLOOKUP($A177,$A$5:$I$48,8,0)</f>
        <v>108.222</v>
      </c>
      <c r="D177" s="315">
        <f>VLOOKUP($A177,$A$5:$I$48,9,0)</f>
        <v>92.66699999999999</v>
      </c>
      <c r="E177" s="316"/>
      <c r="F177" s="5"/>
      <c r="G177" s="5"/>
      <c r="H177" s="5"/>
      <c r="K177" s="5"/>
      <c r="L177" s="5"/>
      <c r="M177" s="5"/>
      <c r="N177" s="5"/>
      <c r="O177" s="5"/>
      <c r="P177" s="5"/>
      <c r="Q177" s="5"/>
      <c r="S177" s="119"/>
      <c r="T177" s="119"/>
      <c r="U177" s="119"/>
      <c r="V177" s="5"/>
      <c r="W177" s="5"/>
      <c r="X177" s="5"/>
      <c r="Y177" s="5"/>
      <c r="Z177" s="5"/>
      <c r="AA177" s="5"/>
      <c r="AB177" s="5"/>
      <c r="AC177" s="5"/>
      <c r="AD177" s="5"/>
      <c r="AE177" s="5"/>
      <c r="AF177" s="5"/>
      <c r="AG177" s="5"/>
      <c r="AH177" s="5"/>
      <c r="AI177" s="5"/>
      <c r="AJ177" s="5"/>
      <c r="AK177" s="5"/>
      <c r="AL177" s="5"/>
    </row>
    <row r="178" spans="1:38" ht="12.75">
      <c r="A178" s="314" t="s">
        <v>212</v>
      </c>
      <c r="B178" s="315">
        <f aca="true" t="shared" si="45" ref="B178:B186">VLOOKUP($A178,$A$5:$I$48,7,0)</f>
        <v>29.759999999999998</v>
      </c>
      <c r="C178" s="315">
        <f aca="true" t="shared" si="46" ref="C178:C186">VLOOKUP($A178,$A$5:$I$48,8,0)</f>
        <v>24.862</v>
      </c>
      <c r="D178" s="315">
        <f aca="true" t="shared" si="47" ref="D178:D186">VLOOKUP($A178,$A$5:$I$48,9,0)</f>
        <v>37.138</v>
      </c>
      <c r="E178" s="316"/>
      <c r="F178" s="5"/>
      <c r="G178" s="5"/>
      <c r="H178" s="5"/>
      <c r="K178" s="5"/>
      <c r="L178" s="5"/>
      <c r="M178" s="5"/>
      <c r="N178" s="5"/>
      <c r="O178" s="5"/>
      <c r="P178" s="5"/>
      <c r="Q178" s="5"/>
      <c r="S178" s="119"/>
      <c r="T178" s="119"/>
      <c r="U178" s="119"/>
      <c r="V178" s="5"/>
      <c r="W178" s="5"/>
      <c r="X178" s="5"/>
      <c r="Y178" s="5"/>
      <c r="Z178" s="5"/>
      <c r="AA178" s="5"/>
      <c r="AB178" s="5"/>
      <c r="AC178" s="5"/>
      <c r="AD178" s="5"/>
      <c r="AE178" s="5"/>
      <c r="AF178" s="5"/>
      <c r="AG178" s="5"/>
      <c r="AH178" s="5"/>
      <c r="AI178" s="5"/>
      <c r="AJ178" s="5"/>
      <c r="AK178" s="5"/>
      <c r="AL178" s="5"/>
    </row>
    <row r="179" spans="1:38" ht="13.5" thickBot="1">
      <c r="A179" s="314" t="s">
        <v>183</v>
      </c>
      <c r="B179" s="315">
        <f t="shared" si="45"/>
        <v>0</v>
      </c>
      <c r="C179" s="315">
        <f t="shared" si="46"/>
        <v>0</v>
      </c>
      <c r="D179" s="315">
        <f t="shared" si="47"/>
        <v>16.765</v>
      </c>
      <c r="E179" s="316"/>
      <c r="F179" s="5"/>
      <c r="G179" s="5"/>
      <c r="H179" s="5"/>
      <c r="K179" s="5"/>
      <c r="L179" s="5"/>
      <c r="M179" s="5"/>
      <c r="N179" s="5"/>
      <c r="O179" s="5"/>
      <c r="P179" s="5"/>
      <c r="Q179" s="5"/>
      <c r="S179" s="119"/>
      <c r="T179" s="119"/>
      <c r="U179" s="119"/>
      <c r="V179" s="5"/>
      <c r="W179" s="5"/>
      <c r="X179" s="5"/>
      <c r="Y179" s="5"/>
      <c r="Z179" s="5"/>
      <c r="AA179" s="5"/>
      <c r="AB179" s="5"/>
      <c r="AC179" s="5"/>
      <c r="AD179" s="5"/>
      <c r="AE179" s="5"/>
      <c r="AF179" s="5"/>
      <c r="AG179" s="5"/>
      <c r="AH179" s="5"/>
      <c r="AI179" s="5"/>
      <c r="AJ179" s="5"/>
      <c r="AK179" s="5"/>
      <c r="AL179" s="5"/>
    </row>
    <row r="180" spans="1:38" ht="12.75">
      <c r="A180" s="314" t="s">
        <v>331</v>
      </c>
      <c r="B180" s="315">
        <f t="shared" si="45"/>
        <v>13.770000000000001</v>
      </c>
      <c r="C180" s="315">
        <f t="shared" si="46"/>
        <v>23.256</v>
      </c>
      <c r="D180" s="315">
        <f t="shared" si="47"/>
        <v>0</v>
      </c>
      <c r="E180" s="316"/>
      <c r="F180" s="5"/>
      <c r="G180" s="344" t="s">
        <v>374</v>
      </c>
      <c r="H180" s="343" t="s">
        <v>23</v>
      </c>
      <c r="I180" s="343" t="s">
        <v>204</v>
      </c>
      <c r="J180" s="343" t="s">
        <v>376</v>
      </c>
      <c r="K180" s="337"/>
      <c r="M180" s="5"/>
      <c r="N180" s="5"/>
      <c r="O180" s="5"/>
      <c r="P180" s="5"/>
      <c r="Q180" s="5"/>
      <c r="S180" s="119"/>
      <c r="T180" s="119"/>
      <c r="U180" s="119"/>
      <c r="V180" s="5"/>
      <c r="W180" s="5"/>
      <c r="X180" s="5"/>
      <c r="Y180" s="5"/>
      <c r="Z180" s="5"/>
      <c r="AA180" s="5"/>
      <c r="AB180" s="5"/>
      <c r="AC180" s="5"/>
      <c r="AD180" s="5"/>
      <c r="AE180" s="5"/>
      <c r="AF180" s="5"/>
      <c r="AG180" s="5"/>
      <c r="AH180" s="5"/>
      <c r="AI180" s="5"/>
      <c r="AJ180" s="5"/>
      <c r="AK180" s="5"/>
      <c r="AL180" s="5"/>
    </row>
    <row r="181" spans="1:38" ht="12.75">
      <c r="A181" s="314" t="s">
        <v>181</v>
      </c>
      <c r="B181" s="315">
        <f t="shared" si="45"/>
        <v>38.976</v>
      </c>
      <c r="C181" s="315">
        <f t="shared" si="46"/>
        <v>49.909000000000006</v>
      </c>
      <c r="D181" s="315">
        <f t="shared" si="47"/>
        <v>3.016</v>
      </c>
      <c r="E181" s="316"/>
      <c r="F181" s="5"/>
      <c r="G181" s="328">
        <v>1344</v>
      </c>
      <c r="H181" s="336">
        <f>'Cost-Effectiveness'!$B$18</f>
        <v>0.12</v>
      </c>
      <c r="I181" s="341">
        <f>B187</f>
        <v>280.16677898832677</v>
      </c>
      <c r="J181" s="358">
        <f>L187</f>
        <v>4055.9768475879027</v>
      </c>
      <c r="K181" s="327"/>
      <c r="L181" s="119"/>
      <c r="M181" s="5"/>
      <c r="N181" s="5"/>
      <c r="O181" s="5"/>
      <c r="P181" s="5"/>
      <c r="Q181" s="5"/>
      <c r="S181" s="119"/>
      <c r="T181" s="119"/>
      <c r="U181" s="119"/>
      <c r="V181" s="5"/>
      <c r="W181" s="5"/>
      <c r="X181" s="5"/>
      <c r="Y181" s="5"/>
      <c r="Z181" s="5"/>
      <c r="AA181" s="5"/>
      <c r="AB181" s="5"/>
      <c r="AC181" s="5"/>
      <c r="AD181" s="5"/>
      <c r="AE181" s="5"/>
      <c r="AF181" s="5"/>
      <c r="AG181" s="5"/>
      <c r="AH181" s="5"/>
      <c r="AI181" s="5"/>
      <c r="AJ181" s="5"/>
      <c r="AK181" s="5"/>
      <c r="AL181" s="5"/>
    </row>
    <row r="182" spans="1:38" ht="12.75">
      <c r="A182" s="314" t="s">
        <v>179</v>
      </c>
      <c r="B182" s="315">
        <f t="shared" si="45"/>
        <v>59.92217898832685</v>
      </c>
      <c r="C182" s="315">
        <f t="shared" si="46"/>
        <v>124.61089494163424</v>
      </c>
      <c r="D182" s="315">
        <f t="shared" si="47"/>
        <v>68.09338521400778</v>
      </c>
      <c r="E182" s="316"/>
      <c r="F182" s="5"/>
      <c r="G182" s="326">
        <v>2200</v>
      </c>
      <c r="H182" s="336">
        <f>'Cost-Effectiveness'!$C$18</f>
        <v>0.73</v>
      </c>
      <c r="I182" s="341">
        <f>C187</f>
        <v>452.18989494163424</v>
      </c>
      <c r="J182" s="358">
        <f>L188</f>
        <v>7462.177800206746</v>
      </c>
      <c r="K182" s="327"/>
      <c r="L182" s="119"/>
      <c r="M182" s="5"/>
      <c r="N182" s="5"/>
      <c r="O182" s="5"/>
      <c r="P182" s="5"/>
      <c r="Q182" s="5"/>
      <c r="S182" s="119"/>
      <c r="T182" s="119"/>
      <c r="U182" s="119"/>
      <c r="V182" s="5"/>
      <c r="W182" s="5"/>
      <c r="X182" s="5"/>
      <c r="Y182" s="5"/>
      <c r="Z182" s="5"/>
      <c r="AA182" s="5"/>
      <c r="AB182" s="5"/>
      <c r="AC182" s="5"/>
      <c r="AD182" s="5"/>
      <c r="AE182" s="5"/>
      <c r="AF182" s="5"/>
      <c r="AG182" s="5"/>
      <c r="AH182" s="5"/>
      <c r="AI182" s="5"/>
      <c r="AJ182" s="5"/>
      <c r="AK182" s="5"/>
      <c r="AL182" s="5"/>
    </row>
    <row r="183" spans="1:38" ht="13.5" thickBot="1">
      <c r="A183" s="314" t="s">
        <v>219</v>
      </c>
      <c r="B183" s="315">
        <f t="shared" si="45"/>
        <v>7.22</v>
      </c>
      <c r="C183" s="315">
        <f t="shared" si="46"/>
        <v>10.45</v>
      </c>
      <c r="D183" s="315">
        <f t="shared" si="47"/>
        <v>16.91</v>
      </c>
      <c r="E183" s="316"/>
      <c r="F183" s="5"/>
      <c r="G183" s="338">
        <v>2283</v>
      </c>
      <c r="H183" s="339">
        <f>'Cost-Effectiveness'!$D$18</f>
        <v>0.15</v>
      </c>
      <c r="I183" s="342">
        <f>D187</f>
        <v>434.7725852140078</v>
      </c>
      <c r="J183" s="358">
        <f>L189</f>
        <v>8259.961596171514</v>
      </c>
      <c r="K183" s="340"/>
      <c r="L183" s="119"/>
      <c r="M183" s="5"/>
      <c r="N183" s="5"/>
      <c r="O183" s="5"/>
      <c r="P183" s="5"/>
      <c r="Q183" s="5"/>
      <c r="S183" s="131"/>
      <c r="T183" s="131"/>
      <c r="U183" s="131"/>
      <c r="V183" s="5"/>
      <c r="W183" s="5"/>
      <c r="X183" s="5"/>
      <c r="Y183" s="5"/>
      <c r="Z183" s="5"/>
      <c r="AA183" s="5"/>
      <c r="AB183" s="5"/>
      <c r="AC183" s="5"/>
      <c r="AD183" s="5"/>
      <c r="AE183" s="5"/>
      <c r="AF183" s="5"/>
      <c r="AG183" s="5"/>
      <c r="AH183" s="5"/>
      <c r="AI183" s="5"/>
      <c r="AJ183" s="5"/>
      <c r="AK183" s="5"/>
      <c r="AL183" s="5"/>
    </row>
    <row r="184" spans="1:38" ht="13.5" thickBot="1">
      <c r="A184" s="314" t="s">
        <v>195</v>
      </c>
      <c r="B184" s="315">
        <f t="shared" si="45"/>
        <v>0</v>
      </c>
      <c r="C184" s="315">
        <f t="shared" si="46"/>
        <v>0</v>
      </c>
      <c r="D184" s="315">
        <f t="shared" si="47"/>
        <v>67.2</v>
      </c>
      <c r="E184" s="316"/>
      <c r="F184" s="5"/>
      <c r="G184" s="354">
        <f>SUMPRODUCT(G181:G183,H181:H183)</f>
        <v>2109.73</v>
      </c>
      <c r="H184" s="355">
        <f>SUM(H181:H183)</f>
        <v>1</v>
      </c>
      <c r="I184" s="356">
        <f>SUMPRODUCT($H181:$H183,I181:I183)</f>
        <v>428.93452456809337</v>
      </c>
      <c r="J184" s="356">
        <f>SUMPRODUCT($H181:$H183,J181:J183)</f>
        <v>7173.101255287199</v>
      </c>
      <c r="K184" s="357"/>
      <c r="L184" s="119"/>
      <c r="M184" s="5"/>
      <c r="N184" s="5"/>
      <c r="O184" s="5"/>
      <c r="P184" s="5"/>
      <c r="Q184" s="5"/>
      <c r="V184" s="5"/>
      <c r="W184" s="5"/>
      <c r="X184" s="5"/>
      <c r="Y184" s="5"/>
      <c r="Z184" s="5"/>
      <c r="AA184" s="5"/>
      <c r="AB184" s="5"/>
      <c r="AC184" s="5"/>
      <c r="AD184" s="5"/>
      <c r="AE184" s="5"/>
      <c r="AF184" s="5"/>
      <c r="AG184" s="5"/>
      <c r="AH184" s="5"/>
      <c r="AI184" s="5"/>
      <c r="AJ184" s="5"/>
      <c r="AK184" s="5"/>
      <c r="AL184" s="5"/>
    </row>
    <row r="185" spans="1:38" ht="13.5" thickBot="1">
      <c r="A185" s="314" t="s">
        <v>194</v>
      </c>
      <c r="B185" s="315">
        <f t="shared" si="45"/>
        <v>0</v>
      </c>
      <c r="C185" s="315">
        <f t="shared" si="46"/>
        <v>0</v>
      </c>
      <c r="D185" s="315">
        <f t="shared" si="47"/>
        <v>17.92</v>
      </c>
      <c r="E185" s="316"/>
      <c r="F185" s="5"/>
      <c r="G185" s="346" t="s">
        <v>23</v>
      </c>
      <c r="H185" s="347">
        <v>0.4</v>
      </c>
      <c r="I185" s="347">
        <v>0.45</v>
      </c>
      <c r="J185" s="347">
        <v>0.15</v>
      </c>
      <c r="K185" s="348">
        <v>0</v>
      </c>
      <c r="L185" s="131" t="s">
        <v>375</v>
      </c>
      <c r="M185" s="5"/>
      <c r="N185" s="5"/>
      <c r="O185" s="5"/>
      <c r="P185" s="5"/>
      <c r="Q185" s="5"/>
      <c r="V185" s="5"/>
      <c r="W185" s="5"/>
      <c r="X185" s="5"/>
      <c r="Y185" s="5"/>
      <c r="Z185" s="5"/>
      <c r="AA185" s="5"/>
      <c r="AB185" s="5"/>
      <c r="AC185" s="5"/>
      <c r="AD185" s="5"/>
      <c r="AE185" s="5"/>
      <c r="AF185" s="5"/>
      <c r="AG185" s="5"/>
      <c r="AH185" s="5"/>
      <c r="AI185" s="5"/>
      <c r="AJ185" s="5"/>
      <c r="AK185" s="5"/>
      <c r="AL185" s="5"/>
    </row>
    <row r="186" spans="1:38" ht="12.75">
      <c r="A186" s="317" t="s">
        <v>224</v>
      </c>
      <c r="B186" s="315">
        <f t="shared" si="45"/>
        <v>67.73759999999999</v>
      </c>
      <c r="C186" s="315">
        <f t="shared" si="46"/>
        <v>110.87999999999998</v>
      </c>
      <c r="D186" s="315">
        <f t="shared" si="47"/>
        <v>115.06319999999998</v>
      </c>
      <c r="E186" s="316"/>
      <c r="F186" s="5"/>
      <c r="G186" s="345"/>
      <c r="H186" s="343" t="s">
        <v>200</v>
      </c>
      <c r="I186" s="343" t="s">
        <v>201</v>
      </c>
      <c r="J186" s="343" t="s">
        <v>202</v>
      </c>
      <c r="K186" s="349" t="s">
        <v>203</v>
      </c>
      <c r="L186" s="353" t="s">
        <v>243</v>
      </c>
      <c r="M186" s="5"/>
      <c r="N186" s="5"/>
      <c r="O186" s="5"/>
      <c r="P186" s="5"/>
      <c r="Q186" s="5"/>
      <c r="V186" s="5"/>
      <c r="W186" s="5"/>
      <c r="X186" s="5"/>
      <c r="Y186" s="5"/>
      <c r="Z186" s="5"/>
      <c r="AA186" s="5"/>
      <c r="AB186" s="5"/>
      <c r="AC186" s="5"/>
      <c r="AD186" s="5"/>
      <c r="AE186" s="5"/>
      <c r="AF186" s="5"/>
      <c r="AG186" s="5"/>
      <c r="AH186" s="5"/>
      <c r="AI186" s="5"/>
      <c r="AJ186" s="5"/>
      <c r="AK186" s="5"/>
      <c r="AL186" s="5"/>
    </row>
    <row r="187" spans="1:38" ht="12.75">
      <c r="A187" s="318" t="s">
        <v>234</v>
      </c>
      <c r="B187" s="319">
        <f>SUM(B177:B186)</f>
        <v>280.16677898832677</v>
      </c>
      <c r="C187" s="319">
        <f>SUM(C177:C186)</f>
        <v>452.18989494163424</v>
      </c>
      <c r="D187" s="319">
        <f>SUM(D177:D186)</f>
        <v>434.7725852140078</v>
      </c>
      <c r="E187" s="319">
        <f>($B$58*B187)+($C$58*C187)+($D$58*D187)</f>
        <v>428.93452456809337</v>
      </c>
      <c r="F187" s="5"/>
      <c r="G187" s="328">
        <v>1344</v>
      </c>
      <c r="H187" s="329">
        <f>(0.0000000483*(I181^4))-(0.0001084986*(I181^3))+(0.0925864926*(I181^2))-(4.7266834675*I181)-483.6424651158</f>
        <v>3371.095674130022</v>
      </c>
      <c r="I187" s="329">
        <f>(0.0000000474*(I181^4))-(0.0001084079*(I181^3))+(0.0954489266*(I181^2))-(2.7783188788*I181)-729.4847470279</f>
        <v>3892.2521796010415</v>
      </c>
      <c r="J187" s="329">
        <f>(0.0000000513*(I181^4))-(0.0001129418*(I181^3))+(0.0942698734*(I181^2))+(9.7772074272*I181)-1597.6523413466</f>
        <v>6373.500647436171</v>
      </c>
      <c r="K187" s="350">
        <f>(0.000000039*(I181^4))-(0.0000915628*(I181^3))+(0.0826236708*(I181^2))+(18.7809842013*I181)-2317.0311644418</f>
        <v>7656.898595126044</v>
      </c>
      <c r="L187" s="330">
        <f>SUMPRODUCT(H187:K187,H$185:K$185)</f>
        <v>4055.9768475879027</v>
      </c>
      <c r="M187" s="5"/>
      <c r="N187" s="5"/>
      <c r="O187" s="5"/>
      <c r="P187" s="5"/>
      <c r="Q187" s="5"/>
      <c r="V187" s="5"/>
      <c r="W187" s="5"/>
      <c r="X187" s="5"/>
      <c r="Y187" s="5"/>
      <c r="Z187" s="5"/>
      <c r="AA187" s="5"/>
      <c r="AB187" s="5"/>
      <c r="AC187" s="5"/>
      <c r="AD187" s="5"/>
      <c r="AE187" s="5"/>
      <c r="AF187" s="5"/>
      <c r="AG187" s="5"/>
      <c r="AH187" s="5"/>
      <c r="AI187" s="5"/>
      <c r="AJ187" s="5"/>
      <c r="AK187" s="5"/>
      <c r="AL187" s="5"/>
    </row>
    <row r="188" spans="1:38" ht="12.75">
      <c r="A188" s="320" t="s">
        <v>235</v>
      </c>
      <c r="B188" s="319">
        <f>J181</f>
        <v>4055.9768475879027</v>
      </c>
      <c r="C188" s="319">
        <f>J182</f>
        <v>7462.177800206746</v>
      </c>
      <c r="D188" s="319">
        <f>J183</f>
        <v>8259.961596171514</v>
      </c>
      <c r="E188" s="319">
        <f>($B$58*B188)+($C$58*C188)+($D$58*D188)</f>
        <v>7173.101255287199</v>
      </c>
      <c r="F188" s="5"/>
      <c r="G188" s="326">
        <v>2200</v>
      </c>
      <c r="H188" s="331">
        <f>(0.000000056*(I182^4))-(0.0001293162*(I182^3))+(0.1156141553*(I182^2))-(18.8087825498*I182)+800.0127173394</f>
        <v>6319.719720610164</v>
      </c>
      <c r="I188" s="331">
        <f>(0.0000000611*(I182^4))-(0.0001407997*(I182^3))+(0.1260787774*(I182^2))-(19.4407217456*I182)+750.1493216982</f>
        <v>7275.30773366981</v>
      </c>
      <c r="J188" s="331">
        <f>(0.0000000511*(I182^4))-(0.0001207491*(I182^3))+(0.1113962896*(I182^2))-(4.5813153206*I182)-608.689338736</f>
        <v>11069.342878741772</v>
      </c>
      <c r="K188" s="351">
        <f>(0.0000000657*(I182^4))-(0.0001522392*(I182^3))+(0.1356085946*(I182^2))-(5.4819652547*I182)-693.95778761</f>
        <v>13226.435460496627</v>
      </c>
      <c r="L188" s="332">
        <f>SUMPRODUCT(H188:K188,H$185:K$185)</f>
        <v>7462.177800206746</v>
      </c>
      <c r="M188" s="5"/>
      <c r="N188" s="5"/>
      <c r="O188" s="5"/>
      <c r="P188" s="5"/>
      <c r="Q188" s="5"/>
      <c r="V188" s="5"/>
      <c r="W188" s="5"/>
      <c r="X188" s="5"/>
      <c r="Y188" s="5"/>
      <c r="Z188" s="5"/>
      <c r="AA188" s="5"/>
      <c r="AB188" s="5"/>
      <c r="AC188" s="5"/>
      <c r="AD188" s="5"/>
      <c r="AE188" s="5"/>
      <c r="AF188" s="5"/>
      <c r="AG188" s="5"/>
      <c r="AH188" s="5"/>
      <c r="AI188" s="5"/>
      <c r="AJ188" s="5"/>
      <c r="AK188" s="5"/>
      <c r="AL188" s="5"/>
    </row>
    <row r="189" spans="1:38" ht="13.5" thickBot="1">
      <c r="A189" s="320" t="s">
        <v>236</v>
      </c>
      <c r="B189" s="321">
        <f>B188/B176</f>
        <v>3.017839916360047</v>
      </c>
      <c r="C189" s="321">
        <f>C188/C176</f>
        <v>3.3918990000939755</v>
      </c>
      <c r="D189" s="321">
        <f>D188/D176</f>
        <v>3.6180296084851133</v>
      </c>
      <c r="E189" s="321">
        <f>E188/E176</f>
        <v>3.400009126896427</v>
      </c>
      <c r="F189" s="5"/>
      <c r="G189" s="333">
        <v>2283</v>
      </c>
      <c r="H189" s="334">
        <f>(0.000000054*(I183^4))-(0.000122834*(I183^3))+(0.1063388451*(I183^2))-(11.4924855517*I183)+92.1054607712</f>
        <v>7030.94091092049</v>
      </c>
      <c r="I189" s="334">
        <f>(0.0000000587*(I183^4))-(0.0001305165*(I183^3))+(0.1120964665*(I183^2))-(9.8925545335*I183)-175.4426063598</f>
        <v>8083.905686461454</v>
      </c>
      <c r="J189" s="334">
        <f>(0.0000000536*(I183^4))-(0.0001217652*(I183^3))+(0.105850127*(I183^2))+(2.9356430387*I183)-1127.4369636912</f>
        <v>12065.517819304418</v>
      </c>
      <c r="K189" s="352">
        <f>(0.0000000456*(I183^4))-(0.0001041814*(I183^3))+(0.0932589495*(I183^2))+(12.972079966*I183)-2042.1552509592</f>
        <v>14293.546151713192</v>
      </c>
      <c r="L189" s="335">
        <f>SUMPRODUCT(H189:K189,H$185:K$185)</f>
        <v>8259.961596171514</v>
      </c>
      <c r="M189" s="5"/>
      <c r="N189" s="5"/>
      <c r="O189" s="5"/>
      <c r="P189" s="5"/>
      <c r="Q189" s="5"/>
      <c r="V189" s="5"/>
      <c r="W189" s="5"/>
      <c r="X189" s="5"/>
      <c r="Y189" s="5"/>
      <c r="Z189" s="5"/>
      <c r="AA189" s="5"/>
      <c r="AB189" s="5"/>
      <c r="AC189" s="5"/>
      <c r="AD189" s="5"/>
      <c r="AE189" s="5"/>
      <c r="AF189" s="5"/>
      <c r="AG189" s="5"/>
      <c r="AH189" s="5"/>
      <c r="AI189" s="5"/>
      <c r="AJ189" s="5"/>
      <c r="AK189" s="5"/>
      <c r="AL189" s="5"/>
    </row>
    <row r="190" spans="6:38" ht="12.75">
      <c r="F190" s="5"/>
      <c r="G190" s="5"/>
      <c r="H190" s="5"/>
      <c r="K190" s="5"/>
      <c r="L190" s="5"/>
      <c r="M190" s="5"/>
      <c r="N190" s="5"/>
      <c r="O190" s="5"/>
      <c r="P190" s="5"/>
      <c r="Q190" s="5"/>
      <c r="V190" s="5"/>
      <c r="W190" s="5"/>
      <c r="X190" s="5"/>
      <c r="Y190" s="5"/>
      <c r="Z190" s="5"/>
      <c r="AA190" s="5"/>
      <c r="AB190" s="5"/>
      <c r="AC190" s="5"/>
      <c r="AD190" s="5"/>
      <c r="AE190" s="5"/>
      <c r="AF190" s="5"/>
      <c r="AG190" s="5"/>
      <c r="AH190" s="5"/>
      <c r="AI190" s="5"/>
      <c r="AJ190" s="5"/>
      <c r="AK190" s="5"/>
      <c r="AL190" s="5"/>
    </row>
    <row r="191" spans="1:38" ht="12.75">
      <c r="A191" s="155" t="s">
        <v>252</v>
      </c>
      <c r="B191" s="155">
        <v>1344</v>
      </c>
      <c r="C191" s="155">
        <v>2200</v>
      </c>
      <c r="D191" s="155">
        <v>2283</v>
      </c>
      <c r="E191" s="313">
        <f>$E$59</f>
        <v>2109.73</v>
      </c>
      <c r="F191" s="5"/>
      <c r="G191" s="5"/>
      <c r="H191" s="5"/>
      <c r="K191" s="5"/>
      <c r="L191" s="5"/>
      <c r="M191" s="5"/>
      <c r="N191" s="5"/>
      <c r="O191" s="5"/>
      <c r="P191" s="5"/>
      <c r="Q191" s="5"/>
      <c r="V191" s="5"/>
      <c r="W191" s="5"/>
      <c r="X191" s="5"/>
      <c r="Y191" s="5"/>
      <c r="Z191" s="5"/>
      <c r="AA191" s="5"/>
      <c r="AB191" s="5"/>
      <c r="AC191" s="5"/>
      <c r="AD191" s="5"/>
      <c r="AE191" s="5"/>
      <c r="AF191" s="5"/>
      <c r="AG191" s="5"/>
      <c r="AH191" s="5"/>
      <c r="AI191" s="5"/>
      <c r="AJ191" s="5"/>
      <c r="AK191" s="5"/>
      <c r="AL191" s="5"/>
    </row>
    <row r="192" spans="1:38" ht="12.75">
      <c r="A192" s="314" t="s">
        <v>353</v>
      </c>
      <c r="B192" s="315">
        <f>VLOOKUP($A192,$A$5:$I$48,7,0)</f>
        <v>62.781</v>
      </c>
      <c r="C192" s="315">
        <f>VLOOKUP($A192,$A$5:$I$48,8,0)</f>
        <v>108.222</v>
      </c>
      <c r="D192" s="315">
        <f>VLOOKUP($A192,$A$5:$I$48,9,0)</f>
        <v>92.66699999999999</v>
      </c>
      <c r="E192" s="316"/>
      <c r="F192" s="5"/>
      <c r="G192" s="5"/>
      <c r="H192" s="5"/>
      <c r="K192" s="5"/>
      <c r="L192" s="5"/>
      <c r="M192" s="5"/>
      <c r="N192" s="5"/>
      <c r="O192" s="5"/>
      <c r="P192" s="5"/>
      <c r="Q192" s="5"/>
      <c r="V192" s="5"/>
      <c r="W192" s="5"/>
      <c r="X192" s="5"/>
      <c r="Y192" s="5"/>
      <c r="Z192" s="5"/>
      <c r="AA192" s="5"/>
      <c r="AB192" s="5"/>
      <c r="AC192" s="5"/>
      <c r="AD192" s="5"/>
      <c r="AE192" s="5"/>
      <c r="AF192" s="5"/>
      <c r="AG192" s="5"/>
      <c r="AH192" s="5"/>
      <c r="AI192" s="5"/>
      <c r="AJ192" s="5"/>
      <c r="AK192" s="5"/>
      <c r="AL192" s="5"/>
    </row>
    <row r="193" spans="1:38" ht="12.75">
      <c r="A193" s="314" t="s">
        <v>212</v>
      </c>
      <c r="B193" s="315">
        <f aca="true" t="shared" si="48" ref="B193:B201">VLOOKUP($A193,$A$5:$I$48,7,0)</f>
        <v>29.759999999999998</v>
      </c>
      <c r="C193" s="315">
        <f aca="true" t="shared" si="49" ref="C193:C201">VLOOKUP($A193,$A$5:$I$48,8,0)</f>
        <v>24.862</v>
      </c>
      <c r="D193" s="315">
        <f aca="true" t="shared" si="50" ref="D193:D201">VLOOKUP($A193,$A$5:$I$48,9,0)</f>
        <v>37.138</v>
      </c>
      <c r="E193" s="316"/>
      <c r="F193" s="5"/>
      <c r="G193" s="5"/>
      <c r="H193" s="5"/>
      <c r="K193" s="5"/>
      <c r="L193" s="5"/>
      <c r="M193" s="5"/>
      <c r="N193" s="5"/>
      <c r="O193" s="5"/>
      <c r="P193" s="5"/>
      <c r="Q193" s="5"/>
      <c r="V193" s="5"/>
      <c r="W193" s="5"/>
      <c r="X193" s="5"/>
      <c r="Y193" s="5"/>
      <c r="Z193" s="5"/>
      <c r="AA193" s="5"/>
      <c r="AB193" s="5"/>
      <c r="AC193" s="5"/>
      <c r="AD193" s="5"/>
      <c r="AE193" s="5"/>
      <c r="AF193" s="5"/>
      <c r="AG193" s="5"/>
      <c r="AH193" s="5"/>
      <c r="AI193" s="5"/>
      <c r="AJ193" s="5"/>
      <c r="AK193" s="5"/>
      <c r="AL193" s="5"/>
    </row>
    <row r="194" spans="1:38" ht="13.5" thickBot="1">
      <c r="A194" s="314" t="s">
        <v>183</v>
      </c>
      <c r="B194" s="315">
        <f t="shared" si="48"/>
        <v>0</v>
      </c>
      <c r="C194" s="315">
        <f t="shared" si="49"/>
        <v>0</v>
      </c>
      <c r="D194" s="315">
        <f t="shared" si="50"/>
        <v>16.765</v>
      </c>
      <c r="E194" s="316"/>
      <c r="F194" s="5"/>
      <c r="G194" s="5"/>
      <c r="H194" s="5"/>
      <c r="K194" s="5"/>
      <c r="L194" s="5"/>
      <c r="M194" s="5"/>
      <c r="N194" s="5"/>
      <c r="O194" s="5"/>
      <c r="P194" s="5"/>
      <c r="Q194" s="5"/>
      <c r="V194" s="5"/>
      <c r="W194" s="5"/>
      <c r="X194" s="5"/>
      <c r="Y194" s="5"/>
      <c r="Z194" s="5"/>
      <c r="AA194" s="5"/>
      <c r="AB194" s="5"/>
      <c r="AC194" s="5"/>
      <c r="AD194" s="5"/>
      <c r="AE194" s="5"/>
      <c r="AF194" s="5"/>
      <c r="AG194" s="5"/>
      <c r="AH194" s="5"/>
      <c r="AI194" s="5"/>
      <c r="AJ194" s="5"/>
      <c r="AK194" s="5"/>
      <c r="AL194" s="5"/>
    </row>
    <row r="195" spans="1:38" ht="12.75">
      <c r="A195" s="314" t="s">
        <v>331</v>
      </c>
      <c r="B195" s="315">
        <f t="shared" si="48"/>
        <v>13.770000000000001</v>
      </c>
      <c r="C195" s="315">
        <f t="shared" si="49"/>
        <v>23.256</v>
      </c>
      <c r="D195" s="315">
        <f t="shared" si="50"/>
        <v>0</v>
      </c>
      <c r="E195" s="316"/>
      <c r="F195" s="5"/>
      <c r="G195" s="344" t="s">
        <v>374</v>
      </c>
      <c r="H195" s="343" t="s">
        <v>23</v>
      </c>
      <c r="I195" s="343" t="s">
        <v>204</v>
      </c>
      <c r="J195" s="343" t="s">
        <v>376</v>
      </c>
      <c r="K195" s="337"/>
      <c r="M195" s="5"/>
      <c r="N195" s="5"/>
      <c r="O195" s="5"/>
      <c r="P195" s="5"/>
      <c r="Q195" s="5"/>
      <c r="V195" s="5"/>
      <c r="W195" s="5"/>
      <c r="X195" s="5"/>
      <c r="Y195" s="5"/>
      <c r="Z195" s="5"/>
      <c r="AA195" s="5"/>
      <c r="AB195" s="5"/>
      <c r="AC195" s="5"/>
      <c r="AD195" s="5"/>
      <c r="AE195" s="5"/>
      <c r="AF195" s="5"/>
      <c r="AG195" s="5"/>
      <c r="AH195" s="5"/>
      <c r="AI195" s="5"/>
      <c r="AJ195" s="5"/>
      <c r="AK195" s="5"/>
      <c r="AL195" s="5"/>
    </row>
    <row r="196" spans="1:38" ht="12.75">
      <c r="A196" s="314" t="s">
        <v>181</v>
      </c>
      <c r="B196" s="315">
        <f t="shared" si="48"/>
        <v>38.976</v>
      </c>
      <c r="C196" s="315">
        <f t="shared" si="49"/>
        <v>49.909000000000006</v>
      </c>
      <c r="D196" s="315">
        <f t="shared" si="50"/>
        <v>3.016</v>
      </c>
      <c r="E196" s="316"/>
      <c r="F196" s="5"/>
      <c r="G196" s="328">
        <v>1344</v>
      </c>
      <c r="H196" s="336">
        <f>'Cost-Effectiveness'!$B$18</f>
        <v>0.12</v>
      </c>
      <c r="I196" s="341">
        <f>B202</f>
        <v>280.16677898832677</v>
      </c>
      <c r="J196" s="358">
        <f>L202</f>
        <v>6199.813254687712</v>
      </c>
      <c r="K196" s="327"/>
      <c r="L196" s="119"/>
      <c r="M196" s="5"/>
      <c r="N196" s="5"/>
      <c r="O196" s="5"/>
      <c r="P196" s="5"/>
      <c r="Q196" s="5"/>
      <c r="V196" s="5"/>
      <c r="W196" s="5"/>
      <c r="X196" s="5"/>
      <c r="Y196" s="5"/>
      <c r="Z196" s="5"/>
      <c r="AA196" s="5"/>
      <c r="AB196" s="5"/>
      <c r="AC196" s="5"/>
      <c r="AD196" s="5"/>
      <c r="AE196" s="5"/>
      <c r="AF196" s="5"/>
      <c r="AG196" s="5"/>
      <c r="AH196" s="5"/>
      <c r="AI196" s="5"/>
      <c r="AJ196" s="5"/>
      <c r="AK196" s="5"/>
      <c r="AL196" s="5"/>
    </row>
    <row r="197" spans="1:38" ht="12.75">
      <c r="A197" s="314" t="s">
        <v>179</v>
      </c>
      <c r="B197" s="315">
        <f t="shared" si="48"/>
        <v>59.92217898832685</v>
      </c>
      <c r="C197" s="315">
        <f t="shared" si="49"/>
        <v>124.61089494163424</v>
      </c>
      <c r="D197" s="315">
        <f t="shared" si="50"/>
        <v>68.09338521400778</v>
      </c>
      <c r="E197" s="316"/>
      <c r="F197" s="5"/>
      <c r="G197" s="326">
        <v>2200</v>
      </c>
      <c r="H197" s="336">
        <f>'Cost-Effectiveness'!$C$18</f>
        <v>0.73</v>
      </c>
      <c r="I197" s="341">
        <f>C202</f>
        <v>452.18989494163424</v>
      </c>
      <c r="J197" s="358">
        <f>L203</f>
        <v>10803.760418586737</v>
      </c>
      <c r="K197" s="327"/>
      <c r="L197" s="119"/>
      <c r="M197" s="5"/>
      <c r="N197" s="5"/>
      <c r="O197" s="5"/>
      <c r="P197" s="5"/>
      <c r="Q197" s="5"/>
      <c r="V197" s="5"/>
      <c r="W197" s="5"/>
      <c r="X197" s="5"/>
      <c r="Y197" s="5"/>
      <c r="Z197" s="5"/>
      <c r="AA197" s="5"/>
      <c r="AB197" s="5"/>
      <c r="AC197" s="5"/>
      <c r="AD197" s="5"/>
      <c r="AE197" s="5"/>
      <c r="AF197" s="5"/>
      <c r="AG197" s="5"/>
      <c r="AH197" s="5"/>
      <c r="AI197" s="5"/>
      <c r="AJ197" s="5"/>
      <c r="AK197" s="5"/>
      <c r="AL197" s="5"/>
    </row>
    <row r="198" spans="1:38" ht="13.5" thickBot="1">
      <c r="A198" s="314" t="s">
        <v>219</v>
      </c>
      <c r="B198" s="315">
        <f t="shared" si="48"/>
        <v>7.22</v>
      </c>
      <c r="C198" s="315">
        <f t="shared" si="49"/>
        <v>10.45</v>
      </c>
      <c r="D198" s="315">
        <f t="shared" si="50"/>
        <v>16.91</v>
      </c>
      <c r="E198" s="316"/>
      <c r="F198" s="5"/>
      <c r="G198" s="338">
        <v>2283</v>
      </c>
      <c r="H198" s="339">
        <f>'Cost-Effectiveness'!$D$18</f>
        <v>0.15</v>
      </c>
      <c r="I198" s="342">
        <f>D202</f>
        <v>417.9725852140078</v>
      </c>
      <c r="J198" s="358">
        <f>L204</f>
        <v>11070.14560793901</v>
      </c>
      <c r="K198" s="340"/>
      <c r="L198" s="119"/>
      <c r="M198" s="5"/>
      <c r="N198" s="5"/>
      <c r="O198" s="5"/>
      <c r="P198" s="5"/>
      <c r="Q198" s="5"/>
      <c r="V198" s="5"/>
      <c r="W198" s="5"/>
      <c r="X198" s="5"/>
      <c r="Y198" s="5"/>
      <c r="Z198" s="5"/>
      <c r="AA198" s="5"/>
      <c r="AB198" s="5"/>
      <c r="AC198" s="5"/>
      <c r="AD198" s="5"/>
      <c r="AE198" s="5"/>
      <c r="AF198" s="5"/>
      <c r="AG198" s="5"/>
      <c r="AH198" s="5"/>
      <c r="AI198" s="5"/>
      <c r="AJ198" s="5"/>
      <c r="AK198" s="5"/>
      <c r="AL198" s="5"/>
    </row>
    <row r="199" spans="1:38" ht="13.5" thickBot="1">
      <c r="A199" s="314" t="s">
        <v>403</v>
      </c>
      <c r="B199" s="315">
        <f t="shared" si="48"/>
        <v>0</v>
      </c>
      <c r="C199" s="315">
        <f t="shared" si="49"/>
        <v>0</v>
      </c>
      <c r="D199" s="315">
        <f t="shared" si="50"/>
        <v>50.4</v>
      </c>
      <c r="E199" s="316"/>
      <c r="F199" s="5"/>
      <c r="G199" s="354">
        <f>SUMPRODUCT(G196:G198,H196:H198)</f>
        <v>2109.73</v>
      </c>
      <c r="H199" s="355">
        <f>SUM(H196:H198)</f>
        <v>1</v>
      </c>
      <c r="I199" s="356">
        <f>SUMPRODUCT($H196:$H198,I196:I198)</f>
        <v>426.4145245680934</v>
      </c>
      <c r="J199" s="356">
        <f>SUMPRODUCT($H196:$H198,J196:J198)</f>
        <v>10291.244537321694</v>
      </c>
      <c r="K199" s="357"/>
      <c r="L199" s="119"/>
      <c r="M199" s="5"/>
      <c r="N199" s="5"/>
      <c r="O199" s="5"/>
      <c r="P199" s="5"/>
      <c r="Q199" s="5"/>
      <c r="V199" s="5"/>
      <c r="W199" s="5"/>
      <c r="X199" s="5"/>
      <c r="Y199" s="5"/>
      <c r="Z199" s="5"/>
      <c r="AA199" s="5"/>
      <c r="AB199" s="5"/>
      <c r="AC199" s="5"/>
      <c r="AD199" s="5"/>
      <c r="AE199" s="5"/>
      <c r="AF199" s="5"/>
      <c r="AG199" s="5"/>
      <c r="AH199" s="5"/>
      <c r="AI199" s="5"/>
      <c r="AJ199" s="5"/>
      <c r="AK199" s="5"/>
      <c r="AL199" s="5"/>
    </row>
    <row r="200" spans="1:38" ht="13.5" thickBot="1">
      <c r="A200" s="314" t="s">
        <v>194</v>
      </c>
      <c r="B200" s="315">
        <f t="shared" si="48"/>
        <v>0</v>
      </c>
      <c r="C200" s="315">
        <f t="shared" si="49"/>
        <v>0</v>
      </c>
      <c r="D200" s="315">
        <f t="shared" si="50"/>
        <v>17.92</v>
      </c>
      <c r="E200" s="316"/>
      <c r="F200" s="5"/>
      <c r="G200" s="346" t="s">
        <v>23</v>
      </c>
      <c r="H200" s="347">
        <v>0</v>
      </c>
      <c r="I200" s="347">
        <v>0.07</v>
      </c>
      <c r="J200" s="347">
        <v>0.93</v>
      </c>
      <c r="K200" s="348">
        <v>0</v>
      </c>
      <c r="L200" s="131" t="s">
        <v>375</v>
      </c>
      <c r="M200" s="5"/>
      <c r="N200" s="5"/>
      <c r="O200" s="5"/>
      <c r="P200" s="5"/>
      <c r="Q200" s="5"/>
      <c r="V200" s="5"/>
      <c r="W200" s="5"/>
      <c r="X200" s="5"/>
      <c r="Y200" s="5"/>
      <c r="Z200" s="5"/>
      <c r="AA200" s="5"/>
      <c r="AB200" s="5"/>
      <c r="AC200" s="5"/>
      <c r="AD200" s="5"/>
      <c r="AE200" s="5"/>
      <c r="AF200" s="5"/>
      <c r="AG200" s="5"/>
      <c r="AH200" s="5"/>
      <c r="AI200" s="5"/>
      <c r="AJ200" s="5"/>
      <c r="AK200" s="5"/>
      <c r="AL200" s="5"/>
    </row>
    <row r="201" spans="1:38" ht="12.75">
      <c r="A201" s="317" t="s">
        <v>224</v>
      </c>
      <c r="B201" s="315">
        <f t="shared" si="48"/>
        <v>67.73759999999999</v>
      </c>
      <c r="C201" s="315">
        <f t="shared" si="49"/>
        <v>110.87999999999998</v>
      </c>
      <c r="D201" s="315">
        <f t="shared" si="50"/>
        <v>115.06319999999998</v>
      </c>
      <c r="E201" s="316"/>
      <c r="F201" s="5"/>
      <c r="G201" s="345"/>
      <c r="H201" s="343" t="s">
        <v>200</v>
      </c>
      <c r="I201" s="343" t="s">
        <v>201</v>
      </c>
      <c r="J201" s="343" t="s">
        <v>202</v>
      </c>
      <c r="K201" s="349" t="s">
        <v>203</v>
      </c>
      <c r="L201" s="353" t="s">
        <v>241</v>
      </c>
      <c r="M201" s="5"/>
      <c r="N201" s="5"/>
      <c r="O201" s="5"/>
      <c r="P201" s="5"/>
      <c r="Q201" s="5"/>
      <c r="V201" s="5"/>
      <c r="W201" s="5"/>
      <c r="X201" s="5"/>
      <c r="Y201" s="5"/>
      <c r="Z201" s="5"/>
      <c r="AA201" s="5"/>
      <c r="AB201" s="5"/>
      <c r="AC201" s="5"/>
      <c r="AD201" s="5"/>
      <c r="AE201" s="5"/>
      <c r="AF201" s="5"/>
      <c r="AG201" s="5"/>
      <c r="AH201" s="5"/>
      <c r="AI201" s="5"/>
      <c r="AJ201" s="5"/>
      <c r="AK201" s="5"/>
      <c r="AL201" s="5"/>
    </row>
    <row r="202" spans="1:38" ht="12.75">
      <c r="A202" s="318" t="s">
        <v>234</v>
      </c>
      <c r="B202" s="319">
        <f>SUM(B192:B201)</f>
        <v>280.16677898832677</v>
      </c>
      <c r="C202" s="319">
        <f>SUM(C192:C201)</f>
        <v>452.18989494163424</v>
      </c>
      <c r="D202" s="319">
        <f>SUM(D192:D201)</f>
        <v>417.9725852140078</v>
      </c>
      <c r="E202" s="319">
        <f>($B$58*B202)+($C$58*C202)+($D$58*D202)</f>
        <v>426.4145245680934</v>
      </c>
      <c r="F202" s="5"/>
      <c r="G202" s="328">
        <v>1344</v>
      </c>
      <c r="H202" s="329">
        <f>(0.0000000483*(I196^4))-(0.0001084986*(I196^3))+(0.0925864926*(I196^2))-(4.7266834675*I196)-483.6424651158</f>
        <v>3371.095674130022</v>
      </c>
      <c r="I202" s="329">
        <f>(0.0000000474*(I196^4))-(0.0001084079*(I196^3))+(0.0954489266*(I196^2))-(2.7783188788*I196)-729.4847470279</f>
        <v>3892.2521796010415</v>
      </c>
      <c r="J202" s="329">
        <f>(0.0000000513*(I196^4))-(0.0001129418*(I196^3))+(0.0942698734*(I196^2))+(9.7772074272*I196)-1597.6523413466</f>
        <v>6373.500647436171</v>
      </c>
      <c r="K202" s="350">
        <f>(0.000000039*(I196^4))-(0.0000915628*(I196^3))+(0.0826236708*(I196^2))+(18.7809842013*I196)-2317.0311644418</f>
        <v>7656.898595126044</v>
      </c>
      <c r="L202" s="330">
        <f>SUMPRODUCT(H202:K202,H$200:K$200)</f>
        <v>6199.813254687712</v>
      </c>
      <c r="M202" s="5"/>
      <c r="N202" s="5"/>
      <c r="O202" s="5"/>
      <c r="P202" s="5"/>
      <c r="Q202" s="5"/>
      <c r="V202" s="5"/>
      <c r="W202" s="5"/>
      <c r="X202" s="5"/>
      <c r="Y202" s="5"/>
      <c r="Z202" s="5"/>
      <c r="AA202" s="5"/>
      <c r="AB202" s="5"/>
      <c r="AC202" s="5"/>
      <c r="AD202" s="5"/>
      <c r="AE202" s="5"/>
      <c r="AF202" s="5"/>
      <c r="AG202" s="5"/>
      <c r="AH202" s="5"/>
      <c r="AI202" s="5"/>
      <c r="AJ202" s="5"/>
      <c r="AK202" s="5"/>
      <c r="AL202" s="5"/>
    </row>
    <row r="203" spans="1:15" ht="12.75">
      <c r="A203" s="320" t="s">
        <v>235</v>
      </c>
      <c r="B203" s="319">
        <f>J196</f>
        <v>6199.813254687712</v>
      </c>
      <c r="C203" s="319">
        <f>J197</f>
        <v>10803.760418586737</v>
      </c>
      <c r="D203" s="319">
        <f>J198</f>
        <v>11070.14560793901</v>
      </c>
      <c r="E203" s="319">
        <f>($B$58*B203)+($C$58*C203)+($D$58*D203)</f>
        <v>10291.244537321694</v>
      </c>
      <c r="F203" s="5"/>
      <c r="G203" s="326">
        <v>2200</v>
      </c>
      <c r="H203" s="331">
        <f>(0.000000056*(I197^4))-(0.0001293162*(I197^3))+(0.1156141553*(I197^2))-(18.8087825498*I197)+800.0127173394</f>
        <v>6319.719720610164</v>
      </c>
      <c r="I203" s="331">
        <f>(0.0000000611*(I197^4))-(0.0001407997*(I197^3))+(0.1260787774*(I197^2))-(19.4407217456*I197)+750.1493216982</f>
        <v>7275.30773366981</v>
      </c>
      <c r="J203" s="331">
        <f>(0.0000000511*(I197^4))-(0.0001207491*(I197^3))+(0.1113962896*(I197^2))-(4.5813153206*I197)-608.689338736</f>
        <v>11069.342878741772</v>
      </c>
      <c r="K203" s="351">
        <f>(0.0000000657*(I197^4))-(0.0001522392*(I197^3))+(0.1356085946*(I197^2))-(5.4819652547*I197)-693.95778761</f>
        <v>13226.435460496627</v>
      </c>
      <c r="L203" s="332">
        <f>SUMPRODUCT(H203:K203,H$200:K$200)</f>
        <v>10803.760418586737</v>
      </c>
      <c r="M203" s="5"/>
      <c r="N203" s="5"/>
      <c r="O203" s="5"/>
    </row>
    <row r="204" spans="1:21" ht="13.5" thickBot="1">
      <c r="A204" s="320" t="s">
        <v>236</v>
      </c>
      <c r="B204" s="321">
        <f>B203/B191</f>
        <v>4.612956290690262</v>
      </c>
      <c r="C204" s="321">
        <f>C203/C191</f>
        <v>4.9108001902666985</v>
      </c>
      <c r="D204" s="321">
        <f>D203/D191</f>
        <v>4.848946827831367</v>
      </c>
      <c r="E204" s="321">
        <f>E203/E191</f>
        <v>4.87799127723533</v>
      </c>
      <c r="F204" s="5"/>
      <c r="G204" s="333">
        <v>2283</v>
      </c>
      <c r="H204" s="334">
        <f>(0.000000054*(I198^4))-(0.000122834*(I198^3))+(0.1063388451*(I198^2))-(11.4924855517*I198)+92.1054607712</f>
        <v>6544.807164898232</v>
      </c>
      <c r="I204" s="334">
        <f>(0.0000000587*(I198^4))-(0.0001305165*(I198^3))+(0.1120964665*(I198^2))-(9.8925545335*I198)-175.4426063598</f>
        <v>7534.317120138739</v>
      </c>
      <c r="J204" s="334">
        <f>(0.0000000536*(I198^4))-(0.0001217652*(I198^3))+(0.105850127*(I198^2))+(2.9356430387*I198)-1127.4369636912</f>
        <v>11336.283236053008</v>
      </c>
      <c r="K204" s="352">
        <f>(0.0000000456*(I198^4))-(0.0001041814*(I198^3))+(0.0932589495*(I198^2))+(12.972079966*I198)-2042.1552509592</f>
        <v>13456.63805886864</v>
      </c>
      <c r="L204" s="335">
        <f>SUMPRODUCT(H204:K204,H$200:K$200)</f>
        <v>11070.14560793901</v>
      </c>
      <c r="M204" s="5"/>
      <c r="N204" s="5"/>
      <c r="O204" s="5"/>
      <c r="S204" s="119"/>
      <c r="T204" s="119"/>
      <c r="U204" s="119"/>
    </row>
    <row r="205" spans="1:21" ht="12.75">
      <c r="A205" s="134"/>
      <c r="D205" s="133"/>
      <c r="E205" s="133"/>
      <c r="F205" s="5"/>
      <c r="G205" s="5"/>
      <c r="H205" s="5"/>
      <c r="K205" s="5"/>
      <c r="L205" s="5"/>
      <c r="M205" s="5"/>
      <c r="N205" s="5"/>
      <c r="O205" s="5"/>
      <c r="S205" s="119"/>
      <c r="T205" s="119"/>
      <c r="U205" s="119"/>
    </row>
    <row r="206" spans="1:21" ht="12.75">
      <c r="A206" s="155" t="s">
        <v>253</v>
      </c>
      <c r="B206" s="155">
        <v>1344</v>
      </c>
      <c r="C206" s="155">
        <v>2200</v>
      </c>
      <c r="D206" s="155">
        <v>2283</v>
      </c>
      <c r="E206" s="313">
        <f>$E$59</f>
        <v>2109.73</v>
      </c>
      <c r="F206" s="5"/>
      <c r="G206" s="5"/>
      <c r="H206" s="5"/>
      <c r="K206" s="5"/>
      <c r="L206" s="5"/>
      <c r="M206" s="5"/>
      <c r="N206" s="5"/>
      <c r="O206" s="5"/>
      <c r="S206" s="119"/>
      <c r="T206" s="119"/>
      <c r="U206" s="119"/>
    </row>
    <row r="207" spans="1:21" ht="12.75">
      <c r="A207" s="314" t="s">
        <v>353</v>
      </c>
      <c r="B207" s="315">
        <f>VLOOKUP($A207,$A$5:$I$48,7,0)</f>
        <v>62.781</v>
      </c>
      <c r="C207" s="315">
        <f>VLOOKUP($A207,$A$5:$I$48,8,0)</f>
        <v>108.222</v>
      </c>
      <c r="D207" s="315">
        <f>VLOOKUP($A207,$A$5:$I$48,9,0)</f>
        <v>92.66699999999999</v>
      </c>
      <c r="E207" s="316"/>
      <c r="F207" s="5"/>
      <c r="G207" s="5"/>
      <c r="H207" s="5"/>
      <c r="K207" s="5"/>
      <c r="L207" s="5"/>
      <c r="M207" s="5"/>
      <c r="N207" s="5"/>
      <c r="O207" s="5"/>
      <c r="S207" s="119"/>
      <c r="T207" s="119"/>
      <c r="U207" s="119"/>
    </row>
    <row r="208" spans="1:21" ht="12.75">
      <c r="A208" s="314" t="s">
        <v>212</v>
      </c>
      <c r="B208" s="315">
        <f aca="true" t="shared" si="51" ref="B208:B216">VLOOKUP($A208,$A$5:$I$48,7,0)</f>
        <v>29.759999999999998</v>
      </c>
      <c r="C208" s="315">
        <f aca="true" t="shared" si="52" ref="C208:C216">VLOOKUP($A208,$A$5:$I$48,8,0)</f>
        <v>24.862</v>
      </c>
      <c r="D208" s="315">
        <f aca="true" t="shared" si="53" ref="D208:D216">VLOOKUP($A208,$A$5:$I$48,9,0)</f>
        <v>37.138</v>
      </c>
      <c r="E208" s="316"/>
      <c r="F208" s="5"/>
      <c r="G208" s="5"/>
      <c r="H208" s="5"/>
      <c r="K208" s="5"/>
      <c r="L208" s="5"/>
      <c r="M208" s="5"/>
      <c r="N208" s="5"/>
      <c r="O208" s="5"/>
      <c r="S208" s="119"/>
      <c r="T208" s="119"/>
      <c r="U208" s="119"/>
    </row>
    <row r="209" spans="1:21" ht="13.5" thickBot="1">
      <c r="A209" s="314" t="s">
        <v>183</v>
      </c>
      <c r="B209" s="315">
        <f t="shared" si="51"/>
        <v>0</v>
      </c>
      <c r="C209" s="315">
        <f t="shared" si="52"/>
        <v>0</v>
      </c>
      <c r="D209" s="315">
        <f t="shared" si="53"/>
        <v>16.765</v>
      </c>
      <c r="E209" s="316"/>
      <c r="F209" s="5"/>
      <c r="G209" s="5"/>
      <c r="H209" s="5"/>
      <c r="K209" s="5"/>
      <c r="L209" s="5"/>
      <c r="M209" s="5"/>
      <c r="N209" s="5"/>
      <c r="O209" s="5"/>
      <c r="S209" s="119"/>
      <c r="T209" s="119"/>
      <c r="U209" s="119"/>
    </row>
    <row r="210" spans="1:21" ht="12.75">
      <c r="A210" s="314" t="s">
        <v>331</v>
      </c>
      <c r="B210" s="315">
        <f t="shared" si="51"/>
        <v>13.770000000000001</v>
      </c>
      <c r="C210" s="315">
        <f t="shared" si="52"/>
        <v>23.256</v>
      </c>
      <c r="D210" s="315">
        <f t="shared" si="53"/>
        <v>0</v>
      </c>
      <c r="E210" s="316"/>
      <c r="F210" s="5"/>
      <c r="G210" s="344" t="s">
        <v>374</v>
      </c>
      <c r="H210" s="343" t="s">
        <v>23</v>
      </c>
      <c r="I210" s="343" t="s">
        <v>204</v>
      </c>
      <c r="J210" s="343" t="s">
        <v>376</v>
      </c>
      <c r="K210" s="337"/>
      <c r="M210" s="5"/>
      <c r="N210" s="5"/>
      <c r="O210" s="5"/>
      <c r="S210" s="119"/>
      <c r="T210" s="119"/>
      <c r="U210" s="119"/>
    </row>
    <row r="211" spans="1:21" ht="12.75">
      <c r="A211" s="314" t="s">
        <v>357</v>
      </c>
      <c r="B211" s="315">
        <f t="shared" si="51"/>
        <v>29.567999999999998</v>
      </c>
      <c r="C211" s="315">
        <f t="shared" si="52"/>
        <v>37.861999999999995</v>
      </c>
      <c r="D211" s="315">
        <f t="shared" si="53"/>
        <v>2.288</v>
      </c>
      <c r="E211" s="316"/>
      <c r="F211" s="5"/>
      <c r="G211" s="328">
        <v>1344</v>
      </c>
      <c r="H211" s="336">
        <f>'Cost-Effectiveness'!$B$18</f>
        <v>0.12</v>
      </c>
      <c r="I211" s="341">
        <f>B217</f>
        <v>270.75877898832687</v>
      </c>
      <c r="J211" s="358">
        <f>L217</f>
        <v>7217.386612961158</v>
      </c>
      <c r="K211" s="327"/>
      <c r="L211" s="119"/>
      <c r="M211" s="5"/>
      <c r="S211" s="119"/>
      <c r="T211" s="119"/>
      <c r="U211" s="119"/>
    </row>
    <row r="212" spans="1:21" ht="12.75">
      <c r="A212" s="314" t="s">
        <v>179</v>
      </c>
      <c r="B212" s="315">
        <f t="shared" si="51"/>
        <v>59.92217898832685</v>
      </c>
      <c r="C212" s="315">
        <f t="shared" si="52"/>
        <v>124.61089494163424</v>
      </c>
      <c r="D212" s="315">
        <f t="shared" si="53"/>
        <v>68.09338521400778</v>
      </c>
      <c r="E212" s="316"/>
      <c r="F212" s="5"/>
      <c r="G212" s="326">
        <v>2200</v>
      </c>
      <c r="H212" s="336">
        <f>'Cost-Effectiveness'!$C$18</f>
        <v>0.73</v>
      </c>
      <c r="I212" s="341">
        <f>C217</f>
        <v>440.1428949416342</v>
      </c>
      <c r="J212" s="358">
        <f>L218</f>
        <v>12648.789852034086</v>
      </c>
      <c r="K212" s="327"/>
      <c r="L212" s="119"/>
      <c r="M212" s="5"/>
      <c r="S212" s="119"/>
      <c r="T212" s="119"/>
      <c r="U212" s="119"/>
    </row>
    <row r="213" spans="1:21" ht="13.5" thickBot="1">
      <c r="A213" s="314" t="s">
        <v>219</v>
      </c>
      <c r="B213" s="315">
        <f t="shared" si="51"/>
        <v>7.22</v>
      </c>
      <c r="C213" s="315">
        <f t="shared" si="52"/>
        <v>10.45</v>
      </c>
      <c r="D213" s="315">
        <f t="shared" si="53"/>
        <v>16.91</v>
      </c>
      <c r="E213" s="316"/>
      <c r="F213" s="5"/>
      <c r="G213" s="338">
        <v>2283</v>
      </c>
      <c r="H213" s="339">
        <f>'Cost-Effectiveness'!$D$18</f>
        <v>0.15</v>
      </c>
      <c r="I213" s="342">
        <f>D217</f>
        <v>417.24458521400777</v>
      </c>
      <c r="J213" s="358">
        <f>L219</f>
        <v>13420.499460221228</v>
      </c>
      <c r="K213" s="340"/>
      <c r="L213" s="119"/>
      <c r="S213" s="131"/>
      <c r="T213" s="131"/>
      <c r="U213" s="131"/>
    </row>
    <row r="214" spans="1:12" ht="13.5" thickBot="1">
      <c r="A214" s="361" t="s">
        <v>403</v>
      </c>
      <c r="B214" s="315">
        <f t="shared" si="51"/>
        <v>0</v>
      </c>
      <c r="C214" s="315">
        <f t="shared" si="52"/>
        <v>0</v>
      </c>
      <c r="D214" s="315">
        <f t="shared" si="53"/>
        <v>50.4</v>
      </c>
      <c r="E214" s="316"/>
      <c r="F214" s="5"/>
      <c r="G214" s="354">
        <f>SUMPRODUCT(G211:G213,H211:H213)</f>
        <v>2109.73</v>
      </c>
      <c r="H214" s="355">
        <f>SUM(H211:H213)</f>
        <v>1</v>
      </c>
      <c r="I214" s="356">
        <f>SUMPRODUCT($H211:$H213,I211:I213)</f>
        <v>416.3820545680934</v>
      </c>
      <c r="J214" s="356">
        <f>SUMPRODUCT($H211:$H213,J211:J213)</f>
        <v>12112.777904573406</v>
      </c>
      <c r="K214" s="357"/>
      <c r="L214" s="119"/>
    </row>
    <row r="215" spans="1:12" ht="13.5" thickBot="1">
      <c r="A215" s="314" t="s">
        <v>194</v>
      </c>
      <c r="B215" s="315">
        <f t="shared" si="51"/>
        <v>0</v>
      </c>
      <c r="C215" s="315">
        <f t="shared" si="52"/>
        <v>0</v>
      </c>
      <c r="D215" s="315">
        <f t="shared" si="53"/>
        <v>17.92</v>
      </c>
      <c r="E215" s="316"/>
      <c r="F215" s="5"/>
      <c r="G215" s="346" t="s">
        <v>23</v>
      </c>
      <c r="H215" s="347">
        <v>0</v>
      </c>
      <c r="I215" s="347">
        <v>0</v>
      </c>
      <c r="J215" s="347">
        <v>0</v>
      </c>
      <c r="K215" s="348">
        <v>1</v>
      </c>
      <c r="L215" s="131" t="s">
        <v>375</v>
      </c>
    </row>
    <row r="216" spans="1:12" ht="12.75">
      <c r="A216" s="317" t="s">
        <v>224</v>
      </c>
      <c r="B216" s="315">
        <f t="shared" si="51"/>
        <v>67.73759999999999</v>
      </c>
      <c r="C216" s="315">
        <f t="shared" si="52"/>
        <v>110.87999999999998</v>
      </c>
      <c r="D216" s="315">
        <f t="shared" si="53"/>
        <v>115.06319999999998</v>
      </c>
      <c r="E216" s="316"/>
      <c r="F216" s="5"/>
      <c r="G216" s="345"/>
      <c r="H216" s="343" t="s">
        <v>200</v>
      </c>
      <c r="I216" s="343" t="s">
        <v>201</v>
      </c>
      <c r="J216" s="343" t="s">
        <v>202</v>
      </c>
      <c r="K216" s="349" t="s">
        <v>203</v>
      </c>
      <c r="L216" s="353" t="s">
        <v>242</v>
      </c>
    </row>
    <row r="217" spans="1:12" ht="12.75">
      <c r="A217" s="318" t="s">
        <v>234</v>
      </c>
      <c r="B217" s="319">
        <f>SUM(B207:B216)</f>
        <v>270.75877898832687</v>
      </c>
      <c r="C217" s="319">
        <f>SUM(C207:C216)</f>
        <v>440.1428949416342</v>
      </c>
      <c r="D217" s="319">
        <f>SUM(D207:D216)</f>
        <v>417.24458521400777</v>
      </c>
      <c r="E217" s="319">
        <f>($B$58*B217)+($C$58*C217)+($D$58*D217)</f>
        <v>416.3820545680934</v>
      </c>
      <c r="F217" s="5"/>
      <c r="G217" s="328">
        <v>1344</v>
      </c>
      <c r="H217" s="329">
        <f>(0.0000000483*(I211^4))-(0.0001084986*(I211^3))+(0.0925864926*(I211^2))-(4.7266834675*I211)-483.6424651158</f>
        <v>3130.061811360088</v>
      </c>
      <c r="I217" s="329">
        <f>(0.0000000474*(I211^4))-(0.0001084079*(I211^3))+(0.0954489266*(I211^2))-(2.7783188788*I211)-729.4847470279</f>
        <v>3618.5656681251858</v>
      </c>
      <c r="J217" s="329">
        <f>(0.0000000513*(I211^4))-(0.0001129418*(I211^3))+(0.0942698734*(I211^2))+(9.7772074272*I211)-1597.6523413466</f>
        <v>5994.445204586193</v>
      </c>
      <c r="K217" s="350">
        <f>(0.000000039*(I211^4))-(0.0000915628*(I211^3))+(0.0826236708*(I211^2))+(18.7809842013*I211)-2317.0311644418</f>
        <v>7217.386612961158</v>
      </c>
      <c r="L217" s="330">
        <f>SUMPRODUCT(H217:K217,H$215:K$215)</f>
        <v>7217.386612961158</v>
      </c>
    </row>
    <row r="218" spans="1:12" ht="12.75">
      <c r="A218" s="320" t="s">
        <v>235</v>
      </c>
      <c r="B218" s="319">
        <f>J211</f>
        <v>7217.386612961158</v>
      </c>
      <c r="C218" s="319">
        <f>J212</f>
        <v>12648.789852034086</v>
      </c>
      <c r="D218" s="319">
        <f>J213</f>
        <v>13420.499460221228</v>
      </c>
      <c r="E218" s="319">
        <f>($B$58*B218)+($C$58*C218)+($D$58*D218)</f>
        <v>12112.777904573406</v>
      </c>
      <c r="F218" s="5"/>
      <c r="G218" s="326">
        <v>2200</v>
      </c>
      <c r="H218" s="331">
        <f>(0.000000056*(I212^4))-(0.0001293162*(I212^3))+(0.1156141553*(I212^2))-(18.8087825498*I212)+800.0127173394</f>
        <v>5994.156381301001</v>
      </c>
      <c r="I218" s="331">
        <f>(0.0000000611*(I212^4))-(0.0001407997*(I212^3))+(0.1260787774*(I212^2))-(19.4407217456*I212)+750.1493216982</f>
        <v>6905.653896545176</v>
      </c>
      <c r="J218" s="331">
        <f>(0.0000000511*(I212^4))-(0.0001207491*(I212^3))+(0.1113962896*(I212^2))-(4.5813153206*I212)-608.689338736</f>
        <v>10577.059358638613</v>
      </c>
      <c r="K218" s="351">
        <f>(0.0000000657*(I212^4))-(0.0001522392*(I212^3))+(0.1356085946*(I212^2))-(5.4819652547*I212)-693.95778761</f>
        <v>12648.789852034086</v>
      </c>
      <c r="L218" s="332">
        <f>SUMPRODUCT(H218:K218,H$215:K$215)</f>
        <v>12648.789852034086</v>
      </c>
    </row>
    <row r="219" spans="1:12" ht="13.5" thickBot="1">
      <c r="A219" s="320" t="s">
        <v>236</v>
      </c>
      <c r="B219" s="321">
        <f>B218/B206</f>
        <v>5.370079325119909</v>
      </c>
      <c r="C219" s="321">
        <f>C218/C206</f>
        <v>5.749449932742766</v>
      </c>
      <c r="D219" s="321">
        <f>D218/D206</f>
        <v>5.878449172238821</v>
      </c>
      <c r="E219" s="321">
        <f>E218/E206</f>
        <v>5.741387715287456</v>
      </c>
      <c r="F219" s="5"/>
      <c r="G219" s="333">
        <v>2283</v>
      </c>
      <c r="H219" s="334">
        <f>(0.000000054*(I213^4))-(0.000122834*(I213^3))+(0.1063388451*(I213^2))-(11.4924855517*I213)+92.1054607712</f>
        <v>6523.848680196764</v>
      </c>
      <c r="I219" s="334">
        <f>(0.0000000587*(I213^4))-(0.0001305165*(I213^3))+(0.1120964665*(I213^2))-(9.8925545335*I213)-175.4426063598</f>
        <v>7510.622389516487</v>
      </c>
      <c r="J219" s="334">
        <f>(0.0000000536*(I213^4))-(0.0001217652*(I213^3))+(0.105850127*(I213^2))+(2.9356430387*I213)-1127.4369636912</f>
        <v>11304.795977267333</v>
      </c>
      <c r="K219" s="352">
        <f>(0.0000000456*(I213^4))-(0.0001041814*(I213^3))+(0.0932589495*(I213^2))+(12.972079966*I213)-2042.1552509592</f>
        <v>13420.499460221228</v>
      </c>
      <c r="L219" s="335">
        <f>SUMPRODUCT(H219:K219,H$215:K$215)</f>
        <v>13420.499460221228</v>
      </c>
    </row>
    <row r="220" spans="6:12" ht="12.75">
      <c r="F220" s="5"/>
      <c r="G220" s="5"/>
      <c r="H220" s="5"/>
      <c r="K220" s="5"/>
      <c r="L220" s="5"/>
    </row>
    <row r="221" spans="1:12" ht="12.75">
      <c r="A221" s="132"/>
      <c r="B221" s="128"/>
      <c r="C221" s="128"/>
      <c r="D221" s="128"/>
      <c r="E221" s="131"/>
      <c r="F221" s="5"/>
      <c r="G221" s="5"/>
      <c r="H221" s="5"/>
      <c r="K221" s="5"/>
      <c r="L221" s="5"/>
    </row>
    <row r="222" spans="1:12" ht="12.75">
      <c r="A222" s="123"/>
      <c r="B222" s="119"/>
      <c r="C222" s="119"/>
      <c r="D222" s="119"/>
      <c r="E222" s="131"/>
      <c r="F222" s="5"/>
      <c r="G222" s="5"/>
      <c r="H222" s="5"/>
      <c r="K222" s="5"/>
      <c r="L222" s="5"/>
    </row>
    <row r="223" spans="1:12" ht="12.75">
      <c r="A223" s="123"/>
      <c r="B223" s="119"/>
      <c r="C223" s="119"/>
      <c r="D223" s="119"/>
      <c r="E223" s="131"/>
      <c r="F223" s="5"/>
      <c r="G223" s="5"/>
      <c r="H223" s="5"/>
      <c r="K223" s="5"/>
      <c r="L223" s="5"/>
    </row>
    <row r="224" spans="1:12" ht="12.75">
      <c r="A224" s="123"/>
      <c r="B224" s="119"/>
      <c r="C224" s="119"/>
      <c r="D224" s="119"/>
      <c r="E224" s="131"/>
      <c r="F224" s="5"/>
      <c r="G224" s="5"/>
      <c r="H224" s="5"/>
      <c r="K224" s="5"/>
      <c r="L224" s="5"/>
    </row>
    <row r="225" spans="1:12" ht="12.75">
      <c r="A225" s="123"/>
      <c r="B225" s="119"/>
      <c r="C225" s="119"/>
      <c r="D225" s="119"/>
      <c r="E225" s="131"/>
      <c r="F225" s="5"/>
      <c r="G225" s="5"/>
      <c r="H225" s="5"/>
      <c r="K225" s="5"/>
      <c r="L225" s="5"/>
    </row>
    <row r="226" spans="1:12" ht="12.75">
      <c r="A226" s="136"/>
      <c r="B226" s="119"/>
      <c r="C226" s="119"/>
      <c r="D226" s="119"/>
      <c r="E226" s="131"/>
      <c r="F226" s="5"/>
      <c r="G226" s="5"/>
      <c r="H226" s="5"/>
      <c r="K226" s="5"/>
      <c r="L226" s="5"/>
    </row>
    <row r="227" spans="1:12" ht="12.75">
      <c r="A227" s="123"/>
      <c r="B227" s="119"/>
      <c r="C227" s="119"/>
      <c r="D227" s="119"/>
      <c r="E227" s="131"/>
      <c r="F227" s="5"/>
      <c r="G227" s="5"/>
      <c r="H227" s="5"/>
      <c r="K227" s="5"/>
      <c r="L227" s="5"/>
    </row>
    <row r="228" spans="1:12" ht="12.75">
      <c r="A228" s="123"/>
      <c r="B228" s="119"/>
      <c r="C228" s="119"/>
      <c r="D228" s="119"/>
      <c r="E228" s="131"/>
      <c r="F228" s="5"/>
      <c r="G228" s="5"/>
      <c r="H228" s="5"/>
      <c r="K228" s="5"/>
      <c r="L228" s="5"/>
    </row>
    <row r="229" spans="1:12" ht="12.75">
      <c r="A229" s="123"/>
      <c r="B229" s="119"/>
      <c r="C229" s="119"/>
      <c r="D229" s="119"/>
      <c r="E229" s="131"/>
      <c r="F229" s="5"/>
      <c r="G229" s="5"/>
      <c r="H229" s="5"/>
      <c r="K229" s="5"/>
      <c r="L229" s="5"/>
    </row>
    <row r="230" spans="1:12" ht="12.75">
      <c r="A230" s="121"/>
      <c r="B230" s="119"/>
      <c r="C230" s="119"/>
      <c r="D230" s="119"/>
      <c r="E230" s="131"/>
      <c r="F230" s="5"/>
      <c r="G230" s="5"/>
      <c r="H230" s="5"/>
      <c r="K230" s="5"/>
      <c r="L230" s="5"/>
    </row>
    <row r="231" spans="1:12" ht="12.75">
      <c r="A231" s="128"/>
      <c r="B231" s="131"/>
      <c r="C231" s="131"/>
      <c r="D231" s="131"/>
      <c r="E231" s="131"/>
      <c r="F231" s="5"/>
      <c r="G231" s="5"/>
      <c r="H231" s="5"/>
      <c r="K231" s="5"/>
      <c r="L231" s="5"/>
    </row>
    <row r="232" spans="1:12" ht="12.75">
      <c r="A232" s="132"/>
      <c r="B232" s="131"/>
      <c r="C232" s="131"/>
      <c r="D232" s="131"/>
      <c r="E232" s="131"/>
      <c r="F232" s="5"/>
      <c r="G232" s="5"/>
      <c r="H232" s="5"/>
      <c r="K232" s="5"/>
      <c r="L232" s="5"/>
    </row>
    <row r="233" spans="1:12" ht="12.75">
      <c r="A233" s="132"/>
      <c r="B233" s="133"/>
      <c r="C233" s="133"/>
      <c r="D233" s="133"/>
      <c r="E233" s="133"/>
      <c r="F233" s="5"/>
      <c r="G233" s="5"/>
      <c r="K233" s="5"/>
      <c r="L233" s="5"/>
    </row>
    <row r="234" spans="1:12" ht="12.75">
      <c r="A234" s="134"/>
      <c r="D234" s="133"/>
      <c r="E234" s="133"/>
      <c r="F234" s="5"/>
      <c r="K234" s="5"/>
      <c r="L234" s="5"/>
    </row>
    <row r="235" spans="1:12" ht="12.75">
      <c r="A235" s="134"/>
      <c r="D235" s="133"/>
      <c r="E235" s="133"/>
      <c r="F235" s="5"/>
      <c r="K235" s="5"/>
      <c r="L235" s="5"/>
    </row>
    <row r="236" spans="1:12" ht="12.75">
      <c r="A236" s="132"/>
      <c r="B236" s="128"/>
      <c r="C236" s="128"/>
      <c r="D236" s="128"/>
      <c r="E236" s="131"/>
      <c r="F236" s="5"/>
      <c r="K236" s="5"/>
      <c r="L236" s="5"/>
    </row>
    <row r="237" spans="1:12" ht="12.75">
      <c r="A237" s="123"/>
      <c r="B237" s="119"/>
      <c r="C237" s="119"/>
      <c r="D237" s="119"/>
      <c r="E237" s="131"/>
      <c r="F237" s="5"/>
      <c r="K237" s="5"/>
      <c r="L237" s="5"/>
    </row>
    <row r="238" spans="1:12" ht="12.75">
      <c r="A238" s="123"/>
      <c r="B238" s="119"/>
      <c r="C238" s="119"/>
      <c r="D238" s="119"/>
      <c r="E238" s="131"/>
      <c r="F238" s="5"/>
      <c r="K238" s="5"/>
      <c r="L238" s="5"/>
    </row>
    <row r="239" spans="1:12" ht="12.75">
      <c r="A239" s="123"/>
      <c r="B239" s="119"/>
      <c r="C239" s="119"/>
      <c r="D239" s="119"/>
      <c r="E239" s="131"/>
      <c r="F239" s="5"/>
      <c r="K239" s="5"/>
      <c r="L239" s="5"/>
    </row>
    <row r="240" spans="1:12" ht="12.75">
      <c r="A240" s="123"/>
      <c r="B240" s="119"/>
      <c r="C240" s="119"/>
      <c r="D240" s="119"/>
      <c r="E240" s="131"/>
      <c r="F240" s="5"/>
      <c r="K240" s="5"/>
      <c r="L240" s="5"/>
    </row>
    <row r="241" spans="1:12" ht="12.75">
      <c r="A241" s="136"/>
      <c r="B241" s="119"/>
      <c r="C241" s="119"/>
      <c r="D241" s="119"/>
      <c r="E241" s="131"/>
      <c r="F241" s="5"/>
      <c r="K241" s="5"/>
      <c r="L241" s="5"/>
    </row>
    <row r="242" spans="1:12" ht="12.75">
      <c r="A242" s="123"/>
      <c r="B242" s="119"/>
      <c r="C242" s="119"/>
      <c r="D242" s="119"/>
      <c r="E242" s="131"/>
      <c r="F242" s="5"/>
      <c r="K242" s="5"/>
      <c r="L242" s="5"/>
    </row>
    <row r="243" spans="1:12" ht="12.75">
      <c r="A243" s="123"/>
      <c r="B243" s="119"/>
      <c r="C243" s="119"/>
      <c r="D243" s="119"/>
      <c r="E243" s="131"/>
      <c r="F243" s="5"/>
      <c r="L243" s="5"/>
    </row>
    <row r="244" spans="1:12" ht="12.75">
      <c r="A244" s="123"/>
      <c r="B244" s="119"/>
      <c r="C244" s="119"/>
      <c r="D244" s="119"/>
      <c r="E244" s="131"/>
      <c r="F244" s="5"/>
      <c r="L244" s="5"/>
    </row>
    <row r="245" spans="1:12" ht="12.75">
      <c r="A245" s="121"/>
      <c r="B245" s="119"/>
      <c r="C245" s="119"/>
      <c r="D245" s="119"/>
      <c r="E245" s="131"/>
      <c r="F245" s="5"/>
      <c r="L245" s="5"/>
    </row>
    <row r="246" spans="1:12" ht="12.75">
      <c r="A246" s="128"/>
      <c r="B246" s="131"/>
      <c r="C246" s="131"/>
      <c r="D246" s="131"/>
      <c r="E246" s="131"/>
      <c r="F246" s="5"/>
      <c r="L246" s="5"/>
    </row>
    <row r="247" spans="1:12" ht="12.75">
      <c r="A247" s="132"/>
      <c r="B247" s="131"/>
      <c r="C247" s="131"/>
      <c r="D247" s="131"/>
      <c r="E247" s="131"/>
      <c r="L247" s="5"/>
    </row>
    <row r="248" spans="1:12" ht="12.75">
      <c r="A248" s="132"/>
      <c r="B248" s="133"/>
      <c r="C248" s="133"/>
      <c r="D248" s="133"/>
      <c r="E248" s="133"/>
      <c r="L248" s="5"/>
    </row>
    <row r="249" ht="12.75">
      <c r="L249" s="5"/>
    </row>
    <row r="251" spans="1:5" ht="12.75">
      <c r="A251" s="132"/>
      <c r="B251" s="128"/>
      <c r="C251" s="128"/>
      <c r="D251" s="128"/>
      <c r="E251" s="131"/>
    </row>
    <row r="252" spans="1:5" ht="12.75">
      <c r="A252" s="123"/>
      <c r="B252" s="119"/>
      <c r="C252" s="119"/>
      <c r="D252" s="119"/>
      <c r="E252" s="131"/>
    </row>
    <row r="253" spans="1:5" ht="12.75">
      <c r="A253" s="123"/>
      <c r="B253" s="119"/>
      <c r="C253" s="119"/>
      <c r="D253" s="119"/>
      <c r="E253" s="131"/>
    </row>
    <row r="254" spans="1:5" ht="12.75">
      <c r="A254" s="123"/>
      <c r="B254" s="119"/>
      <c r="C254" s="119"/>
      <c r="D254" s="119"/>
      <c r="E254" s="131"/>
    </row>
    <row r="255" spans="1:5" ht="12.75">
      <c r="A255" s="123"/>
      <c r="B255" s="119"/>
      <c r="C255" s="119"/>
      <c r="D255" s="119"/>
      <c r="E255" s="131"/>
    </row>
    <row r="256" spans="1:5" ht="12.75">
      <c r="A256" s="136"/>
      <c r="B256" s="119"/>
      <c r="C256" s="119"/>
      <c r="D256" s="119"/>
      <c r="E256" s="131"/>
    </row>
    <row r="257" spans="1:5" ht="12.75">
      <c r="A257" s="123"/>
      <c r="B257" s="119"/>
      <c r="C257" s="119"/>
      <c r="D257" s="119"/>
      <c r="E257" s="131"/>
    </row>
    <row r="258" spans="1:5" ht="12.75">
      <c r="A258" s="123"/>
      <c r="B258" s="119"/>
      <c r="C258" s="119"/>
      <c r="D258" s="119"/>
      <c r="E258" s="131"/>
    </row>
    <row r="259" spans="1:5" ht="12.75">
      <c r="A259" s="123"/>
      <c r="B259" s="119"/>
      <c r="C259" s="119"/>
      <c r="D259" s="119"/>
      <c r="E259" s="131"/>
    </row>
    <row r="260" spans="1:5" ht="12.75">
      <c r="A260" s="121"/>
      <c r="B260" s="119"/>
      <c r="C260" s="119"/>
      <c r="D260" s="119"/>
      <c r="E260" s="131"/>
    </row>
    <row r="261" spans="1:5" ht="12.75">
      <c r="A261" s="128"/>
      <c r="B261" s="131"/>
      <c r="C261" s="131"/>
      <c r="D261" s="131"/>
      <c r="E261" s="131"/>
    </row>
    <row r="262" spans="1:5" ht="12.75">
      <c r="A262" s="132"/>
      <c r="B262" s="131"/>
      <c r="C262" s="131"/>
      <c r="D262" s="131"/>
      <c r="E262" s="131"/>
    </row>
    <row r="263" spans="1:5" ht="12.75">
      <c r="A263" s="132"/>
      <c r="B263" s="133"/>
      <c r="C263" s="133"/>
      <c r="D263" s="133"/>
      <c r="E263" s="133"/>
    </row>
    <row r="268" spans="2:6" ht="12.75">
      <c r="B268" s="202"/>
      <c r="C268" s="202"/>
      <c r="D268" s="202"/>
      <c r="E268" s="202"/>
      <c r="F268" s="139"/>
    </row>
    <row r="269" spans="2:6" ht="12.75">
      <c r="B269" s="202"/>
      <c r="C269" s="202"/>
      <c r="D269" s="202"/>
      <c r="E269" s="202"/>
      <c r="F269" s="139"/>
    </row>
    <row r="270" spans="1:6" ht="12.75">
      <c r="A270" s="119"/>
      <c r="B270" s="202"/>
      <c r="C270" s="202"/>
      <c r="D270" s="202"/>
      <c r="E270" s="202"/>
      <c r="F270" s="139"/>
    </row>
    <row r="271" ht="12.75">
      <c r="E271" s="202"/>
    </row>
    <row r="272" ht="12.75">
      <c r="E272" s="117"/>
    </row>
  </sheetData>
  <mergeCells count="7">
    <mergeCell ref="M55:O55"/>
    <mergeCell ref="M59:O59"/>
    <mergeCell ref="M3:O3"/>
    <mergeCell ref="D3:F3"/>
    <mergeCell ref="J3:L3"/>
    <mergeCell ref="G3:I3"/>
    <mergeCell ref="M51:O51"/>
  </mergeCells>
  <printOptions gridLines="1"/>
  <pageMargins left="0.75" right="1.52" top="1" bottom="1" header="0.5" footer="0.5"/>
  <pageSetup horizontalDpi="300" verticalDpi="300" orientation="landscape"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8"/>
  <dimension ref="A1:AO221"/>
  <sheetViews>
    <sheetView workbookViewId="0" topLeftCell="AC99">
      <selection activeCell="AL126" sqref="AL126"/>
    </sheetView>
  </sheetViews>
  <sheetFormatPr defaultColWidth="9.140625" defaultRowHeight="12.75"/>
  <cols>
    <col min="1" max="1" width="38.57421875" style="5" customWidth="1"/>
    <col min="2" max="2" width="10.421875" style="5" customWidth="1"/>
    <col min="3" max="3" width="13.421875" style="5" customWidth="1"/>
    <col min="4" max="4" width="13.28125" style="5" customWidth="1"/>
    <col min="5" max="6" width="12.28125" style="5" customWidth="1"/>
    <col min="7" max="7" width="15.57421875" style="114" customWidth="1"/>
    <col min="8" max="8" width="15.7109375" style="114" customWidth="1"/>
    <col min="9" max="9" width="12.8515625" style="114" customWidth="1"/>
    <col min="10" max="12" width="8.7109375" style="114" customWidth="1"/>
    <col min="13" max="13" width="10.28125" style="5" customWidth="1"/>
    <col min="14" max="14" width="12.421875" style="5" customWidth="1"/>
    <col min="15" max="15" width="10.57421875" style="5" customWidth="1"/>
    <col min="16" max="16" width="10.421875" style="5" customWidth="1"/>
    <col min="17" max="17" width="12.421875" style="5" customWidth="1"/>
    <col min="18" max="18" width="12.28125" style="5" customWidth="1"/>
    <col min="19" max="19" width="10.7109375" style="5" customWidth="1"/>
    <col min="20" max="20" width="13.140625" style="5" customWidth="1"/>
    <col min="21" max="23" width="8.7109375" style="5" customWidth="1"/>
    <col min="24" max="26" width="10.140625" style="5" customWidth="1"/>
    <col min="27" max="29" width="10.57421875" style="5" customWidth="1"/>
    <col min="30" max="31" width="8.7109375" style="5" customWidth="1"/>
    <col min="32" max="32" width="10.8515625" style="5" customWidth="1"/>
    <col min="33" max="33" width="9.140625" style="5" customWidth="1"/>
    <col min="34" max="34" width="6.7109375" style="5" customWidth="1"/>
    <col min="35" max="35" width="10.140625" style="5" customWidth="1"/>
    <col min="36" max="36" width="10.57421875" style="5" customWidth="1"/>
    <col min="37" max="16384" width="8.7109375" style="5" customWidth="1"/>
  </cols>
  <sheetData>
    <row r="1" spans="1:12" ht="18.75" customHeight="1" thickBot="1">
      <c r="A1" s="365" t="s">
        <v>384</v>
      </c>
      <c r="B1" s="542"/>
      <c r="C1" s="543"/>
      <c r="G1" s="5"/>
      <c r="H1" s="5"/>
      <c r="I1" s="5"/>
      <c r="J1" s="5"/>
      <c r="K1" s="5"/>
      <c r="L1" s="5"/>
    </row>
    <row r="2" spans="1:12" ht="15.75" customHeight="1">
      <c r="A2" s="445" t="s">
        <v>262</v>
      </c>
      <c r="B2" s="446" t="s">
        <v>200</v>
      </c>
      <c r="C2" s="446" t="s">
        <v>201</v>
      </c>
      <c r="D2" s="446" t="s">
        <v>263</v>
      </c>
      <c r="E2" s="446" t="s">
        <v>203</v>
      </c>
      <c r="F2" s="447"/>
      <c r="G2" s="5"/>
      <c r="H2" s="5"/>
      <c r="I2" s="5"/>
      <c r="J2" s="5"/>
      <c r="K2" s="5"/>
      <c r="L2" s="5"/>
    </row>
    <row r="3" spans="1:12" ht="18.75" customHeight="1" thickBot="1">
      <c r="A3" s="448" t="s">
        <v>399</v>
      </c>
      <c r="B3" s="449">
        <f>INDEX($B5:$E14,$A14,B14)</f>
        <v>0</v>
      </c>
      <c r="C3" s="449">
        <f>INDEX($B5:$E14,$A14,C14)</f>
        <v>0</v>
      </c>
      <c r="D3" s="449">
        <f>INDEX($B5:$E14,$A14,D14)</f>
        <v>0</v>
      </c>
      <c r="E3" s="449">
        <f>INDEX($B5:$E14,$A14,E14)</f>
        <v>1</v>
      </c>
      <c r="F3" s="450">
        <f>SUM(B3:E3)</f>
        <v>1</v>
      </c>
      <c r="G3" s="5"/>
      <c r="H3" s="5"/>
      <c r="I3" s="5"/>
      <c r="J3" s="5"/>
      <c r="K3" s="5"/>
      <c r="L3" s="5"/>
    </row>
    <row r="4" spans="1:12" ht="12.75">
      <c r="A4" s="442" t="s">
        <v>398</v>
      </c>
      <c r="B4" s="443"/>
      <c r="C4" s="443"/>
      <c r="D4" s="443"/>
      <c r="E4" s="443"/>
      <c r="F4" s="444"/>
      <c r="G4" s="5"/>
      <c r="H4" s="5"/>
      <c r="I4" s="5"/>
      <c r="J4" s="5"/>
      <c r="K4" s="5"/>
      <c r="L4" s="5"/>
    </row>
    <row r="5" spans="1:12" ht="12.75">
      <c r="A5" s="401" t="s">
        <v>166</v>
      </c>
      <c r="B5" s="158">
        <v>0.4</v>
      </c>
      <c r="C5" s="158">
        <v>0.45</v>
      </c>
      <c r="D5" s="158">
        <v>0.15</v>
      </c>
      <c r="E5" s="158">
        <v>0</v>
      </c>
      <c r="F5" s="400">
        <f aca="true" t="shared" si="0" ref="F5:F13">SUM(B5:E5)</f>
        <v>1</v>
      </c>
      <c r="G5" s="5"/>
      <c r="H5" s="5"/>
      <c r="I5" s="5"/>
      <c r="J5" s="5"/>
      <c r="K5" s="5"/>
      <c r="L5" s="5"/>
    </row>
    <row r="6" spans="1:12" ht="12.75">
      <c r="A6" s="401" t="s">
        <v>165</v>
      </c>
      <c r="B6" s="158">
        <v>0</v>
      </c>
      <c r="C6" s="158">
        <v>0.07</v>
      </c>
      <c r="D6" s="158">
        <v>0.93</v>
      </c>
      <c r="E6" s="158">
        <v>0</v>
      </c>
      <c r="F6" s="400">
        <f t="shared" si="0"/>
        <v>1</v>
      </c>
      <c r="G6" s="5"/>
      <c r="H6" s="5"/>
      <c r="I6" s="5"/>
      <c r="J6" s="5"/>
      <c r="K6" s="5"/>
      <c r="L6" s="5"/>
    </row>
    <row r="7" spans="1:12" ht="12.75">
      <c r="A7" s="401" t="s">
        <v>160</v>
      </c>
      <c r="B7" s="158">
        <v>0</v>
      </c>
      <c r="C7" s="158">
        <v>0</v>
      </c>
      <c r="D7" s="158">
        <v>0</v>
      </c>
      <c r="E7" s="158">
        <v>1</v>
      </c>
      <c r="F7" s="400">
        <f t="shared" si="0"/>
        <v>1</v>
      </c>
      <c r="G7" s="5"/>
      <c r="H7" s="5"/>
      <c r="I7" s="5"/>
      <c r="J7" s="5"/>
      <c r="K7" s="5"/>
      <c r="L7" s="5"/>
    </row>
    <row r="8" spans="1:12" ht="12.75">
      <c r="A8" s="398" t="s">
        <v>402</v>
      </c>
      <c r="B8" s="158">
        <v>0.2</v>
      </c>
      <c r="C8" s="158">
        <v>0.5</v>
      </c>
      <c r="D8" s="158">
        <v>0.25</v>
      </c>
      <c r="E8" s="158">
        <v>0.05</v>
      </c>
      <c r="F8" s="400">
        <f t="shared" si="0"/>
        <v>1</v>
      </c>
      <c r="G8" s="5"/>
      <c r="H8" s="5"/>
      <c r="I8" s="5"/>
      <c r="J8" s="5"/>
      <c r="K8" s="5"/>
      <c r="L8" s="5"/>
    </row>
    <row r="9" spans="1:12" ht="12.75">
      <c r="A9" s="398" t="s">
        <v>200</v>
      </c>
      <c r="B9" s="158">
        <v>1</v>
      </c>
      <c r="C9" s="158">
        <v>0</v>
      </c>
      <c r="D9" s="158">
        <v>0</v>
      </c>
      <c r="E9" s="158">
        <v>0</v>
      </c>
      <c r="F9" s="400">
        <f t="shared" si="0"/>
        <v>1</v>
      </c>
      <c r="G9" s="5"/>
      <c r="H9" s="5"/>
      <c r="I9" s="5"/>
      <c r="J9" s="5"/>
      <c r="K9" s="5"/>
      <c r="L9" s="5"/>
    </row>
    <row r="10" spans="1:12" ht="12.75">
      <c r="A10" s="398" t="s">
        <v>201</v>
      </c>
      <c r="B10" s="158">
        <v>0</v>
      </c>
      <c r="C10" s="158">
        <v>1</v>
      </c>
      <c r="D10" s="158">
        <v>0</v>
      </c>
      <c r="E10" s="158">
        <v>0</v>
      </c>
      <c r="F10" s="400">
        <f t="shared" si="0"/>
        <v>1</v>
      </c>
      <c r="G10" s="5"/>
      <c r="H10" s="5"/>
      <c r="I10" s="5"/>
      <c r="J10" s="5"/>
      <c r="K10" s="5"/>
      <c r="L10" s="5"/>
    </row>
    <row r="11" spans="1:12" ht="12.75">
      <c r="A11" s="398" t="s">
        <v>420</v>
      </c>
      <c r="B11" s="158">
        <v>0</v>
      </c>
      <c r="C11" s="158">
        <v>0.44</v>
      </c>
      <c r="D11" s="158">
        <v>0.56</v>
      </c>
      <c r="E11" s="158">
        <v>0</v>
      </c>
      <c r="F11" s="400">
        <f t="shared" si="0"/>
        <v>1</v>
      </c>
      <c r="G11" s="5"/>
      <c r="H11"/>
      <c r="I11"/>
      <c r="J11"/>
      <c r="K11" s="5"/>
      <c r="L11" s="5"/>
    </row>
    <row r="12" spans="1:12" ht="12.75">
      <c r="A12" s="398" t="s">
        <v>202</v>
      </c>
      <c r="B12" s="158">
        <v>0</v>
      </c>
      <c r="C12" s="158">
        <v>0</v>
      </c>
      <c r="D12" s="158">
        <v>1</v>
      </c>
      <c r="E12" s="158">
        <v>0</v>
      </c>
      <c r="F12" s="400">
        <f t="shared" si="0"/>
        <v>1</v>
      </c>
      <c r="G12" s="5"/>
      <c r="H12" s="5"/>
      <c r="I12" s="5"/>
      <c r="J12" s="5"/>
      <c r="K12" s="5"/>
      <c r="L12" s="5"/>
    </row>
    <row r="13" spans="1:12" ht="12.75">
      <c r="A13" s="399" t="s">
        <v>203</v>
      </c>
      <c r="B13" s="437">
        <v>0</v>
      </c>
      <c r="C13" s="437">
        <v>0</v>
      </c>
      <c r="D13" s="437">
        <v>0</v>
      </c>
      <c r="E13" s="437">
        <v>1</v>
      </c>
      <c r="F13" s="438">
        <f t="shared" si="0"/>
        <v>1</v>
      </c>
      <c r="G13" s="5"/>
      <c r="H13" s="5"/>
      <c r="I13" s="5"/>
      <c r="J13" s="5"/>
      <c r="K13" s="5"/>
      <c r="L13" s="5"/>
    </row>
    <row r="14" spans="1:12" ht="12.75">
      <c r="A14" s="441">
        <v>9</v>
      </c>
      <c r="B14" s="439">
        <v>1</v>
      </c>
      <c r="C14" s="439">
        <v>2</v>
      </c>
      <c r="D14" s="439">
        <v>3</v>
      </c>
      <c r="E14" s="439">
        <v>4</v>
      </c>
      <c r="F14" s="440"/>
      <c r="G14"/>
      <c r="H14" s="5"/>
      <c r="I14" s="5"/>
      <c r="J14" s="5"/>
      <c r="K14" s="5"/>
      <c r="L14" s="5"/>
    </row>
    <row r="15" spans="1:12" ht="12.75">
      <c r="A15" s="16"/>
      <c r="B15"/>
      <c r="C15"/>
      <c r="D15"/>
      <c r="E15"/>
      <c r="F15"/>
      <c r="G15"/>
      <c r="H15" s="5"/>
      <c r="I15" s="5"/>
      <c r="J15" s="5"/>
      <c r="K15" s="5"/>
      <c r="L15" s="5"/>
    </row>
    <row r="16" spans="1:12" ht="13.5" thickBot="1">
      <c r="A16" s="16"/>
      <c r="B16"/>
      <c r="C16"/>
      <c r="D16"/>
      <c r="E16"/>
      <c r="F16"/>
      <c r="G16"/>
      <c r="H16" s="5"/>
      <c r="I16" s="5"/>
      <c r="J16" s="5"/>
      <c r="K16" s="5"/>
      <c r="L16" s="5"/>
    </row>
    <row r="17" spans="1:12" ht="13.5" thickBot="1">
      <c r="A17" s="365" t="s">
        <v>385</v>
      </c>
      <c r="B17"/>
      <c r="C17"/>
      <c r="D17"/>
      <c r="E17"/>
      <c r="F17"/>
      <c r="G17"/>
      <c r="H17" s="5"/>
      <c r="I17" s="5"/>
      <c r="J17" s="5"/>
      <c r="K17" s="5"/>
      <c r="L17" s="5"/>
    </row>
    <row r="18" spans="1:12" ht="13.5" thickBot="1">
      <c r="A18" s="363" t="s">
        <v>254</v>
      </c>
      <c r="B18" s="453">
        <v>0.12</v>
      </c>
      <c r="C18" s="453">
        <v>0.73</v>
      </c>
      <c r="D18" s="453">
        <v>0.15</v>
      </c>
      <c r="E18" s="451">
        <f>SUM(B18:D18)</f>
        <v>1</v>
      </c>
      <c r="G18" s="5"/>
      <c r="H18" s="5"/>
      <c r="I18" s="5"/>
      <c r="J18" s="5"/>
      <c r="K18" s="5"/>
      <c r="L18" s="5"/>
    </row>
    <row r="19" spans="1:12" ht="13.5" thickBot="1">
      <c r="A19" s="415" t="s">
        <v>400</v>
      </c>
      <c r="B19" s="364">
        <v>1344</v>
      </c>
      <c r="C19" s="149">
        <v>2200</v>
      </c>
      <c r="D19" s="391">
        <v>2283</v>
      </c>
      <c r="E19" s="452">
        <f>SUMPRODUCT(B18:D18,B19:D19)</f>
        <v>2109.73</v>
      </c>
      <c r="G19" s="5"/>
      <c r="H19" s="5"/>
      <c r="I19" s="5"/>
      <c r="J19" s="5"/>
      <c r="K19" s="5"/>
      <c r="L19" s="151"/>
    </row>
    <row r="20" spans="1:12" ht="13.5" thickBot="1">
      <c r="A20" s="550" t="s">
        <v>401</v>
      </c>
      <c r="B20" s="551"/>
      <c r="C20" s="551"/>
      <c r="D20" s="551"/>
      <c r="E20" s="552"/>
      <c r="F20" s="379" t="s">
        <v>291</v>
      </c>
      <c r="G20" s="5"/>
      <c r="H20" s="5"/>
      <c r="I20" s="5"/>
      <c r="J20" s="5"/>
      <c r="K20" s="5"/>
      <c r="L20" s="151"/>
    </row>
    <row r="21" spans="1:12" ht="13.5" thickBot="1">
      <c r="A21" s="416" t="s">
        <v>255</v>
      </c>
      <c r="B21" s="417">
        <v>1344</v>
      </c>
      <c r="C21" s="418">
        <v>2200</v>
      </c>
      <c r="D21" s="419">
        <v>2283</v>
      </c>
      <c r="E21" s="420">
        <f>E19</f>
        <v>2109.73</v>
      </c>
      <c r="F21" s="382"/>
      <c r="G21" s="5"/>
      <c r="H21" s="5"/>
      <c r="I21" s="5"/>
      <c r="J21" s="5"/>
      <c r="K21" s="5"/>
      <c r="L21" s="5"/>
    </row>
    <row r="22" spans="1:12" ht="12.75">
      <c r="A22" s="366" t="s">
        <v>256</v>
      </c>
      <c r="B22" s="369">
        <f>'UA Optimizer '!B$70</f>
        <v>425.7079018867924</v>
      </c>
      <c r="C22" s="369">
        <f>'UA Optimizer '!C$70</f>
        <v>712.2112641509434</v>
      </c>
      <c r="D22" s="369">
        <f>'UA Optimizer '!D$70</f>
        <v>645.6086339622641</v>
      </c>
      <c r="E22" s="369">
        <f>SUMPRODUCT(B$18:D$18,B22:D22)</f>
        <v>667.8404661509435</v>
      </c>
      <c r="F22" s="370">
        <f>E22/E$19</f>
        <v>0.3165525759935838</v>
      </c>
      <c r="G22" s="5"/>
      <c r="H22" s="5"/>
      <c r="I22" s="5"/>
      <c r="J22" s="5"/>
      <c r="K22" s="5"/>
      <c r="L22" s="5"/>
    </row>
    <row r="23" spans="1:12" ht="12.75">
      <c r="A23" s="367" t="s">
        <v>257</v>
      </c>
      <c r="B23" s="371">
        <f>'UA Optimizer '!B86</f>
        <v>378.2052666666666</v>
      </c>
      <c r="C23" s="371">
        <f>'UA Optimizer '!C86</f>
        <v>631.8926363636364</v>
      </c>
      <c r="D23" s="371">
        <f>'UA Optimizer '!D86</f>
        <v>579.1319575757576</v>
      </c>
      <c r="E23" s="371">
        <f aca="true" t="shared" si="1" ref="E23:E30">SUMPRODUCT(B$18:D$18,B23:D23)</f>
        <v>593.5360501818182</v>
      </c>
      <c r="F23" s="372">
        <f>E23/E$19</f>
        <v>0.2813327061670537</v>
      </c>
      <c r="G23" s="5"/>
      <c r="H23" s="5"/>
      <c r="I23" s="5"/>
      <c r="J23" s="5"/>
      <c r="K23" s="5"/>
      <c r="L23" s="5"/>
    </row>
    <row r="24" spans="1:12" ht="12.75">
      <c r="A24" s="367" t="s">
        <v>382</v>
      </c>
      <c r="B24" s="373">
        <f>'UA Optimizer '!B$118</f>
        <v>302.0026542635659</v>
      </c>
      <c r="C24" s="373">
        <f>'UA Optimizer '!C$118</f>
        <v>492.78146511627904</v>
      </c>
      <c r="D24" s="373">
        <f>'UA Optimizer '!D$118</f>
        <v>473.7055798449613</v>
      </c>
      <c r="E24" s="373">
        <f t="shared" si="1"/>
        <v>467.02662502325575</v>
      </c>
      <c r="F24" s="374">
        <f>E24/E$19</f>
        <v>0.22136795941815102</v>
      </c>
      <c r="G24" s="5"/>
      <c r="H24" s="5"/>
      <c r="I24" s="5"/>
      <c r="J24" s="5"/>
      <c r="K24" s="5"/>
      <c r="L24" s="5"/>
    </row>
    <row r="25" spans="1:12" ht="12.75">
      <c r="A25" s="368" t="s">
        <v>391</v>
      </c>
      <c r="B25" s="373">
        <f>INDEX(B86:B98,MATCH(TRUE,C86:C98,0))</f>
        <v>280.1667789883269</v>
      </c>
      <c r="C25" s="373">
        <f>INDEX(D86:D98,MATCH(TRUE,E86:E98,0))</f>
        <v>452.18989494163424</v>
      </c>
      <c r="D25" s="373">
        <f>INDEX(F86:F99,MATCH(TRUE,G86:G99,0))</f>
        <v>417.9725852140078</v>
      </c>
      <c r="E25" s="373">
        <f t="shared" si="1"/>
        <v>426.4145245680934</v>
      </c>
      <c r="F25" s="374">
        <f>E25/E$19</f>
        <v>0.20211805518625292</v>
      </c>
      <c r="G25" s="5"/>
      <c r="H25" s="5"/>
      <c r="I25" s="5"/>
      <c r="J25" s="5"/>
      <c r="K25" s="5"/>
      <c r="L25" s="5"/>
    </row>
    <row r="26" spans="1:12" ht="12.75">
      <c r="A26" s="367" t="s">
        <v>386</v>
      </c>
      <c r="B26" s="375">
        <f ca="1">IF(ISNA(INDEX($B$105:$C$174,MATCH(B23,$B$105:$B$174,0),1)),TREND(OFFSET(INDEX($B$105:$C$174,MATCH(B23,$B$105:$B$174,-1),2),0,0,2,1),OFFSET(INDEX($B$105:$C$174,MATCH(B23,$B$105:$B$174,-1),1),0,0,2,1),B23),INDEX($B$105:$C$174,MATCH(B23,$B$105:$B$174,0),2))</f>
        <v>12472.174431878062</v>
      </c>
      <c r="C26" s="375">
        <f ca="1">IF(ISNA(INDEX($D$105:$E$174,MATCH(C23,$D$105:$D$174,0),1)),TREND(OFFSET(INDEX($D$105:$E$174,MATCH(C23,$D$105:$D$174,-1),2),0,0,2,1),OFFSET(INDEX($D$105:$E$174,MATCH(C23,$D$105:$D$174,-1),1),0,0,2,1),C23),INDEX($D$105:$E$174,MATCH(C23,$D$105:$D$174,0),2))</f>
        <v>22053.333668593466</v>
      </c>
      <c r="D26" s="375">
        <f ca="1">IF(ISNA(INDEX($F$105:$G$174,MATCH(D23,$F$105:$F$174,0),1)),TREND(OFFSET(INDEX($F$105:$G$174,MATCH(D23,$F$105:$F$174,-1),2),0,0,2,1),OFFSET(INDEX($F$105:$G$174,MATCH(D23,$F$105:$F$174,-1),1),0,0,2,1),D23),INDEX($F$105:$G$174,MATCH(D23,$F$105:$F$174,0),2))</f>
        <v>21618.940315016247</v>
      </c>
      <c r="E26" s="375">
        <f t="shared" si="1"/>
        <v>20838.435557151035</v>
      </c>
      <c r="F26" s="376"/>
      <c r="H26" s="5"/>
      <c r="I26" s="5"/>
      <c r="J26" s="5"/>
      <c r="K26" s="5"/>
      <c r="L26" s="5"/>
    </row>
    <row r="27" spans="1:12" ht="12.75">
      <c r="A27" s="367" t="s">
        <v>387</v>
      </c>
      <c r="B27" s="377">
        <f>B26/B19</f>
        <v>9.279891690385464</v>
      </c>
      <c r="C27" s="377">
        <f>C26/C19</f>
        <v>10.024242576633394</v>
      </c>
      <c r="D27" s="377">
        <f>D26/D19</f>
        <v>9.46953145642411</v>
      </c>
      <c r="E27" s="377">
        <f>E26/E19</f>
        <v>9.877299728946848</v>
      </c>
      <c r="F27" s="378"/>
      <c r="H27" s="5"/>
      <c r="I27" s="5"/>
      <c r="J27" s="5"/>
      <c r="K27" s="5"/>
      <c r="L27" s="5"/>
    </row>
    <row r="28" spans="1:12" ht="12.75">
      <c r="A28" s="367" t="s">
        <v>383</v>
      </c>
      <c r="B28" s="375">
        <f ca="1">IF(ISNA(INDEX($B$105:$C$174,MATCH(B24,$B$105:$B$174,0),1)),TREND(OFFSET(INDEX($B$105:$C$174,MATCH(B24,$B$105:$B$174,-1),2),0,0,2,1),OFFSET(INDEX($B$105:$C$174,MATCH(B24,$B$105:$B$174,-1),1),0,0,2,1),B24),INDEX($B$105:$C$174,MATCH(B24,$B$105:$B$174,0),2))</f>
        <v>8715.574953549614</v>
      </c>
      <c r="C28" s="375">
        <f ca="1">IF(ISNA(INDEX($D$105:$E$174,MATCH(C24,$D$105:$D$174,0),1)),TREND(OFFSET(INDEX($D$105:$E$174,MATCH(C24,$D$105:$D$174,-1),2),0,0,2,1),OFFSET(INDEX($D$105:$E$174,MATCH(C24,$D$105:$D$174,-1),1),0,0,2,1),C24),INDEX($D$105:$E$174,MATCH(C24,$D$105:$D$174,0),2))</f>
        <v>15171.922905784271</v>
      </c>
      <c r="D28" s="375">
        <f ca="1">IF(ISNA(INDEX($F$105:$G$174,MATCH(D24,$F$105:$F$174,0),1)),TREND(OFFSET(INDEX($F$105:$G$174,MATCH(D24,$F$105:$F$174,-1),2),0,0,2,1),OFFSET(INDEX($F$105:$G$174,MATCH(D24,$F$105:$F$174,-1),1),0,0,2,1),D24),INDEX($F$105:$G$174,MATCH(D24,$F$105:$F$174,0),2))</f>
        <v>16212.320118938725</v>
      </c>
      <c r="E28" s="375">
        <f t="shared" si="1"/>
        <v>14553.22073348928</v>
      </c>
      <c r="F28" s="376"/>
      <c r="H28" s="5"/>
      <c r="I28" s="5"/>
      <c r="J28" s="5"/>
      <c r="K28" s="5"/>
      <c r="L28" s="5"/>
    </row>
    <row r="29" spans="1:12" ht="12.75">
      <c r="A29" s="367" t="s">
        <v>388</v>
      </c>
      <c r="B29" s="377">
        <f>B28/B19</f>
        <v>6.484802792819654</v>
      </c>
      <c r="C29" s="377">
        <f>C28/C19</f>
        <v>6.896328593538305</v>
      </c>
      <c r="D29" s="377">
        <f>D28/D19</f>
        <v>7.101322872947318</v>
      </c>
      <c r="E29" s="377">
        <f>E28/E19</f>
        <v>6.8981437119865</v>
      </c>
      <c r="F29" s="378"/>
      <c r="H29" s="5"/>
      <c r="I29" s="5"/>
      <c r="J29" s="5"/>
      <c r="K29" s="5"/>
      <c r="L29" s="5"/>
    </row>
    <row r="30" spans="1:12" ht="12.75">
      <c r="A30" s="367" t="s">
        <v>389</v>
      </c>
      <c r="B30" s="375">
        <f ca="1">IF(ISNA(INDEX($B$105:$C$174,MATCH(B25,$B$105:$B$174,0),1)),TREND(OFFSET(INDEX($B$105:$C$174,MATCH(B25,$B$105:$B$174,-1),2),0,0,2,1),OFFSET(INDEX($B$105:$C$174,MATCH(B25,$B$105:$B$174,-1),1),0,0,2,1),B25),INDEX($B$105:$C$174,MATCH(B25,$B$105:$B$174,0),2))</f>
        <v>7675.297835180511</v>
      </c>
      <c r="C30" s="375">
        <f ca="1">IF(ISNA(INDEX($D$105:$E$174,MATCH(C25,$D$105:$D$174,0),1)),TREND(OFFSET(INDEX($D$105:$E$174,MATCH(C25,$D$105:$D$174,-1),2),0,0,2,1),OFFSET(INDEX($D$105:$E$174,MATCH(C25,$D$105:$D$174,-1),1),0,0,2,1),C25),INDEX($D$105:$E$174,MATCH(C25,$D$105:$D$174,0),2))</f>
        <v>13211.890455935792</v>
      </c>
      <c r="D30" s="375">
        <f ca="1">IF(ISNA(INDEX($F$105:$G$174,MATCH(D25,$F$105:$F$174,0),1)),TREND(OFFSET(INDEX($F$105:$G$174,MATCH(D25,$F$105:$F$174,-1),2),0,0,2,1),OFFSET(INDEX($F$105:$G$174,MATCH(D25,$F$105:$F$174,-1),1),0,0,2,1),D25),INDEX($F$105:$G$174,MATCH(D25,$F$105:$F$174,0),2))</f>
        <v>13456.242031819274</v>
      </c>
      <c r="E30" s="375">
        <f t="shared" si="1"/>
        <v>12584.15207782768</v>
      </c>
      <c r="F30" s="376">
        <f>E$28-E30</f>
        <v>1969.0686556615983</v>
      </c>
      <c r="H30" s="5"/>
      <c r="I30" s="5"/>
      <c r="J30" s="5"/>
      <c r="K30" s="5"/>
      <c r="L30"/>
    </row>
    <row r="31" spans="1:12" ht="13.5" thickBot="1">
      <c r="A31" s="380" t="s">
        <v>390</v>
      </c>
      <c r="B31" s="381">
        <f>B30/B19</f>
        <v>5.710787079747404</v>
      </c>
      <c r="C31" s="381">
        <f>C30/C19</f>
        <v>6.005404752698087</v>
      </c>
      <c r="D31" s="381">
        <f>D30/D19</f>
        <v>5.8941051387732255</v>
      </c>
      <c r="E31" s="381">
        <f>E30/E21</f>
        <v>5.964816387797339</v>
      </c>
      <c r="F31" s="421">
        <f>F30/E19</f>
        <v>0.9333273241891609</v>
      </c>
      <c r="H31" s="5"/>
      <c r="I31" s="5"/>
      <c r="J31" s="5"/>
      <c r="K31" s="5"/>
      <c r="L31"/>
    </row>
    <row r="32" spans="1:12" ht="13.5" thickBot="1">
      <c r="A32" s="412" t="s">
        <v>264</v>
      </c>
      <c r="B32" s="413">
        <f>INDEX(B67:B79,MATCH(TRUE,C67:C79,0))</f>
        <v>220.67587616225606</v>
      </c>
      <c r="C32" s="413">
        <f>INDEX(D67:D79,MATCH(TRUE,E67:E79,0))</f>
        <v>411.13562889547353</v>
      </c>
      <c r="D32" s="413">
        <f>INDEX(F67:F80,MATCH(TRUE,G67:G80,0))</f>
        <v>1073.7086747726576</v>
      </c>
      <c r="E32" s="413">
        <f>($B$18*B32)+($C$18*C32)+($D$18*D32)</f>
        <v>487.6664154490651</v>
      </c>
      <c r="F32" s="414">
        <f>E32/E21</f>
        <v>0.23115110248660495</v>
      </c>
      <c r="H32" s="5"/>
      <c r="I32" s="5"/>
      <c r="J32" s="5"/>
      <c r="K32" s="5"/>
      <c r="L32"/>
    </row>
    <row r="33" spans="8:12" ht="12.75">
      <c r="H33" s="5"/>
      <c r="I33" s="5"/>
      <c r="J33" s="5"/>
      <c r="K33" s="5"/>
      <c r="L33"/>
    </row>
    <row r="34" spans="1:12" ht="13.5" thickBot="1">
      <c r="A34"/>
      <c r="B34"/>
      <c r="H34" s="5"/>
      <c r="I34" s="5"/>
      <c r="J34" s="5"/>
      <c r="K34" s="5"/>
      <c r="L34"/>
    </row>
    <row r="35" spans="1:12" ht="13.5" thickBot="1">
      <c r="A35" s="553" t="s">
        <v>396</v>
      </c>
      <c r="B35" s="554"/>
      <c r="C35" s="554"/>
      <c r="D35" s="554"/>
      <c r="E35" s="554"/>
      <c r="F35" s="554"/>
      <c r="G35" s="554"/>
      <c r="H35" s="555"/>
      <c r="I35" s="387"/>
      <c r="J35" s="387"/>
      <c r="K35"/>
      <c r="L35"/>
    </row>
    <row r="36" spans="1:12" ht="12.75">
      <c r="A36" s="388"/>
      <c r="B36" s="544" t="s">
        <v>260</v>
      </c>
      <c r="C36" s="545"/>
      <c r="D36" s="538" t="s">
        <v>412</v>
      </c>
      <c r="E36" s="539"/>
      <c r="F36" s="544" t="s">
        <v>394</v>
      </c>
      <c r="G36" s="545"/>
      <c r="H36" s="540" t="s">
        <v>261</v>
      </c>
      <c r="I36"/>
      <c r="J36"/>
      <c r="K36"/>
      <c r="L36"/>
    </row>
    <row r="37" spans="1:12" ht="13.5" thickBot="1">
      <c r="A37" s="389" t="s">
        <v>395</v>
      </c>
      <c r="B37" s="390" t="s">
        <v>393</v>
      </c>
      <c r="C37" s="391" t="s">
        <v>259</v>
      </c>
      <c r="D37" s="390" t="s">
        <v>393</v>
      </c>
      <c r="E37" s="391" t="s">
        <v>259</v>
      </c>
      <c r="F37" s="390" t="s">
        <v>393</v>
      </c>
      <c r="G37" s="391" t="s">
        <v>259</v>
      </c>
      <c r="H37" s="541"/>
      <c r="I37"/>
      <c r="J37"/>
      <c r="K37"/>
      <c r="L37"/>
    </row>
    <row r="38" spans="1:12" ht="12.75">
      <c r="A38" s="392" t="s">
        <v>166</v>
      </c>
      <c r="B38" s="402">
        <v>12473.652437877705</v>
      </c>
      <c r="C38" s="467">
        <v>5.912440188022972</v>
      </c>
      <c r="D38" s="463">
        <v>8355.826781850395</v>
      </c>
      <c r="E38" s="464">
        <v>3.9606142880133457</v>
      </c>
      <c r="F38" s="402">
        <v>7213.760034264453</v>
      </c>
      <c r="G38" s="467">
        <v>3.4192811564818495</v>
      </c>
      <c r="H38" s="495">
        <v>371.9833869418616</v>
      </c>
      <c r="I38"/>
      <c r="J38"/>
      <c r="K38"/>
      <c r="L38"/>
    </row>
    <row r="39" spans="1:12" ht="12.75">
      <c r="A39" s="393" t="s">
        <v>165</v>
      </c>
      <c r="B39" s="402">
        <v>17285.70339962135</v>
      </c>
      <c r="C39" s="467">
        <v>8.19332492765489</v>
      </c>
      <c r="D39" s="463">
        <v>11939.529416690508</v>
      </c>
      <c r="E39" s="464">
        <v>5.659268919098893</v>
      </c>
      <c r="F39" s="402">
        <v>10286.726165777029</v>
      </c>
      <c r="G39" s="467">
        <v>4.875849594866181</v>
      </c>
      <c r="H39" s="495">
        <v>487.6664154490651</v>
      </c>
      <c r="I39"/>
      <c r="J39"/>
      <c r="K39"/>
      <c r="L39"/>
    </row>
    <row r="40" spans="1:12" ht="12.75">
      <c r="A40" s="393" t="s">
        <v>160</v>
      </c>
      <c r="B40" s="402">
        <v>20838.435557151035</v>
      </c>
      <c r="C40" s="467">
        <v>9.877299728946848</v>
      </c>
      <c r="D40" s="463">
        <v>14553.22073348928</v>
      </c>
      <c r="E40" s="464">
        <v>6.8981437119865</v>
      </c>
      <c r="F40" s="402">
        <v>12584.15207782768</v>
      </c>
      <c r="G40" s="467">
        <v>5.964816387797339</v>
      </c>
      <c r="H40" s="495">
        <v>487.6664154490651</v>
      </c>
      <c r="I40"/>
      <c r="J40"/>
      <c r="K40"/>
      <c r="L40"/>
    </row>
    <row r="41" spans="1:12" ht="12.75">
      <c r="A41" s="398" t="s">
        <v>402</v>
      </c>
      <c r="B41" s="402">
        <f>E$26</f>
        <v>20838.435557151035</v>
      </c>
      <c r="C41" s="467">
        <f>E$27</f>
        <v>9.877299728946848</v>
      </c>
      <c r="D41" s="463">
        <f>E$28</f>
        <v>14553.22073348928</v>
      </c>
      <c r="E41" s="464">
        <f>E$29</f>
        <v>6.8981437119865</v>
      </c>
      <c r="F41" s="402">
        <f>E$30</f>
        <v>12584.15207782768</v>
      </c>
      <c r="G41" s="467">
        <f>E$31</f>
        <v>5.964816387797339</v>
      </c>
      <c r="H41" s="495">
        <f>E$32</f>
        <v>487.6664154490651</v>
      </c>
      <c r="I41"/>
      <c r="J41"/>
      <c r="K41"/>
      <c r="L41"/>
    </row>
    <row r="42" spans="1:12" ht="12.75">
      <c r="A42" s="395" t="s">
        <v>200</v>
      </c>
      <c r="B42" s="402">
        <v>10735.024896363098</v>
      </c>
      <c r="C42" s="467">
        <v>5.088340639021627</v>
      </c>
      <c r="D42" s="463">
        <v>7116.937794016425</v>
      </c>
      <c r="E42" s="464">
        <v>3.3733879662404314</v>
      </c>
      <c r="F42" s="402">
        <v>6112.455927911717</v>
      </c>
      <c r="G42" s="467">
        <v>2.897269284653352</v>
      </c>
      <c r="H42" s="495">
        <v>371.9833869418616</v>
      </c>
      <c r="I42"/>
      <c r="J42"/>
      <c r="K42"/>
      <c r="L42"/>
    </row>
    <row r="43" spans="1:12" ht="12.75">
      <c r="A43" s="395" t="s">
        <v>201</v>
      </c>
      <c r="B43" s="402">
        <v>12289.735283911758</v>
      </c>
      <c r="C43" s="467">
        <v>5.825264504894824</v>
      </c>
      <c r="D43" s="463">
        <v>8167.86430206662</v>
      </c>
      <c r="E43" s="464">
        <v>3.8715211434954333</v>
      </c>
      <c r="F43" s="402">
        <v>7029.506121763106</v>
      </c>
      <c r="G43" s="467">
        <v>3.3319458517265748</v>
      </c>
      <c r="H43" s="495">
        <v>371.9833869418616</v>
      </c>
      <c r="I43"/>
      <c r="J43"/>
      <c r="K43"/>
      <c r="L43"/>
    </row>
    <row r="44" spans="1:12" ht="12.75">
      <c r="A44" s="395" t="s">
        <v>420</v>
      </c>
      <c r="B44" s="402">
        <v>15298.060170790783</v>
      </c>
      <c r="C44" s="467">
        <v>7.251193361610625</v>
      </c>
      <c r="D44" s="463">
        <v>10438.97447861429</v>
      </c>
      <c r="E44" s="464">
        <v>4.948014427729752</v>
      </c>
      <c r="F44" s="402">
        <v>8942.590675611082</v>
      </c>
      <c r="G44" s="467">
        <v>4.238737030620545</v>
      </c>
      <c r="H44" s="495">
        <v>487.6664154490651</v>
      </c>
      <c r="I44"/>
      <c r="J44"/>
      <c r="K44"/>
      <c r="L44"/>
    </row>
    <row r="45" spans="1:12" ht="12.75">
      <c r="A45" s="395" t="s">
        <v>202</v>
      </c>
      <c r="B45" s="402">
        <v>17661.74401048133</v>
      </c>
      <c r="C45" s="467">
        <v>8.371566034744411</v>
      </c>
      <c r="D45" s="463">
        <v>12223.418188758948</v>
      </c>
      <c r="E45" s="464">
        <v>5.793830579628174</v>
      </c>
      <c r="F45" s="402">
        <v>10541.022069321974</v>
      </c>
      <c r="G45" s="467">
        <v>4.996384404318076</v>
      </c>
      <c r="H45" s="495">
        <v>487.6664154490651</v>
      </c>
      <c r="I45"/>
      <c r="J45"/>
      <c r="K45"/>
      <c r="L45"/>
    </row>
    <row r="46" spans="1:12" ht="13.5" thickBot="1">
      <c r="A46" s="454" t="s">
        <v>203</v>
      </c>
      <c r="B46" s="402">
        <v>20838.435557151035</v>
      </c>
      <c r="C46" s="467">
        <v>9.877299728946848</v>
      </c>
      <c r="D46" s="465">
        <v>14553.22073348928</v>
      </c>
      <c r="E46" s="466">
        <v>6.8981437119865</v>
      </c>
      <c r="F46" s="402">
        <v>12584.15207782768</v>
      </c>
      <c r="G46" s="467">
        <v>5.964816387797339</v>
      </c>
      <c r="H46" s="496">
        <v>487.6664154490651</v>
      </c>
      <c r="I46"/>
      <c r="J46"/>
      <c r="K46"/>
      <c r="L46"/>
    </row>
    <row r="47" spans="1:12" ht="13.5" thickBot="1">
      <c r="A47" s="455" t="s">
        <v>411</v>
      </c>
      <c r="B47" s="456">
        <f>E$26</f>
        <v>20838.435557151035</v>
      </c>
      <c r="C47" s="457">
        <f>E$27</f>
        <v>9.877299728946848</v>
      </c>
      <c r="D47" s="456">
        <f>E$28</f>
        <v>14553.22073348928</v>
      </c>
      <c r="E47" s="457">
        <f>E$29</f>
        <v>6.8981437119865</v>
      </c>
      <c r="F47" s="456">
        <f>E$30</f>
        <v>12584.15207782768</v>
      </c>
      <c r="G47" s="457">
        <f>E$31</f>
        <v>5.964816387797339</v>
      </c>
      <c r="H47" s="458">
        <f>E$32</f>
        <v>487.6664154490651</v>
      </c>
      <c r="I47"/>
      <c r="J47"/>
      <c r="K47"/>
      <c r="L47"/>
    </row>
    <row r="48" spans="1:12" ht="13.5" thickBot="1">
      <c r="A48"/>
      <c r="B48"/>
      <c r="C48"/>
      <c r="E48" s="115"/>
      <c r="G48"/>
      <c r="H48"/>
      <c r="I48"/>
      <c r="J48"/>
      <c r="K48" s="5"/>
      <c r="L48"/>
    </row>
    <row r="49" spans="1:12" ht="13.5" thickBot="1">
      <c r="A49" s="553" t="s">
        <v>397</v>
      </c>
      <c r="B49" s="554"/>
      <c r="C49" s="554"/>
      <c r="D49" s="554"/>
      <c r="E49" s="554"/>
      <c r="F49" s="554"/>
      <c r="G49" s="554"/>
      <c r="H49" s="555"/>
      <c r="I49" s="5"/>
      <c r="J49" s="5"/>
      <c r="K49" s="5"/>
      <c r="L49"/>
    </row>
    <row r="50" spans="1:12" ht="12.75">
      <c r="A50" s="475"/>
      <c r="B50" s="538" t="s">
        <v>414</v>
      </c>
      <c r="C50" s="539"/>
      <c r="D50" s="544" t="s">
        <v>415</v>
      </c>
      <c r="E50" s="545"/>
      <c r="F50" s="544" t="s">
        <v>416</v>
      </c>
      <c r="G50" s="545"/>
      <c r="H50" s="559" t="s">
        <v>417</v>
      </c>
      <c r="I50" s="5"/>
      <c r="J50" s="5"/>
      <c r="K50" s="5"/>
      <c r="L50" s="5"/>
    </row>
    <row r="51" spans="1:12" ht="13.5" thickBot="1">
      <c r="A51" s="389" t="s">
        <v>395</v>
      </c>
      <c r="B51" s="390" t="s">
        <v>393</v>
      </c>
      <c r="C51" s="391" t="s">
        <v>259</v>
      </c>
      <c r="D51" s="390" t="s">
        <v>393</v>
      </c>
      <c r="E51" s="391" t="s">
        <v>259</v>
      </c>
      <c r="F51" s="390" t="s">
        <v>393</v>
      </c>
      <c r="G51" s="391" t="s">
        <v>259</v>
      </c>
      <c r="H51" s="541"/>
      <c r="I51" s="5"/>
      <c r="J51" s="5"/>
      <c r="K51" s="5"/>
      <c r="L51" s="5"/>
    </row>
    <row r="52" spans="1:12" ht="12.75">
      <c r="A52" s="469" t="s">
        <v>166</v>
      </c>
      <c r="B52" s="470">
        <f aca="true" t="shared" si="2" ref="B52:C57">B38-D38</f>
        <v>4117.825656027309</v>
      </c>
      <c r="C52" s="471">
        <f t="shared" si="2"/>
        <v>1.9518259000096267</v>
      </c>
      <c r="D52" s="472">
        <f aca="true" t="shared" si="3" ref="D52:E57">B38-F38</f>
        <v>5259.892403613252</v>
      </c>
      <c r="E52" s="473">
        <f t="shared" si="3"/>
        <v>2.493159031541123</v>
      </c>
      <c r="F52" s="470">
        <f aca="true" t="shared" si="4" ref="F52:G57">D38-F38</f>
        <v>1142.0667475859427</v>
      </c>
      <c r="G52" s="471">
        <f t="shared" si="4"/>
        <v>0.5413331315314962</v>
      </c>
      <c r="H52" s="474">
        <f aca="true" t="shared" si="5" ref="H52:H57">H38</f>
        <v>371.9833869418616</v>
      </c>
      <c r="I52" s="5"/>
      <c r="J52" s="5"/>
      <c r="K52" s="5"/>
      <c r="L52" s="5"/>
    </row>
    <row r="53" spans="1:12" ht="12.75">
      <c r="A53" s="393" t="s">
        <v>165</v>
      </c>
      <c r="B53" s="402">
        <f t="shared" si="2"/>
        <v>5346.173982930843</v>
      </c>
      <c r="C53" s="467">
        <f t="shared" si="2"/>
        <v>2.5340560085559973</v>
      </c>
      <c r="D53" s="152">
        <f t="shared" si="3"/>
        <v>6998.977233844322</v>
      </c>
      <c r="E53" s="468">
        <f t="shared" si="3"/>
        <v>3.3174753327887094</v>
      </c>
      <c r="F53" s="402">
        <f t="shared" si="4"/>
        <v>1652.8032509134791</v>
      </c>
      <c r="G53" s="467">
        <f t="shared" si="4"/>
        <v>0.7834193242327121</v>
      </c>
      <c r="H53" s="394">
        <f t="shared" si="5"/>
        <v>487.6664154490651</v>
      </c>
      <c r="I53" s="5"/>
      <c r="J53" s="5"/>
      <c r="K53" s="5"/>
      <c r="L53" s="5"/>
    </row>
    <row r="54" spans="1:12" ht="12.75">
      <c r="A54" s="393" t="s">
        <v>160</v>
      </c>
      <c r="B54" s="402">
        <f t="shared" si="2"/>
        <v>6285.214823661756</v>
      </c>
      <c r="C54" s="467">
        <f t="shared" si="2"/>
        <v>2.9791560169603484</v>
      </c>
      <c r="D54" s="152">
        <f t="shared" si="3"/>
        <v>8254.283479323354</v>
      </c>
      <c r="E54" s="468">
        <f t="shared" si="3"/>
        <v>3.9124833411495095</v>
      </c>
      <c r="F54" s="402">
        <f t="shared" si="4"/>
        <v>1969.0686556615983</v>
      </c>
      <c r="G54" s="467">
        <f t="shared" si="4"/>
        <v>0.9333273241891611</v>
      </c>
      <c r="H54" s="394">
        <f t="shared" si="5"/>
        <v>487.6664154490651</v>
      </c>
      <c r="I54" s="5"/>
      <c r="J54" s="5"/>
      <c r="K54" s="5"/>
      <c r="L54" s="5"/>
    </row>
    <row r="55" spans="1:12" ht="12.75">
      <c r="A55" s="395" t="s">
        <v>402</v>
      </c>
      <c r="B55" s="402">
        <f t="shared" si="2"/>
        <v>6285.214823661756</v>
      </c>
      <c r="C55" s="467">
        <f t="shared" si="2"/>
        <v>2.9791560169603484</v>
      </c>
      <c r="D55" s="152">
        <f t="shared" si="3"/>
        <v>8254.283479323354</v>
      </c>
      <c r="E55" s="468">
        <f t="shared" si="3"/>
        <v>3.9124833411495095</v>
      </c>
      <c r="F55" s="402">
        <f t="shared" si="4"/>
        <v>1969.0686556615983</v>
      </c>
      <c r="G55" s="467">
        <f t="shared" si="4"/>
        <v>0.9333273241891611</v>
      </c>
      <c r="H55" s="394">
        <f t="shared" si="5"/>
        <v>487.6664154490651</v>
      </c>
      <c r="I55" s="5"/>
      <c r="J55" s="5"/>
      <c r="K55" s="5"/>
      <c r="L55" s="5"/>
    </row>
    <row r="56" spans="1:12" ht="12.75">
      <c r="A56" s="395" t="s">
        <v>200</v>
      </c>
      <c r="B56" s="402">
        <f t="shared" si="2"/>
        <v>3618.0871023466734</v>
      </c>
      <c r="C56" s="467">
        <f t="shared" si="2"/>
        <v>1.714952672781196</v>
      </c>
      <c r="D56" s="152">
        <f t="shared" si="3"/>
        <v>4622.568968451382</v>
      </c>
      <c r="E56" s="468">
        <f t="shared" si="3"/>
        <v>2.191071354368275</v>
      </c>
      <c r="F56" s="402">
        <f t="shared" si="4"/>
        <v>1004.4818661047084</v>
      </c>
      <c r="G56" s="467">
        <f t="shared" si="4"/>
        <v>0.47611868158707926</v>
      </c>
      <c r="H56" s="394">
        <f t="shared" si="5"/>
        <v>371.9833869418616</v>
      </c>
      <c r="I56" s="5"/>
      <c r="J56" s="5"/>
      <c r="K56" s="5"/>
      <c r="L56" s="5"/>
    </row>
    <row r="57" spans="1:12" ht="12.75">
      <c r="A57" s="395" t="s">
        <v>201</v>
      </c>
      <c r="B57" s="402">
        <f t="shared" si="2"/>
        <v>4121.870981845137</v>
      </c>
      <c r="C57" s="467">
        <f t="shared" si="2"/>
        <v>1.953743361399391</v>
      </c>
      <c r="D57" s="152">
        <f t="shared" si="3"/>
        <v>5260.229162148651</v>
      </c>
      <c r="E57" s="468">
        <f t="shared" si="3"/>
        <v>2.4933186531682496</v>
      </c>
      <c r="F57" s="402">
        <f t="shared" si="4"/>
        <v>1138.358180303514</v>
      </c>
      <c r="G57" s="467">
        <f t="shared" si="4"/>
        <v>0.5395752917688585</v>
      </c>
      <c r="H57" s="394">
        <f t="shared" si="5"/>
        <v>371.9833869418616</v>
      </c>
      <c r="I57" s="5"/>
      <c r="J57" s="5"/>
      <c r="K57" s="5"/>
      <c r="L57" s="5"/>
    </row>
    <row r="58" spans="1:12" ht="12.75">
      <c r="A58" s="395" t="s">
        <v>420</v>
      </c>
      <c r="B58" s="402">
        <v>4859.0856921764935</v>
      </c>
      <c r="C58" s="467">
        <v>2.303178933880873</v>
      </c>
      <c r="D58" s="152">
        <v>6355.469495179701</v>
      </c>
      <c r="E58" s="468">
        <v>3.01245633099008</v>
      </c>
      <c r="F58" s="402">
        <v>1496.3838030032075</v>
      </c>
      <c r="G58" s="467">
        <v>0.709277397109207</v>
      </c>
      <c r="H58" s="394">
        <v>487.6664154490651</v>
      </c>
      <c r="I58" s="5"/>
      <c r="J58" s="5"/>
      <c r="K58" s="5"/>
      <c r="L58" s="5"/>
    </row>
    <row r="59" spans="1:12" ht="12.75">
      <c r="A59" s="395" t="s">
        <v>202</v>
      </c>
      <c r="B59" s="402">
        <f aca="true" t="shared" si="6" ref="B59:C61">B45-D45</f>
        <v>5438.325821722381</v>
      </c>
      <c r="C59" s="467">
        <f t="shared" si="6"/>
        <v>2.5777354551162377</v>
      </c>
      <c r="D59" s="152">
        <f aca="true" t="shared" si="7" ref="D59:E61">B45-F45</f>
        <v>7120.721941159354</v>
      </c>
      <c r="E59" s="468">
        <f t="shared" si="7"/>
        <v>3.3751816304263356</v>
      </c>
      <c r="F59" s="402">
        <f aca="true" t="shared" si="8" ref="F59:G61">D45-F45</f>
        <v>1682.396119436973</v>
      </c>
      <c r="G59" s="467">
        <f t="shared" si="8"/>
        <v>0.7974461753100979</v>
      </c>
      <c r="H59" s="394">
        <f>H45</f>
        <v>487.6664154490651</v>
      </c>
      <c r="I59" s="5"/>
      <c r="J59" s="5"/>
      <c r="K59" s="5"/>
      <c r="L59" s="5"/>
    </row>
    <row r="60" spans="1:12" ht="13.5" thickBot="1">
      <c r="A60" s="396" t="s">
        <v>203</v>
      </c>
      <c r="B60" s="402">
        <f t="shared" si="6"/>
        <v>6285.214823661756</v>
      </c>
      <c r="C60" s="467">
        <f t="shared" si="6"/>
        <v>2.9791560169603484</v>
      </c>
      <c r="D60" s="152">
        <f t="shared" si="7"/>
        <v>8254.283479323354</v>
      </c>
      <c r="E60" s="468">
        <f t="shared" si="7"/>
        <v>3.9124833411495095</v>
      </c>
      <c r="F60" s="402">
        <f t="shared" si="8"/>
        <v>1969.0686556615983</v>
      </c>
      <c r="G60" s="467">
        <f t="shared" si="8"/>
        <v>0.9333273241891611</v>
      </c>
      <c r="H60" s="397">
        <f>H46</f>
        <v>487.6664154490651</v>
      </c>
      <c r="I60" s="5"/>
      <c r="J60" s="5"/>
      <c r="K60" s="5"/>
      <c r="L60" s="5"/>
    </row>
    <row r="61" spans="1:12" ht="13.5" thickBot="1">
      <c r="A61" s="455" t="s">
        <v>411</v>
      </c>
      <c r="B61" s="456">
        <f t="shared" si="6"/>
        <v>6285.214823661756</v>
      </c>
      <c r="C61" s="457">
        <f t="shared" si="6"/>
        <v>2.9791560169603484</v>
      </c>
      <c r="D61" s="456">
        <f t="shared" si="7"/>
        <v>8254.283479323354</v>
      </c>
      <c r="E61" s="457">
        <f t="shared" si="7"/>
        <v>3.9124833411495095</v>
      </c>
      <c r="F61" s="456">
        <f t="shared" si="8"/>
        <v>1969.0686556615983</v>
      </c>
      <c r="G61" s="457">
        <f t="shared" si="8"/>
        <v>0.9333273241891611</v>
      </c>
      <c r="H61" s="458">
        <f>H47</f>
        <v>487.6664154490651</v>
      </c>
      <c r="I61"/>
      <c r="J61"/>
      <c r="K61" s="5"/>
      <c r="L61" s="5"/>
    </row>
    <row r="62" spans="1:12" ht="12.75">
      <c r="A62"/>
      <c r="B62"/>
      <c r="C62"/>
      <c r="D62"/>
      <c r="E62"/>
      <c r="F62"/>
      <c r="G62"/>
      <c r="H62"/>
      <c r="I62"/>
      <c r="J62"/>
      <c r="K62" s="5"/>
      <c r="L62" s="5"/>
    </row>
    <row r="63" spans="1:12" ht="12.75">
      <c r="A63"/>
      <c r="B63"/>
      <c r="C63"/>
      <c r="D63"/>
      <c r="E63"/>
      <c r="F63"/>
      <c r="G63"/>
      <c r="H63"/>
      <c r="I63"/>
      <c r="J63"/>
      <c r="K63" s="5"/>
      <c r="L63" s="5"/>
    </row>
    <row r="64" spans="1:12" ht="13.5" thickBot="1">
      <c r="A64"/>
      <c r="B64"/>
      <c r="C64"/>
      <c r="D64"/>
      <c r="E64"/>
      <c r="F64"/>
      <c r="G64"/>
      <c r="H64"/>
      <c r="I64"/>
      <c r="J64"/>
      <c r="K64" s="5"/>
      <c r="L64" s="5"/>
    </row>
    <row r="65" spans="2:12" ht="13.5" thickBot="1">
      <c r="B65" s="556" t="s">
        <v>410</v>
      </c>
      <c r="C65" s="557"/>
      <c r="D65" s="557"/>
      <c r="E65" s="557"/>
      <c r="F65" s="557"/>
      <c r="G65" s="558"/>
      <c r="H65" s="5"/>
      <c r="I65" s="5"/>
      <c r="J65" s="5"/>
      <c r="K65" s="5"/>
      <c r="L65" s="5"/>
    </row>
    <row r="66" spans="2:12" ht="13.5" thickBot="1">
      <c r="B66" s="535">
        <v>1344</v>
      </c>
      <c r="C66" s="536"/>
      <c r="D66" s="533">
        <v>2200</v>
      </c>
      <c r="E66" s="536"/>
      <c r="F66" s="533">
        <v>2283</v>
      </c>
      <c r="G66" s="534"/>
      <c r="H66" s="5"/>
      <c r="I66" s="5"/>
      <c r="J66" s="5"/>
      <c r="K66" s="5"/>
      <c r="L66" s="5"/>
    </row>
    <row r="67" spans="2:12" ht="12.75">
      <c r="B67" s="409">
        <f>IF('1344SF'!AD39&gt;=1,'UA Optimizer '!T53,'UA Optimizer '!T52)</f>
        <v>134.28176152038432</v>
      </c>
      <c r="C67" s="153" t="b">
        <f aca="true" t="shared" si="9" ref="C67:C79">AND(B67=B68,B68&lt;B69)</f>
        <v>0</v>
      </c>
      <c r="D67" s="154">
        <f>IF('2200SF'!AD39&gt;=1,'UA Optimizer '!Z53,'UA Optimizer '!Z52)</f>
        <v>231.47514049249025</v>
      </c>
      <c r="E67" s="153" t="b">
        <f aca="true" t="shared" si="10" ref="E67:E80">AND(D67=D68,D68&lt;D69)</f>
        <v>0</v>
      </c>
      <c r="F67" s="154">
        <f>IF('2283SF'!AD41&gt;=1,'UA Optimizer '!AF53,'UA Optimizer '!AF52)</f>
        <v>6.108674772657476</v>
      </c>
      <c r="G67" s="410" t="b">
        <f aca="true" t="shared" si="11" ref="G67:G80">AND(F67=F68,F68&lt;F69)</f>
        <v>0</v>
      </c>
      <c r="H67" s="5"/>
      <c r="I67" s="5"/>
      <c r="J67" s="5"/>
      <c r="L67" s="5"/>
    </row>
    <row r="68" spans="2:12" ht="12.75">
      <c r="B68" s="411">
        <f>IF('1344SF'!AD40&gt;=1,'UA Optimizer '!T54,'UA Optimizer '!T53)</f>
        <v>220.67587616225606</v>
      </c>
      <c r="C68" s="141" t="b">
        <f t="shared" si="9"/>
        <v>1</v>
      </c>
      <c r="D68" s="159">
        <f>IF('2200SF'!AD40&gt;=1,'UA Optimizer '!Z54,'UA Optimizer '!Z53)</f>
        <v>411.13562889547353</v>
      </c>
      <c r="E68" s="141" t="b">
        <f t="shared" si="10"/>
        <v>1</v>
      </c>
      <c r="F68" s="159">
        <f>IF('2283SF'!AD42&gt;=1,'UA Optimizer '!AF54,'UA Optimizer '!AF53)</f>
        <v>204.31335444978038</v>
      </c>
      <c r="G68" s="404" t="b">
        <f t="shared" si="11"/>
        <v>0</v>
      </c>
      <c r="H68" s="5"/>
      <c r="I68" s="5"/>
      <c r="J68" s="5"/>
      <c r="L68" s="5"/>
    </row>
    <row r="69" spans="2:12" ht="12.75">
      <c r="B69" s="411">
        <f>IF('1344SF'!AD41&gt;=1,'UA Optimizer '!T55,'UA Optimizer '!T54)</f>
        <v>220.67587616225606</v>
      </c>
      <c r="C69" s="141" t="b">
        <f t="shared" si="9"/>
        <v>0</v>
      </c>
      <c r="D69" s="159">
        <f>IF('2200SF'!AD41&gt;=1,'UA Optimizer '!Z55,'UA Optimizer '!Z54)</f>
        <v>411.13562889547353</v>
      </c>
      <c r="E69" s="141" t="b">
        <f t="shared" si="10"/>
        <v>0</v>
      </c>
      <c r="F69" s="159">
        <f>IF('2283SF'!AD43&gt;=1,'UA Optimizer '!AF55,'UA Optimizer '!AF54)</f>
        <v>302.48848472463465</v>
      </c>
      <c r="G69" s="404" t="b">
        <f t="shared" si="11"/>
        <v>0</v>
      </c>
      <c r="H69" s="5"/>
      <c r="I69" s="5"/>
      <c r="J69" s="5"/>
      <c r="L69" s="5"/>
    </row>
    <row r="70" spans="2:12" ht="12.75">
      <c r="B70" s="411">
        <f>IF('1344SF'!AD42&gt;=1,'UA Optimizer '!T56,'UA Optimizer '!T55)</f>
        <v>616.5180014304691</v>
      </c>
      <c r="C70" s="141" t="b">
        <f t="shared" si="9"/>
        <v>0</v>
      </c>
      <c r="D70" s="159">
        <f>IF('2200SF'!AD42&gt;=1,'UA Optimizer '!Z56,'UA Optimizer '!Z55)</f>
        <v>918.0138265045468</v>
      </c>
      <c r="E70" s="141" t="b">
        <f t="shared" si="10"/>
        <v>0</v>
      </c>
      <c r="F70" s="159">
        <f>IF('2283SF'!AD44&gt;=1,'UA Optimizer '!AF56,'UA Optimizer '!AF55)</f>
        <v>559.0528251762541</v>
      </c>
      <c r="G70" s="404" t="b">
        <f t="shared" si="11"/>
        <v>0</v>
      </c>
      <c r="H70" s="5"/>
      <c r="I70" s="5"/>
      <c r="J70" s="5"/>
      <c r="L70" s="5"/>
    </row>
    <row r="71" spans="2:12" ht="12.75">
      <c r="B71" s="411">
        <f>IF('1344SF'!AD43&gt;=1,'UA Optimizer '!T57,'UA Optimizer '!T56)</f>
        <v>1108.7026545417393</v>
      </c>
      <c r="C71" s="141" t="b">
        <f t="shared" si="9"/>
        <v>0</v>
      </c>
      <c r="D71" s="159">
        <f>IF('2200SF'!AD43&gt;=1,'UA Optimizer '!Z57,'UA Optimizer '!Z56)</f>
        <v>1329.1930887912538</v>
      </c>
      <c r="E71" s="141" t="b">
        <f t="shared" si="10"/>
        <v>0</v>
      </c>
      <c r="F71" s="159">
        <f>IF('2283SF'!AD45&gt;=1,'UA Optimizer '!AF57,'UA Optimizer '!AF56)</f>
        <v>1073.7086747726576</v>
      </c>
      <c r="G71" s="404" t="b">
        <f t="shared" si="11"/>
        <v>1</v>
      </c>
      <c r="H71" s="5"/>
      <c r="I71" s="5"/>
      <c r="J71" s="5"/>
      <c r="L71" s="5"/>
    </row>
    <row r="72" spans="2:12" ht="12.75">
      <c r="B72" s="411">
        <f>IF('1344SF'!AD44&gt;=1,'UA Optimizer '!T58,'UA Optimizer '!T57)</f>
        <v>1557.952050679473</v>
      </c>
      <c r="C72" s="141" t="b">
        <f t="shared" si="9"/>
        <v>0</v>
      </c>
      <c r="D72" s="159">
        <f>IF('2200SF'!AD44&gt;=1,'UA Optimizer '!Z58,'UA Optimizer '!Z57)</f>
        <v>2263.4276284867683</v>
      </c>
      <c r="E72" s="141" t="b">
        <f t="shared" si="10"/>
        <v>0</v>
      </c>
      <c r="F72" s="159">
        <f>IF('2283SF'!AD46&gt;=1,'UA Optimizer '!AF58,'UA Optimizer '!AF57)</f>
        <v>1073.7086747726576</v>
      </c>
      <c r="G72" s="404" t="b">
        <f t="shared" si="11"/>
        <v>0</v>
      </c>
      <c r="H72" s="5"/>
      <c r="I72" s="5"/>
      <c r="J72" s="5"/>
      <c r="L72" s="5"/>
    </row>
    <row r="73" spans="2:12" ht="12.75">
      <c r="B73" s="411">
        <f>IF('1344SF'!AD45&gt;=1,'UA Optimizer '!T59,'UA Optimizer '!T58)</f>
        <v>2037.9193542454277</v>
      </c>
      <c r="C73" s="141" t="b">
        <f t="shared" si="9"/>
        <v>0</v>
      </c>
      <c r="D73" s="159">
        <f>IF('2200SF'!AD45&gt;=1,'UA Optimizer '!Z59,'UA Optimizer '!Z58)</f>
        <v>3261.541452947788</v>
      </c>
      <c r="E73" s="141" t="b">
        <f t="shared" si="10"/>
        <v>0</v>
      </c>
      <c r="F73" s="159">
        <f>IF('2283SF'!AD47&gt;=1,'UA Optimizer '!AF59,'UA Optimizer '!AF58)</f>
        <v>1104.339315418412</v>
      </c>
      <c r="G73" s="404" t="b">
        <f t="shared" si="11"/>
        <v>0</v>
      </c>
      <c r="H73" s="5"/>
      <c r="I73" s="5"/>
      <c r="J73" s="5"/>
      <c r="L73" s="5"/>
    </row>
    <row r="74" spans="2:12" ht="12.75">
      <c r="B74" s="411">
        <f>IF('1344SF'!AD46&gt;=1,'UA Optimizer '!T60,'UA Optimizer '!T59)</f>
        <v>2219.052469602534</v>
      </c>
      <c r="C74" s="141" t="b">
        <f t="shared" si="9"/>
        <v>0</v>
      </c>
      <c r="D74" s="159">
        <f>IF('2200SF'!AD46&gt;=1,'UA Optimizer '!Z60,'UA Optimizer '!Z59)</f>
        <v>3567.455158884234</v>
      </c>
      <c r="E74" s="141" t="b">
        <f t="shared" si="10"/>
        <v>0</v>
      </c>
      <c r="F74" s="159">
        <f>IF('2283SF'!AD48&gt;=1,'UA Optimizer '!AF60,'UA Optimizer '!AF59)</f>
        <v>1718.544747113518</v>
      </c>
      <c r="G74" s="404" t="b">
        <f t="shared" si="11"/>
        <v>0</v>
      </c>
      <c r="H74" s="5"/>
      <c r="I74" s="5"/>
      <c r="J74" s="5"/>
      <c r="L74" s="5"/>
    </row>
    <row r="75" spans="2:12" ht="12.75">
      <c r="B75" s="411">
        <f>IF('1344SF'!AD47&gt;=1,'UA Optimizer '!T61,'UA Optimizer '!T60)</f>
        <v>2984.458510268724</v>
      </c>
      <c r="C75" s="141" t="b">
        <f t="shared" si="9"/>
        <v>0</v>
      </c>
      <c r="D75" s="159">
        <f>IF('2200SF'!AD47&gt;=1,'UA Optimizer '!Z61,'UA Optimizer '!Z60)</f>
        <v>4886.863459691427</v>
      </c>
      <c r="E75" s="141" t="b">
        <f t="shared" si="10"/>
        <v>0</v>
      </c>
      <c r="F75" s="159">
        <f>IF('2283SF'!AD49&gt;=1,'UA Optimizer '!AF61,'UA Optimizer '!AF60)</f>
        <v>2229.055424542761</v>
      </c>
      <c r="G75" s="404" t="b">
        <f t="shared" si="11"/>
        <v>0</v>
      </c>
      <c r="H75" s="5"/>
      <c r="I75" s="5"/>
      <c r="J75" s="5"/>
      <c r="L75" s="5"/>
    </row>
    <row r="76" spans="2:12" ht="12.75">
      <c r="B76" s="411">
        <f>IF('1344SF'!AD48&gt;=1,'UA Optimizer '!T62,'UA Optimizer '!T61)</f>
        <v>4031.85625012772</v>
      </c>
      <c r="C76" s="141" t="b">
        <f t="shared" si="9"/>
        <v>0</v>
      </c>
      <c r="D76" s="159">
        <f>IF('2200SF'!AD48&gt;=1,'UA Optimizer '!Z62,'UA Optimizer '!Z61)</f>
        <v>6692.369555532849</v>
      </c>
      <c r="E76" s="141" t="b">
        <f t="shared" si="10"/>
        <v>0</v>
      </c>
      <c r="F76" s="159">
        <f>IF('2283SF'!AD50&gt;=1,'UA Optimizer '!AF62,'UA Optimizer '!AF61)</f>
        <v>2774.472814958619</v>
      </c>
      <c r="G76" s="404" t="b">
        <f t="shared" si="11"/>
        <v>0</v>
      </c>
      <c r="H76" s="5"/>
      <c r="I76" s="5"/>
      <c r="J76" s="5"/>
      <c r="L76" s="5"/>
    </row>
    <row r="77" spans="2:12" ht="12.75">
      <c r="B77" s="411">
        <f>IF('1344SF'!AD49&gt;=1,'UA Optimizer '!T63,'UA Optimizer '!T62)</f>
        <v>4314.600625319301</v>
      </c>
      <c r="C77" s="141" t="b">
        <f t="shared" si="9"/>
        <v>0</v>
      </c>
      <c r="D77" s="159">
        <f>IF('2200SF'!AD49&gt;=1,'UA Optimizer '!Z63,'UA Optimizer '!Z62)</f>
        <v>6928.578918974148</v>
      </c>
      <c r="E77" s="141" t="b">
        <f t="shared" si="10"/>
        <v>0</v>
      </c>
      <c r="F77" s="159">
        <f>IF('2283SF'!AD51&gt;=1,'UA Optimizer '!AF63,'UA Optimizer '!AF62)</f>
        <v>3904.2394891182184</v>
      </c>
      <c r="G77" s="404" t="b">
        <f t="shared" si="11"/>
        <v>0</v>
      </c>
      <c r="H77" s="5"/>
      <c r="I77" s="5"/>
      <c r="J77" s="5"/>
      <c r="L77" s="5"/>
    </row>
    <row r="78" spans="2:13" ht="12.75">
      <c r="B78" s="411">
        <f>IF('1344SF'!AD50&gt;=1,'UA Optimizer '!T64,'UA Optimizer '!T63)</f>
        <v>4851.7276714008385</v>
      </c>
      <c r="C78" s="141" t="b">
        <f t="shared" si="9"/>
        <v>0</v>
      </c>
      <c r="D78" s="159">
        <f>IF('2200SF'!AD50&gt;=1,'UA Optimizer '!Z64,'UA Optimizer '!Z63)</f>
        <v>7854.479480944109</v>
      </c>
      <c r="E78" s="141" t="b">
        <f t="shared" si="10"/>
        <v>0</v>
      </c>
      <c r="F78" s="159">
        <f>IF('2283SF'!AD52&gt;=1,'UA Optimizer '!AF64,'UA Optimizer '!AF63)</f>
        <v>5450.2359905997755</v>
      </c>
      <c r="G78" s="404" t="b">
        <f t="shared" si="11"/>
        <v>0</v>
      </c>
      <c r="H78" s="5"/>
      <c r="I78" s="5"/>
      <c r="J78" s="5"/>
      <c r="L78" s="5"/>
      <c r="M78" s="114"/>
    </row>
    <row r="79" spans="2:13" ht="12.75">
      <c r="B79" s="411">
        <f>IF('1344SF'!AD51&gt;=1,'UA Optimizer '!T65,'UA Optimizer '!T64)</f>
        <v>5483.484634719527</v>
      </c>
      <c r="C79" s="141" t="b">
        <f t="shared" si="9"/>
        <v>0</v>
      </c>
      <c r="D79" s="159">
        <f>IF('2200SF'!AD51&gt;=1,'UA Optimizer '!Z65,'UA Optimizer '!Z64)</f>
        <v>8921.446796771226</v>
      </c>
      <c r="E79" s="141" t="b">
        <f t="shared" si="10"/>
        <v>0</v>
      </c>
      <c r="F79" s="159">
        <f>IF('2283SF'!AD53&gt;=1,'UA Optimizer '!AF65,'UA Optimizer '!AF64)</f>
        <v>5803.077408807602</v>
      </c>
      <c r="G79" s="404" t="b">
        <f t="shared" si="11"/>
        <v>0</v>
      </c>
      <c r="H79" s="5"/>
      <c r="I79" s="5"/>
      <c r="J79" s="5"/>
      <c r="L79" s="5"/>
      <c r="M79" s="114"/>
    </row>
    <row r="80" spans="2:13" ht="13.5" thickBot="1">
      <c r="B80" s="405"/>
      <c r="C80" s="406"/>
      <c r="D80" s="406"/>
      <c r="E80" s="407" t="b">
        <f t="shared" si="10"/>
        <v>0</v>
      </c>
      <c r="F80" s="459">
        <f>IF('2283SF'!AD54&gt;=1,'UA Optimizer '!AF66,'UA Optimizer '!AF65)</f>
        <v>6595.896127516094</v>
      </c>
      <c r="G80" s="408" t="b">
        <f t="shared" si="11"/>
        <v>0</v>
      </c>
      <c r="H80" s="5"/>
      <c r="I80" s="5"/>
      <c r="J80" s="5"/>
      <c r="L80" s="5"/>
      <c r="M80" s="114"/>
    </row>
    <row r="81" spans="2:13" ht="12.75">
      <c r="B81"/>
      <c r="C81"/>
      <c r="D81"/>
      <c r="E81"/>
      <c r="F81"/>
      <c r="G81"/>
      <c r="H81" s="5"/>
      <c r="I81" s="5"/>
      <c r="J81" s="5"/>
      <c r="L81" s="5"/>
      <c r="M81" s="114"/>
    </row>
    <row r="82" spans="2:13" ht="12.75">
      <c r="B82"/>
      <c r="C82"/>
      <c r="D82"/>
      <c r="E82"/>
      <c r="F82"/>
      <c r="G82"/>
      <c r="H82" s="5"/>
      <c r="I82" s="5"/>
      <c r="J82" s="5"/>
      <c r="L82" s="5"/>
      <c r="M82" s="114"/>
    </row>
    <row r="83" spans="7:13" ht="13.5" thickBot="1">
      <c r="G83" s="5"/>
      <c r="H83" s="5"/>
      <c r="I83" s="5"/>
      <c r="J83" s="5"/>
      <c r="L83" s="5"/>
      <c r="M83" s="114"/>
    </row>
    <row r="84" spans="2:13" ht="13.5" thickBot="1">
      <c r="B84" s="535" t="s">
        <v>392</v>
      </c>
      <c r="C84" s="537"/>
      <c r="D84" s="537"/>
      <c r="E84" s="537"/>
      <c r="F84" s="537"/>
      <c r="G84" s="534"/>
      <c r="H84" s="5"/>
      <c r="I84" s="5"/>
      <c r="J84" s="5"/>
      <c r="L84" s="5"/>
      <c r="M84" s="114"/>
    </row>
    <row r="85" spans="2:13" ht="13.5" thickBot="1">
      <c r="B85" s="535">
        <v>1344</v>
      </c>
      <c r="C85" s="536"/>
      <c r="D85" s="533">
        <v>2200</v>
      </c>
      <c r="E85" s="536"/>
      <c r="F85" s="533">
        <v>2283</v>
      </c>
      <c r="G85" s="534"/>
      <c r="H85" s="5"/>
      <c r="I85" s="5"/>
      <c r="J85" s="5"/>
      <c r="L85" s="5"/>
      <c r="M85" s="114"/>
    </row>
    <row r="86" spans="2:13" ht="12.75">
      <c r="B86" s="461">
        <f>IF('1344SF'!AD39&gt;=1,'UA Optimizer '!R53,'UA Optimizer '!R52)</f>
        <v>288.4616542635659</v>
      </c>
      <c r="C86" s="153" t="b">
        <f aca="true" t="shared" si="12" ref="C86:C98">AND(B86=B87,B87&gt;B88)</f>
        <v>0</v>
      </c>
      <c r="D86" s="462">
        <f>IF('2200SF'!AD39&gt;=1,'UA Optimizer '!X53,'UA Optimizer '!X52)</f>
        <v>469.43946511627905</v>
      </c>
      <c r="E86" s="153" t="b">
        <f aca="true" t="shared" si="13" ref="E86:E99">AND(D86=D87,D87&gt;D88)</f>
        <v>0</v>
      </c>
      <c r="F86" s="462">
        <f>IF('2283SF'!AD41&gt;=1,'UA Optimizer '!AD53,'UA Optimizer '!AD52)</f>
        <v>472.5855798449613</v>
      </c>
      <c r="G86" s="410" t="b">
        <f aca="true" t="shared" si="14" ref="G86:G99">AND(F86=F87,F87&gt;F88)</f>
        <v>0</v>
      </c>
      <c r="H86" s="5"/>
      <c r="I86" s="5"/>
      <c r="J86" s="5"/>
      <c r="L86" s="5"/>
      <c r="M86" s="114"/>
    </row>
    <row r="87" spans="2:13" ht="12.75">
      <c r="B87" s="403">
        <f>IF('1344SF'!AD40&gt;=1,'UA Optimizer '!R54,'UA Optimizer '!R53)</f>
        <v>280.1667789883269</v>
      </c>
      <c r="C87" s="141" t="b">
        <f t="shared" si="12"/>
        <v>1</v>
      </c>
      <c r="D87" s="150">
        <f>IF('2200SF'!AD40&gt;=1,'UA Optimizer '!X54,'UA Optimizer '!X53)</f>
        <v>452.18989494163424</v>
      </c>
      <c r="E87" s="141" t="b">
        <f t="shared" si="13"/>
        <v>1</v>
      </c>
      <c r="F87" s="150">
        <f>IF('2283SF'!AD42&gt;=1,'UA Optimizer '!AD54,'UA Optimizer '!AD53)</f>
        <v>452.59857984496125</v>
      </c>
      <c r="G87" s="404" t="b">
        <f t="shared" si="14"/>
        <v>0</v>
      </c>
      <c r="H87" s="5"/>
      <c r="I87" s="5"/>
      <c r="J87" s="5"/>
      <c r="L87" s="5"/>
      <c r="M87" s="114"/>
    </row>
    <row r="88" spans="2:13" ht="12.75">
      <c r="B88" s="403">
        <f>IF('1344SF'!AD41&gt;=1,'UA Optimizer '!R55,'UA Optimizer '!R54)</f>
        <v>280.1667789883269</v>
      </c>
      <c r="C88" s="141" t="b">
        <f t="shared" si="12"/>
        <v>0</v>
      </c>
      <c r="D88" s="150">
        <f>IF('2200SF'!AD41&gt;=1,'UA Optimizer '!X55,'UA Optimizer '!X54)</f>
        <v>452.18989494163424</v>
      </c>
      <c r="E88" s="141" t="b">
        <f t="shared" si="13"/>
        <v>0</v>
      </c>
      <c r="F88" s="150">
        <f>IF('2283SF'!AD43&gt;=1,'UA Optimizer '!AD55,'UA Optimizer '!AD54)</f>
        <v>443.17258521400777</v>
      </c>
      <c r="G88" s="404" t="b">
        <f t="shared" si="14"/>
        <v>0</v>
      </c>
      <c r="H88" s="5"/>
      <c r="I88" s="5"/>
      <c r="J88" s="5"/>
      <c r="L88" s="5"/>
      <c r="M88" s="114"/>
    </row>
    <row r="89" spans="2:13" ht="12.75">
      <c r="B89" s="403">
        <f>IF('1344SF'!AD42&gt;=1,'UA Optimizer '!R56,'UA Optimizer '!R55)</f>
        <v>270.75877898832687</v>
      </c>
      <c r="C89" s="141" t="b">
        <f t="shared" si="12"/>
        <v>0</v>
      </c>
      <c r="D89" s="150">
        <f>IF('2200SF'!AD42&gt;=1,'UA Optimizer '!X56,'UA Optimizer '!X55)</f>
        <v>440.1428949416342</v>
      </c>
      <c r="E89" s="141" t="b">
        <f t="shared" si="13"/>
        <v>0</v>
      </c>
      <c r="F89" s="150">
        <f>IF('2283SF'!AD44&gt;=1,'UA Optimizer '!AD56,'UA Optimizer '!AD55)</f>
        <v>434.7725852140078</v>
      </c>
      <c r="G89" s="404" t="b">
        <f t="shared" si="14"/>
        <v>0</v>
      </c>
      <c r="H89" s="5"/>
      <c r="I89" s="5"/>
      <c r="J89" s="5"/>
      <c r="L89" s="5"/>
      <c r="M89" s="114"/>
    </row>
    <row r="90" spans="2:13" ht="12.75">
      <c r="B90" s="403">
        <f>IF('1344SF'!AD43&gt;=1,'UA Optimizer '!R57,'UA Optimizer '!R56)</f>
        <v>260.19877898832686</v>
      </c>
      <c r="C90" s="141" t="b">
        <f t="shared" si="12"/>
        <v>0</v>
      </c>
      <c r="D90" s="150">
        <f>IF('2200SF'!AD43&gt;=1,'UA Optimizer '!X57,'UA Optimizer '!X56)</f>
        <v>431.3208949416342</v>
      </c>
      <c r="E90" s="141" t="b">
        <f t="shared" si="13"/>
        <v>0</v>
      </c>
      <c r="F90" s="150">
        <f>IF('2283SF'!AD45&gt;=1,'UA Optimizer '!AD57,'UA Optimizer '!AD56)</f>
        <v>417.9725852140078</v>
      </c>
      <c r="G90" s="404" t="b">
        <f t="shared" si="14"/>
        <v>1</v>
      </c>
      <c r="H90" s="5"/>
      <c r="I90" s="5"/>
      <c r="J90" s="5"/>
      <c r="K90" s="5"/>
      <c r="L90" s="5"/>
      <c r="M90" s="114"/>
    </row>
    <row r="91" spans="2:13" ht="12.75">
      <c r="B91" s="403">
        <f>IF('1344SF'!AD44&gt;=1,'UA Optimizer '!R58,'UA Optimizer '!R57)</f>
        <v>251.83910000000003</v>
      </c>
      <c r="C91" s="141" t="b">
        <f t="shared" si="12"/>
        <v>0</v>
      </c>
      <c r="D91" s="150">
        <f>IF('2200SF'!AD44&gt;=1,'UA Optimizer '!X58,'UA Optimizer '!X57)</f>
        <v>413.9365625</v>
      </c>
      <c r="E91" s="141" t="b">
        <f t="shared" si="13"/>
        <v>0</v>
      </c>
      <c r="F91" s="150">
        <f>IF('2283SF'!AD46&gt;=1,'UA Optimizer '!AD58,'UA Optimizer '!AD57)</f>
        <v>417.9725852140078</v>
      </c>
      <c r="G91" s="404" t="b">
        <f t="shared" si="14"/>
        <v>0</v>
      </c>
      <c r="H91" s="5"/>
      <c r="I91" s="5"/>
      <c r="J91" s="5"/>
      <c r="K91" s="5"/>
      <c r="L91" s="5"/>
      <c r="M91" s="114"/>
    </row>
    <row r="92" spans="2:13" ht="12.75">
      <c r="B92" s="403">
        <f>IF('1344SF'!AD45&gt;=1,'UA Optimizer '!R59,'UA Optimizer '!R58)</f>
        <v>243.4138549019608</v>
      </c>
      <c r="C92" s="141" t="b">
        <f t="shared" si="12"/>
        <v>0</v>
      </c>
      <c r="D92" s="150">
        <f>IF('2200SF'!AD45&gt;=1,'UA Optimizer '!X59,'UA Optimizer '!X58)</f>
        <v>396.41588235294114</v>
      </c>
      <c r="E92" s="141" t="b">
        <f t="shared" si="13"/>
        <v>0</v>
      </c>
      <c r="F92" s="150">
        <f>IF('2283SF'!AD47&gt;=1,'UA Optimizer '!AD59,'UA Optimizer '!AD58)</f>
        <v>417.24458521400777</v>
      </c>
      <c r="G92" s="404" t="b">
        <f t="shared" si="14"/>
        <v>0</v>
      </c>
      <c r="H92" s="5"/>
      <c r="I92" s="5"/>
      <c r="J92" s="5"/>
      <c r="K92" s="5"/>
      <c r="M92" s="114"/>
    </row>
    <row r="93" spans="2:13" ht="12.75">
      <c r="B93" s="403">
        <f>IF('1344SF'!AD46&gt;=1,'UA Optimizer '!R60,'UA Optimizer '!R59)</f>
        <v>240.5788549019608</v>
      </c>
      <c r="C93" s="141" t="b">
        <f t="shared" si="12"/>
        <v>0</v>
      </c>
      <c r="D93" s="150">
        <f>IF('2200SF'!AD46&gt;=1,'UA Optimizer '!X60,'UA Optimizer '!X59)</f>
        <v>391.6278823529411</v>
      </c>
      <c r="E93" s="141" t="b">
        <f t="shared" si="13"/>
        <v>0</v>
      </c>
      <c r="F93" s="150">
        <f>IF('2283SF'!AD48&gt;=1,'UA Optimizer '!AD60,'UA Optimizer '!AD59)</f>
        <v>404.0665852140078</v>
      </c>
      <c r="G93" s="404" t="b">
        <f t="shared" si="14"/>
        <v>0</v>
      </c>
      <c r="H93" s="5"/>
      <c r="I93" s="5"/>
      <c r="J93" s="5"/>
      <c r="K93" s="5"/>
      <c r="M93" s="114"/>
    </row>
    <row r="94" spans="2:13" ht="12.75">
      <c r="B94" s="403">
        <f>IF('1344SF'!AD47&gt;=1,'UA Optimizer '!R61,'UA Optimizer '!R60)</f>
        <v>230.73085490196078</v>
      </c>
      <c r="C94" s="141" t="b">
        <f t="shared" si="12"/>
        <v>0</v>
      </c>
      <c r="D94" s="150">
        <f>IF('2200SF'!AD47&gt;=1,'UA Optimizer '!X61,'UA Optimizer '!X60)</f>
        <v>374.65188235294113</v>
      </c>
      <c r="E94" s="141" t="b">
        <f t="shared" si="13"/>
        <v>0</v>
      </c>
      <c r="F94" s="150">
        <f>IF('2283SF'!AD49&gt;=1,'UA Optimizer '!AD61,'UA Optimizer '!AD60)</f>
        <v>394.56695</v>
      </c>
      <c r="G94" s="404" t="b">
        <f t="shared" si="14"/>
        <v>0</v>
      </c>
      <c r="H94" s="5"/>
      <c r="K94" s="5"/>
      <c r="M94" s="114"/>
    </row>
    <row r="95" spans="2:13" ht="12.75">
      <c r="B95" s="403">
        <f>IF('1344SF'!AD48&gt;=1,'UA Optimizer '!R62,'UA Optimizer '!R61)</f>
        <v>219.6518549019608</v>
      </c>
      <c r="C95" s="141" t="b">
        <f t="shared" si="12"/>
        <v>0</v>
      </c>
      <c r="D95" s="150">
        <f>IF('2200SF'!AD48&gt;=1,'UA Optimizer '!X62,'UA Optimizer '!X61)</f>
        <v>355.5538823529412</v>
      </c>
      <c r="E95" s="141" t="b">
        <f t="shared" si="13"/>
        <v>0</v>
      </c>
      <c r="F95" s="150">
        <f>IF('2283SF'!AD50&gt;=1,'UA Optimizer '!AD62,'UA Optimizer '!AD61)</f>
        <v>384.99280784313726</v>
      </c>
      <c r="G95" s="404" t="b">
        <f t="shared" si="14"/>
        <v>0</v>
      </c>
      <c r="H95" s="5"/>
      <c r="K95" s="5"/>
      <c r="M95" s="114"/>
    </row>
    <row r="96" spans="2:13" ht="12.75">
      <c r="B96" s="403">
        <f>IF('1344SF'!AD49&gt;=1,'UA Optimizer '!R63,'UA Optimizer '!R62)</f>
        <v>216.7718549019608</v>
      </c>
      <c r="C96" s="141" t="b">
        <f t="shared" si="12"/>
        <v>0</v>
      </c>
      <c r="D96" s="150">
        <f>IF('2200SF'!AD49&gt;=1,'UA Optimizer '!X63,'UA Optimizer '!X62)</f>
        <v>353.14788235294117</v>
      </c>
      <c r="E96" s="141" t="b">
        <f t="shared" si="13"/>
        <v>0</v>
      </c>
      <c r="F96" s="150">
        <f>IF('2283SF'!AD51&gt;=1,'UA Optimizer '!AD63,'UA Optimizer '!AD62)</f>
        <v>370.45680784313726</v>
      </c>
      <c r="G96" s="404" t="b">
        <f t="shared" si="14"/>
        <v>0</v>
      </c>
      <c r="H96" s="5"/>
      <c r="K96" s="5"/>
      <c r="M96" s="114"/>
    </row>
    <row r="97" spans="2:13" ht="12.75">
      <c r="B97" s="403">
        <f>IF('1344SF'!AD50&gt;=1,'UA Optimizer '!R64,'UA Optimizer '!R63)</f>
        <v>215.5408549019608</v>
      </c>
      <c r="C97" s="141" t="b">
        <f t="shared" si="12"/>
        <v>0</v>
      </c>
      <c r="D97" s="150">
        <f>IF('2200SF'!AD50&gt;=1,'UA Optimizer '!X64,'UA Optimizer '!X63)</f>
        <v>351.02588235294115</v>
      </c>
      <c r="E97" s="141" t="b">
        <f t="shared" si="13"/>
        <v>0</v>
      </c>
      <c r="F97" s="150">
        <f>IF('2283SF'!AD52&gt;=1,'UA Optimizer '!AD64,'UA Optimizer '!AD63)</f>
        <v>354.10380784313725</v>
      </c>
      <c r="G97" s="404" t="b">
        <f t="shared" si="14"/>
        <v>0</v>
      </c>
      <c r="H97" s="5"/>
      <c r="K97" s="5"/>
      <c r="M97" s="114"/>
    </row>
    <row r="98" spans="2:13" ht="12.75">
      <c r="B98" s="403">
        <f>IF('1344SF'!AD51&gt;=1,'UA Optimizer '!R65,'UA Optimizer '!R64)</f>
        <v>215.1358549019608</v>
      </c>
      <c r="C98" s="141" t="b">
        <f t="shared" si="12"/>
        <v>0</v>
      </c>
      <c r="D98" s="150">
        <f>IF('2200SF'!AD51&gt;=1,'UA Optimizer '!X65,'UA Optimizer '!X64)</f>
        <v>350.3418823529411</v>
      </c>
      <c r="E98" s="141" t="b">
        <f t="shared" si="13"/>
        <v>0</v>
      </c>
      <c r="F98" s="150">
        <f>IF('2283SF'!AD53&gt;=1,'UA Optimizer '!AD65,'UA Optimizer '!AD64)</f>
        <v>350.50980784313725</v>
      </c>
      <c r="G98" s="404" t="b">
        <f t="shared" si="14"/>
        <v>0</v>
      </c>
      <c r="H98" s="5"/>
      <c r="I98" s="5"/>
      <c r="J98" s="5"/>
      <c r="K98" s="5"/>
      <c r="M98" s="114"/>
    </row>
    <row r="99" spans="2:13" ht="13.5" thickBot="1">
      <c r="B99" s="405"/>
      <c r="C99" s="406"/>
      <c r="D99" s="406"/>
      <c r="E99" s="407" t="b">
        <f t="shared" si="13"/>
        <v>0</v>
      </c>
      <c r="F99" s="460">
        <f>IF('2283SF'!AD54&gt;=1,'UA Optimizer '!AD66,'UA Optimizer '!AD65)</f>
        <v>348.69280784313725</v>
      </c>
      <c r="G99" s="408" t="b">
        <f t="shared" si="14"/>
        <v>0</v>
      </c>
      <c r="H99" s="5"/>
      <c r="I99" s="5"/>
      <c r="J99" s="5"/>
      <c r="K99" s="5"/>
      <c r="M99" s="114"/>
    </row>
    <row r="100" spans="2:13" ht="12.75">
      <c r="B100"/>
      <c r="C100"/>
      <c r="D100"/>
      <c r="E100"/>
      <c r="F100"/>
      <c r="G100"/>
      <c r="H100" s="5"/>
      <c r="I100" s="5"/>
      <c r="J100" s="5"/>
      <c r="K100" s="5"/>
      <c r="M100" s="114"/>
    </row>
    <row r="101" spans="2:13" ht="13.5" thickBot="1">
      <c r="B101"/>
      <c r="C101"/>
      <c r="D101"/>
      <c r="E101"/>
      <c r="F101"/>
      <c r="G101"/>
      <c r="H101" s="5"/>
      <c r="I101" s="5"/>
      <c r="J101" s="5"/>
      <c r="K101" s="5"/>
      <c r="M101" s="114"/>
    </row>
    <row r="102" spans="2:13" ht="13.5" thickBot="1">
      <c r="B102" s="479" t="s">
        <v>419</v>
      </c>
      <c r="C102" s="480"/>
      <c r="D102" s="480"/>
      <c r="E102" s="480"/>
      <c r="F102" s="480"/>
      <c r="G102" s="480"/>
      <c r="H102" s="480"/>
      <c r="I102" s="480"/>
      <c r="J102" s="480"/>
      <c r="K102" s="480"/>
      <c r="L102" s="481"/>
      <c r="M102" s="114"/>
    </row>
    <row r="103" spans="2:32" ht="13.5" thickBot="1">
      <c r="B103" s="546">
        <f>B19</f>
        <v>1344</v>
      </c>
      <c r="C103" s="547"/>
      <c r="D103" s="548">
        <f>C21</f>
        <v>2200</v>
      </c>
      <c r="E103" s="549"/>
      <c r="F103" s="548">
        <f>D19</f>
        <v>2283</v>
      </c>
      <c r="G103" s="549"/>
      <c r="H103" s="492">
        <f>E19</f>
        <v>2109.73</v>
      </c>
      <c r="I103" s="493"/>
      <c r="J103" s="493"/>
      <c r="K103" s="493"/>
      <c r="L103" s="494"/>
      <c r="M103" s="114"/>
      <c r="N103" s="114" t="s">
        <v>431</v>
      </c>
      <c r="AF103" s="5" t="s">
        <v>434</v>
      </c>
    </row>
    <row r="104" spans="2:36" ht="13.5" thickBot="1">
      <c r="B104" s="489" t="s">
        <v>204</v>
      </c>
      <c r="C104" s="489" t="s">
        <v>376</v>
      </c>
      <c r="D104" s="489" t="s">
        <v>204</v>
      </c>
      <c r="E104" s="489" t="s">
        <v>376</v>
      </c>
      <c r="F104" s="489" t="s">
        <v>204</v>
      </c>
      <c r="G104" s="489" t="s">
        <v>376</v>
      </c>
      <c r="H104" s="489" t="s">
        <v>204</v>
      </c>
      <c r="I104" s="489" t="s">
        <v>376</v>
      </c>
      <c r="J104" s="490" t="s">
        <v>204</v>
      </c>
      <c r="K104" s="490" t="s">
        <v>291</v>
      </c>
      <c r="L104" s="491" t="s">
        <v>418</v>
      </c>
      <c r="M104" s="114"/>
      <c r="N104" s="502" t="s">
        <v>118</v>
      </c>
      <c r="O104" s="502" t="s">
        <v>427</v>
      </c>
      <c r="P104" s="502" t="s">
        <v>427</v>
      </c>
      <c r="Q104" s="502" t="s">
        <v>427</v>
      </c>
      <c r="R104" s="502" t="s">
        <v>428</v>
      </c>
      <c r="S104" s="502" t="s">
        <v>428</v>
      </c>
      <c r="T104" s="502" t="s">
        <v>428</v>
      </c>
      <c r="U104" s="502" t="s">
        <v>425</v>
      </c>
      <c r="V104" s="502" t="s">
        <v>425</v>
      </c>
      <c r="W104" s="502" t="s">
        <v>425</v>
      </c>
      <c r="X104" s="502" t="s">
        <v>429</v>
      </c>
      <c r="Y104" s="502" t="s">
        <v>429</v>
      </c>
      <c r="Z104" s="502" t="s">
        <v>429</v>
      </c>
      <c r="AA104" s="502" t="s">
        <v>426</v>
      </c>
      <c r="AB104" s="502" t="s">
        <v>426</v>
      </c>
      <c r="AC104" s="502" t="s">
        <v>426</v>
      </c>
      <c r="AE104" s="503" t="s">
        <v>118</v>
      </c>
      <c r="AF104" s="504" t="s">
        <v>427</v>
      </c>
      <c r="AG104" s="505" t="s">
        <v>428</v>
      </c>
      <c r="AH104" s="505" t="s">
        <v>425</v>
      </c>
      <c r="AI104" s="505" t="s">
        <v>429</v>
      </c>
      <c r="AJ104" s="506" t="s">
        <v>426</v>
      </c>
    </row>
    <row r="105" spans="2:41" ht="12.75">
      <c r="B105" s="482">
        <v>800</v>
      </c>
      <c r="C105" s="483">
        <f>'UA Optimizer '!AU3</f>
        <v>34659.12686785819</v>
      </c>
      <c r="D105" s="484">
        <v>800</v>
      </c>
      <c r="E105" s="483">
        <f>'UA Optimizer '!BC3</f>
        <v>30627.658951069443</v>
      </c>
      <c r="F105" s="484">
        <v>800</v>
      </c>
      <c r="G105" s="483">
        <f>'UA Optimizer '!BK3</f>
        <v>33284.29534134193</v>
      </c>
      <c r="H105" s="484">
        <v>800</v>
      </c>
      <c r="I105" s="485">
        <f aca="true" t="shared" si="15" ref="I105:I136">($B$18*C105)+($C$18*E105)+($D$18*G105)</f>
        <v>31509.930559624965</v>
      </c>
      <c r="J105" s="486">
        <v>800</v>
      </c>
      <c r="K105" s="487">
        <f aca="true" t="shared" si="16" ref="K105:K136">J105/E$19</f>
        <v>0.3791954420707863</v>
      </c>
      <c r="L105" s="488">
        <f aca="true" t="shared" si="17" ref="L105:L136">I105/E$19</f>
        <v>14.93552756022096</v>
      </c>
      <c r="M105" s="114"/>
      <c r="N105" s="497" t="s">
        <v>422</v>
      </c>
      <c r="O105" s="497">
        <v>1344</v>
      </c>
      <c r="P105" s="497">
        <v>2200</v>
      </c>
      <c r="Q105" s="497">
        <v>2283</v>
      </c>
      <c r="R105" s="497">
        <v>1344</v>
      </c>
      <c r="S105" s="497">
        <v>2200</v>
      </c>
      <c r="T105" s="497">
        <v>2283</v>
      </c>
      <c r="U105" s="497">
        <v>1344</v>
      </c>
      <c r="V105" s="497">
        <v>2200</v>
      </c>
      <c r="W105" s="497">
        <v>2283</v>
      </c>
      <c r="X105" s="497">
        <v>1344</v>
      </c>
      <c r="Y105" s="497">
        <v>2200</v>
      </c>
      <c r="Z105" s="497">
        <v>2283</v>
      </c>
      <c r="AA105" s="497">
        <v>1344</v>
      </c>
      <c r="AB105" s="497">
        <v>2200</v>
      </c>
      <c r="AC105" s="497">
        <v>2283</v>
      </c>
      <c r="AF105" s="511">
        <f>SUMPRODUCT($B$18:$D$18,O105:Q105)</f>
        <v>2109.73</v>
      </c>
      <c r="AG105" s="512">
        <f>SUMPRODUCT($B$18:$D$18,R105:T105)</f>
        <v>2109.73</v>
      </c>
      <c r="AH105" s="512">
        <f>SUMPRODUCT($B$18:$D$18,U105:W105)</f>
        <v>2109.73</v>
      </c>
      <c r="AI105" s="512">
        <f>SUMPRODUCT($B$18:$D$18,X105:Z105)</f>
        <v>2109.73</v>
      </c>
      <c r="AJ105" s="513">
        <f>SUMPRODUCT($B$18:$D$18,AA105:AC105)</f>
        <v>2109.73</v>
      </c>
      <c r="AK105"/>
      <c r="AL105"/>
      <c r="AM105"/>
      <c r="AN105"/>
      <c r="AO105"/>
    </row>
    <row r="106" spans="2:41" ht="12.75">
      <c r="B106" s="145">
        <v>790</v>
      </c>
      <c r="C106" s="146">
        <f>'UA Optimizer '!AU4</f>
        <v>34122.79519484325</v>
      </c>
      <c r="D106" s="147">
        <v>790</v>
      </c>
      <c r="E106" s="146">
        <f>'UA Optimizer '!BC4</f>
        <v>30111.837093466158</v>
      </c>
      <c r="F106" s="147">
        <v>790</v>
      </c>
      <c r="G106" s="146">
        <f>'UA Optimizer '!BK4</f>
        <v>32751.538236155877</v>
      </c>
      <c r="H106" s="147">
        <v>790</v>
      </c>
      <c r="I106" s="148">
        <f t="shared" si="15"/>
        <v>30989.107237034867</v>
      </c>
      <c r="J106" s="476">
        <v>790</v>
      </c>
      <c r="K106" s="477">
        <f t="shared" si="16"/>
        <v>0.3744554990449015</v>
      </c>
      <c r="L106" s="478">
        <f t="shared" si="17"/>
        <v>14.68866027265805</v>
      </c>
      <c r="M106" s="114"/>
      <c r="N106" s="497" t="s">
        <v>430</v>
      </c>
      <c r="O106" s="501">
        <f>$B23</f>
        <v>378.2052666666666</v>
      </c>
      <c r="P106" s="501">
        <f>$C23</f>
        <v>631.8926363636364</v>
      </c>
      <c r="Q106" s="501">
        <f>$D23</f>
        <v>579.1319575757576</v>
      </c>
      <c r="R106" s="501">
        <f>$B23</f>
        <v>378.2052666666666</v>
      </c>
      <c r="S106" s="501">
        <f>$C23</f>
        <v>631.8926363636364</v>
      </c>
      <c r="T106" s="501">
        <f>$D23</f>
        <v>579.1319575757576</v>
      </c>
      <c r="U106" s="501">
        <f>$B23</f>
        <v>378.2052666666666</v>
      </c>
      <c r="V106" s="501">
        <f>$C23</f>
        <v>631.8926363636364</v>
      </c>
      <c r="W106" s="501">
        <f>$D23</f>
        <v>579.1319575757576</v>
      </c>
      <c r="X106" s="501">
        <f>$B23</f>
        <v>378.2052666666666</v>
      </c>
      <c r="Y106" s="501">
        <f>$C23</f>
        <v>631.8926363636364</v>
      </c>
      <c r="Z106" s="501">
        <f>$D23</f>
        <v>579.1319575757576</v>
      </c>
      <c r="AA106" s="501">
        <f>$B23</f>
        <v>378.2052666666666</v>
      </c>
      <c r="AB106" s="501">
        <f>$C23</f>
        <v>631.8926363636364</v>
      </c>
      <c r="AC106" s="501">
        <f>$D23</f>
        <v>579.1319575757576</v>
      </c>
      <c r="AF106" s="507">
        <f>SUMPRODUCT($B$18:$D$18,O106:Q106)</f>
        <v>593.5360501818182</v>
      </c>
      <c r="AG106" s="501">
        <f>SUMPRODUCT($B$18:$D$18,R106:T106)</f>
        <v>593.5360501818182</v>
      </c>
      <c r="AH106" s="501">
        <f>SUMPRODUCT($B$18:$D$18,U106:W106)</f>
        <v>593.5360501818182</v>
      </c>
      <c r="AI106" s="501">
        <f>SUMPRODUCT($B$18:$D$18,X106:Z106)</f>
        <v>593.5360501818182</v>
      </c>
      <c r="AJ106" s="508">
        <f>SUMPRODUCT($B$18:$D$18,AA106:AC106)</f>
        <v>593.5360501818182</v>
      </c>
      <c r="AK106"/>
      <c r="AL106"/>
      <c r="AM106"/>
      <c r="AN106"/>
      <c r="AO106"/>
    </row>
    <row r="107" spans="2:41" ht="12.75">
      <c r="B107" s="145">
        <v>780</v>
      </c>
      <c r="C107" s="146">
        <f>'UA Optimizer '!AU5</f>
        <v>33586.55142103721</v>
      </c>
      <c r="D107" s="147">
        <v>780</v>
      </c>
      <c r="E107" s="146">
        <f>'UA Optimizer '!BC5</f>
        <v>29597.36302373279</v>
      </c>
      <c r="F107" s="147">
        <v>780</v>
      </c>
      <c r="G107" s="146">
        <f>'UA Optimizer '!BK5</f>
        <v>32219.425725168472</v>
      </c>
      <c r="H107" s="147">
        <v>780</v>
      </c>
      <c r="I107" s="148">
        <f t="shared" si="15"/>
        <v>30469.37503662467</v>
      </c>
      <c r="J107" s="476">
        <v>780</v>
      </c>
      <c r="K107" s="477">
        <f t="shared" si="16"/>
        <v>0.3697155560190166</v>
      </c>
      <c r="L107" s="478">
        <f t="shared" si="17"/>
        <v>14.442310170791842</v>
      </c>
      <c r="M107" s="114"/>
      <c r="N107" s="497" t="s">
        <v>291</v>
      </c>
      <c r="O107" s="498">
        <f aca="true" t="shared" si="18" ref="O107:AC107">O106/O105</f>
        <v>0.2814027281746031</v>
      </c>
      <c r="P107" s="498">
        <f t="shared" si="18"/>
        <v>0.28722392561983473</v>
      </c>
      <c r="Q107" s="498">
        <f t="shared" si="18"/>
        <v>0.25367146630563187</v>
      </c>
      <c r="R107" s="498">
        <f t="shared" si="18"/>
        <v>0.2814027281746031</v>
      </c>
      <c r="S107" s="498">
        <f t="shared" si="18"/>
        <v>0.28722392561983473</v>
      </c>
      <c r="T107" s="498">
        <f t="shared" si="18"/>
        <v>0.25367146630563187</v>
      </c>
      <c r="U107" s="498">
        <f t="shared" si="18"/>
        <v>0.2814027281746031</v>
      </c>
      <c r="V107" s="498">
        <f t="shared" si="18"/>
        <v>0.28722392561983473</v>
      </c>
      <c r="W107" s="498">
        <f t="shared" si="18"/>
        <v>0.25367146630563187</v>
      </c>
      <c r="X107" s="498">
        <f t="shared" si="18"/>
        <v>0.2814027281746031</v>
      </c>
      <c r="Y107" s="498">
        <f t="shared" si="18"/>
        <v>0.28722392561983473</v>
      </c>
      <c r="Z107" s="498">
        <f t="shared" si="18"/>
        <v>0.25367146630563187</v>
      </c>
      <c r="AA107" s="498">
        <f t="shared" si="18"/>
        <v>0.2814027281746031</v>
      </c>
      <c r="AB107" s="498">
        <f t="shared" si="18"/>
        <v>0.28722392561983473</v>
      </c>
      <c r="AC107" s="498">
        <f t="shared" si="18"/>
        <v>0.25367146630563187</v>
      </c>
      <c r="AF107" s="509">
        <f>SUMPRODUCT($B$18:$D$18,O107:Q107)</f>
        <v>0.2814925130292765</v>
      </c>
      <c r="AG107" s="498">
        <f>SUMPRODUCT($B$18:$D$18,R107:T107)</f>
        <v>0.2814925130292765</v>
      </c>
      <c r="AH107" s="498">
        <f>SUMPRODUCT($B$18:$D$18,U107:W107)</f>
        <v>0.2814925130292765</v>
      </c>
      <c r="AI107" s="498">
        <f>SUMPRODUCT($B$18:$D$18,X107:Z107)</f>
        <v>0.2814925130292765</v>
      </c>
      <c r="AJ107" s="510">
        <f>SUMPRODUCT($B$18:$D$18,AA107:AC107)</f>
        <v>0.2814925130292765</v>
      </c>
      <c r="AK107"/>
      <c r="AL107"/>
      <c r="AM107"/>
      <c r="AN107"/>
      <c r="AO107"/>
    </row>
    <row r="108" spans="2:41" ht="13.5" thickBot="1">
      <c r="B108" s="145">
        <v>770</v>
      </c>
      <c r="C108" s="146">
        <f>'UA Optimizer '!AU6</f>
        <v>33050.6006445942</v>
      </c>
      <c r="D108" s="147">
        <v>770</v>
      </c>
      <c r="E108" s="146">
        <f>'UA Optimizer '!BC6</f>
        <v>29082.83035452681</v>
      </c>
      <c r="F108" s="147">
        <v>770</v>
      </c>
      <c r="G108" s="146">
        <f>'UA Optimizer '!BK6</f>
        <v>31687.98710811603</v>
      </c>
      <c r="H108" s="147">
        <v>770</v>
      </c>
      <c r="I108" s="148">
        <f t="shared" si="15"/>
        <v>29949.736302373276</v>
      </c>
      <c r="J108" s="476">
        <v>770</v>
      </c>
      <c r="K108" s="477">
        <f t="shared" si="16"/>
        <v>0.3649756129931318</v>
      </c>
      <c r="L108" s="478">
        <f t="shared" si="17"/>
        <v>14.19600437135239</v>
      </c>
      <c r="M108" s="114"/>
      <c r="N108" s="497" t="s">
        <v>423</v>
      </c>
      <c r="O108" s="499">
        <f>(3.6196*O107)-0.0552</f>
        <v>0.9633653149007934</v>
      </c>
      <c r="P108" s="499">
        <f>(4.0889*P107)-0.2248</f>
        <v>0.9496299094669421</v>
      </c>
      <c r="Q108" s="499">
        <f>(1.3667*Q107)+0.0456</f>
        <v>0.39229279299990705</v>
      </c>
      <c r="R108" s="499">
        <f>(2.0167*R107)-0.0696</f>
        <v>0.49790488190972215</v>
      </c>
      <c r="S108" s="499">
        <f>(2.236*S107)-0.157</f>
        <v>0.48523269768595045</v>
      </c>
      <c r="T108" s="499">
        <f>(0.5467*T107)+0.0263</f>
        <v>0.16498219062928893</v>
      </c>
      <c r="U108" s="499">
        <f>(7.852*U107)+0.078</f>
        <v>2.2875742216269837</v>
      </c>
      <c r="V108" s="499">
        <f>(8.8034*V107)-0.2426</f>
        <v>2.285947106801653</v>
      </c>
      <c r="W108" s="499">
        <f>(4.734*W107)+0.0992</f>
        <v>1.3000807214908612</v>
      </c>
      <c r="X108" s="499">
        <f>(4.9343*X107)+0.0192</f>
        <v>1.4077254816319442</v>
      </c>
      <c r="Y108" s="499">
        <f>(5.6463*Y107)-0.2155</f>
        <v>1.406252451227273</v>
      </c>
      <c r="Z108" s="499">
        <f>(2.6186*Z107)+0.0787</f>
        <v>0.7429641016679276</v>
      </c>
      <c r="AA108" s="499">
        <f>(4.8086*AA107)-0.0267</f>
        <v>1.3264531587003965</v>
      </c>
      <c r="AB108" s="499">
        <f>(5.6463*AB107)-0.2955</f>
        <v>1.326252451227273</v>
      </c>
      <c r="AC108" s="499">
        <f>(2.3452*AC107)+0.0256</f>
        <v>0.6205103227799679</v>
      </c>
      <c r="AF108" s="514">
        <f>SUMPRODUCT($B$18:$D$18,O108:Q108)</f>
        <v>0.8676775906489491</v>
      </c>
      <c r="AG108" s="515">
        <f>SUMPRODUCT($B$18:$D$18,R108:T108)</f>
        <v>0.4387157837343038</v>
      </c>
      <c r="AH108" s="515">
        <f>SUMPRODUCT($B$18:$D$18,U108:W108)</f>
        <v>2.1382624027840738</v>
      </c>
      <c r="AI108" s="515">
        <f>SUMPRODUCT($B$18:$D$18,X108:Z108)</f>
        <v>1.3069359624419317</v>
      </c>
      <c r="AJ108" s="516">
        <f>SUMPRODUCT($B$18:$D$18,AA108:AC108)</f>
        <v>1.220415216856952</v>
      </c>
      <c r="AK108"/>
      <c r="AL108"/>
      <c r="AM108"/>
      <c r="AN108"/>
      <c r="AO108"/>
    </row>
    <row r="109" spans="2:41" ht="13.5" thickBot="1">
      <c r="B109" s="145">
        <v>760</v>
      </c>
      <c r="C109" s="146">
        <f>'UA Optimizer '!AU7</f>
        <v>32514.679167887494</v>
      </c>
      <c r="D109" s="147">
        <v>760</v>
      </c>
      <c r="E109" s="146">
        <f>'UA Optimizer '!BC7</f>
        <v>28569.26457661881</v>
      </c>
      <c r="F109" s="147">
        <v>760</v>
      </c>
      <c r="G109" s="146">
        <f>'UA Optimizer '!BK7</f>
        <v>31157.16378552593</v>
      </c>
      <c r="H109" s="147">
        <v>760</v>
      </c>
      <c r="I109" s="148">
        <f t="shared" si="15"/>
        <v>29430.899208907118</v>
      </c>
      <c r="J109" s="476">
        <v>760</v>
      </c>
      <c r="K109" s="477">
        <f t="shared" si="16"/>
        <v>0.360235669967247</v>
      </c>
      <c r="L109" s="478">
        <f t="shared" si="17"/>
        <v>13.950078545077861</v>
      </c>
      <c r="M109" s="114"/>
      <c r="N109" s="497" t="s">
        <v>424</v>
      </c>
      <c r="O109" s="500">
        <f aca="true" t="shared" si="19" ref="O109:AC109">O105*O108</f>
        <v>1294.7629832266662</v>
      </c>
      <c r="P109" s="500">
        <f t="shared" si="19"/>
        <v>2089.185800827273</v>
      </c>
      <c r="Q109" s="500">
        <f t="shared" si="19"/>
        <v>895.6044464187878</v>
      </c>
      <c r="R109" s="500">
        <f t="shared" si="19"/>
        <v>669.1841612866666</v>
      </c>
      <c r="S109" s="500">
        <f t="shared" si="19"/>
        <v>1067.511934909091</v>
      </c>
      <c r="T109" s="500">
        <f t="shared" si="19"/>
        <v>376.65434120666663</v>
      </c>
      <c r="U109" s="500">
        <f t="shared" si="19"/>
        <v>3074.499753866666</v>
      </c>
      <c r="V109" s="500">
        <f t="shared" si="19"/>
        <v>5029.0836349636365</v>
      </c>
      <c r="W109" s="500">
        <f t="shared" si="19"/>
        <v>2968.084287163636</v>
      </c>
      <c r="X109" s="500">
        <f t="shared" si="19"/>
        <v>1891.983047313333</v>
      </c>
      <c r="Y109" s="500">
        <f t="shared" si="19"/>
        <v>3093.7553927000004</v>
      </c>
      <c r="Z109" s="500">
        <f t="shared" si="19"/>
        <v>1696.1870441078786</v>
      </c>
      <c r="AA109" s="500">
        <f t="shared" si="19"/>
        <v>1782.753045293333</v>
      </c>
      <c r="AB109" s="500">
        <f t="shared" si="19"/>
        <v>2917.755392700001</v>
      </c>
      <c r="AC109" s="500">
        <f t="shared" si="19"/>
        <v>1416.6250669066667</v>
      </c>
      <c r="AF109" s="517">
        <f>SUMPRODUCT($B$18:$D$18,O109:Q109)</f>
        <v>1814.8178595539273</v>
      </c>
      <c r="AG109" s="518">
        <f>SUMPRODUCT($B$18:$D$18,R109:T109)</f>
        <v>916.0839630190364</v>
      </c>
      <c r="AH109" s="518">
        <f>SUMPRODUCT($B$18:$D$18,U109:W109)</f>
        <v>4485.383667062</v>
      </c>
      <c r="AI109" s="518">
        <f>SUMPRODUCT($B$18:$D$18,X109:Z109)</f>
        <v>2739.907458964782</v>
      </c>
      <c r="AJ109" s="519">
        <f>SUMPRODUCT($B$18:$D$18,AA109:AC109)</f>
        <v>2556.3855621422003</v>
      </c>
      <c r="AK109"/>
      <c r="AL109"/>
      <c r="AM109"/>
      <c r="AN109"/>
      <c r="AO109"/>
    </row>
    <row r="110" spans="2:13" ht="12.75">
      <c r="B110" s="145">
        <v>750</v>
      </c>
      <c r="C110" s="146">
        <f>'UA Optimizer '!AU8</f>
        <v>31978.904189862293</v>
      </c>
      <c r="D110" s="147">
        <v>750</v>
      </c>
      <c r="E110" s="146">
        <f>'UA Optimizer '!BC8</f>
        <v>28056.460591854673</v>
      </c>
      <c r="F110" s="147">
        <v>750</v>
      </c>
      <c r="G110" s="146">
        <f>'UA Optimizer '!BK8</f>
        <v>30626.193964254322</v>
      </c>
      <c r="H110" s="147">
        <v>750</v>
      </c>
      <c r="I110" s="148">
        <f t="shared" si="15"/>
        <v>28912.613829475533</v>
      </c>
      <c r="J110" s="476">
        <v>750</v>
      </c>
      <c r="K110" s="477">
        <f t="shared" si="16"/>
        <v>0.35549572694136217</v>
      </c>
      <c r="L110" s="478">
        <f t="shared" si="17"/>
        <v>13.70441422811238</v>
      </c>
      <c r="M110" s="114"/>
    </row>
    <row r="111" spans="2:32" ht="13.5" thickBot="1">
      <c r="B111" s="145">
        <v>740</v>
      </c>
      <c r="C111" s="146">
        <f>'UA Optimizer '!AU9</f>
        <v>31443.275710518607</v>
      </c>
      <c r="D111" s="147">
        <v>740</v>
      </c>
      <c r="E111" s="146">
        <f>'UA Optimizer '!BC9</f>
        <v>27544.476999707003</v>
      </c>
      <c r="F111" s="147">
        <v>740</v>
      </c>
      <c r="G111" s="146">
        <f>'UA Optimizer '!BK9</f>
        <v>30095.458540873136</v>
      </c>
      <c r="H111" s="147">
        <v>740</v>
      </c>
      <c r="I111" s="148">
        <f t="shared" si="15"/>
        <v>28394.980076179312</v>
      </c>
      <c r="J111" s="476">
        <v>740</v>
      </c>
      <c r="K111" s="477">
        <f t="shared" si="16"/>
        <v>0.35075578391547735</v>
      </c>
      <c r="L111" s="478">
        <f t="shared" si="17"/>
        <v>13.459058778222479</v>
      </c>
      <c r="M111" s="114"/>
      <c r="N111" s="114" t="s">
        <v>433</v>
      </c>
      <c r="AF111" s="5" t="s">
        <v>434</v>
      </c>
    </row>
    <row r="112" spans="2:36" ht="12.75">
      <c r="B112" s="145">
        <v>730</v>
      </c>
      <c r="C112" s="146">
        <f>'UA Optimizer '!AU10</f>
        <v>30907.64723117492</v>
      </c>
      <c r="D112" s="147">
        <v>730</v>
      </c>
      <c r="E112" s="146">
        <f>'UA Optimizer '!BC10</f>
        <v>27033.225900966892</v>
      </c>
      <c r="F112" s="147">
        <v>730</v>
      </c>
      <c r="G112" s="146">
        <f>'UA Optimizer '!BK10</f>
        <v>29565.3970114269</v>
      </c>
      <c r="H112" s="147">
        <v>730</v>
      </c>
      <c r="I112" s="148">
        <f t="shared" si="15"/>
        <v>27877.982127160856</v>
      </c>
      <c r="J112" s="476">
        <v>730</v>
      </c>
      <c r="K112" s="477">
        <f t="shared" si="16"/>
        <v>0.34601584088959253</v>
      </c>
      <c r="L112" s="478">
        <f t="shared" si="17"/>
        <v>13.2140046959378</v>
      </c>
      <c r="M112" s="114"/>
      <c r="N112" s="502" t="s">
        <v>118</v>
      </c>
      <c r="O112" s="502" t="s">
        <v>427</v>
      </c>
      <c r="P112" s="502" t="s">
        <v>427</v>
      </c>
      <c r="Q112" s="502" t="s">
        <v>427</v>
      </c>
      <c r="R112" s="502" t="s">
        <v>428</v>
      </c>
      <c r="S112" s="502" t="s">
        <v>428</v>
      </c>
      <c r="T112" s="502" t="s">
        <v>428</v>
      </c>
      <c r="U112" s="502" t="s">
        <v>425</v>
      </c>
      <c r="V112" s="502" t="s">
        <v>425</v>
      </c>
      <c r="W112" s="502" t="s">
        <v>425</v>
      </c>
      <c r="X112" s="502" t="s">
        <v>429</v>
      </c>
      <c r="Y112" s="502" t="s">
        <v>429</v>
      </c>
      <c r="Z112" s="502" t="s">
        <v>429</v>
      </c>
      <c r="AA112" s="502" t="s">
        <v>426</v>
      </c>
      <c r="AB112" s="502" t="s">
        <v>426</v>
      </c>
      <c r="AC112" s="502" t="s">
        <v>426</v>
      </c>
      <c r="AE112" s="503" t="s">
        <v>118</v>
      </c>
      <c r="AF112" s="504" t="s">
        <v>427</v>
      </c>
      <c r="AG112" s="505" t="s">
        <v>428</v>
      </c>
      <c r="AH112" s="505" t="s">
        <v>425</v>
      </c>
      <c r="AI112" s="505" t="s">
        <v>429</v>
      </c>
      <c r="AJ112" s="506" t="s">
        <v>426</v>
      </c>
    </row>
    <row r="113" spans="2:36" ht="12.75">
      <c r="B113" s="145">
        <v>720</v>
      </c>
      <c r="C113" s="146">
        <f>'UA Optimizer '!AU11</f>
        <v>30372.165250512746</v>
      </c>
      <c r="D113" s="147">
        <v>720</v>
      </c>
      <c r="E113" s="146">
        <f>'UA Optimizer '!BC11</f>
        <v>26522.326399062407</v>
      </c>
      <c r="F113" s="147">
        <v>720</v>
      </c>
      <c r="G113" s="146">
        <f>'UA Optimizer '!BK11</f>
        <v>29035.130383826545</v>
      </c>
      <c r="H113" s="147">
        <v>720</v>
      </c>
      <c r="I113" s="148">
        <f t="shared" si="15"/>
        <v>27361.22765895107</v>
      </c>
      <c r="J113" s="476">
        <v>720</v>
      </c>
      <c r="K113" s="477">
        <f t="shared" si="16"/>
        <v>0.34127589786370766</v>
      </c>
      <c r="L113" s="478">
        <f t="shared" si="17"/>
        <v>12.96906602216922</v>
      </c>
      <c r="M113" s="114"/>
      <c r="N113" s="497" t="s">
        <v>422</v>
      </c>
      <c r="O113" s="497">
        <v>1344</v>
      </c>
      <c r="P113" s="497">
        <v>2200</v>
      </c>
      <c r="Q113" s="497">
        <v>2283</v>
      </c>
      <c r="R113" s="497">
        <v>1344</v>
      </c>
      <c r="S113" s="497">
        <v>2200</v>
      </c>
      <c r="T113" s="497">
        <v>2283</v>
      </c>
      <c r="U113" s="497">
        <v>1344</v>
      </c>
      <c r="V113" s="497">
        <v>2200</v>
      </c>
      <c r="W113" s="497">
        <v>2283</v>
      </c>
      <c r="X113" s="497">
        <v>1344</v>
      </c>
      <c r="Y113" s="497">
        <v>2200</v>
      </c>
      <c r="Z113" s="497">
        <v>2283</v>
      </c>
      <c r="AA113" s="497">
        <v>1344</v>
      </c>
      <c r="AB113" s="497">
        <v>2200</v>
      </c>
      <c r="AC113" s="497">
        <v>2283</v>
      </c>
      <c r="AF113" s="511">
        <f>SUMPRODUCT($B$18:$D$18,O113:Q113)</f>
        <v>2109.73</v>
      </c>
      <c r="AG113" s="512">
        <f>SUMPRODUCT($B$18:$D$18,R113:T113)</f>
        <v>2109.73</v>
      </c>
      <c r="AH113" s="512">
        <f>SUMPRODUCT($B$18:$D$18,U113:W113)</f>
        <v>2109.73</v>
      </c>
      <c r="AI113" s="512">
        <f>SUMPRODUCT($B$18:$D$18,X113:Z113)</f>
        <v>2109.73</v>
      </c>
      <c r="AJ113" s="513">
        <f>SUMPRODUCT($B$18:$D$18,AA113:AC113)</f>
        <v>2109.73</v>
      </c>
    </row>
    <row r="114" spans="2:36" ht="12.75">
      <c r="B114" s="145">
        <v>710</v>
      </c>
      <c r="C114" s="146">
        <f>'UA Optimizer '!AU12</f>
        <v>29837.29856431292</v>
      </c>
      <c r="D114" s="147">
        <v>710</v>
      </c>
      <c r="E114" s="146">
        <f>'UA Optimizer '!BC12</f>
        <v>26011.924992675067</v>
      </c>
      <c r="F114" s="147">
        <v>710</v>
      </c>
      <c r="G114" s="146">
        <f>'UA Optimizer '!BK12</f>
        <v>28505.332552007032</v>
      </c>
      <c r="H114" s="147">
        <v>710</v>
      </c>
      <c r="I114" s="148">
        <f t="shared" si="15"/>
        <v>26844.980955171406</v>
      </c>
      <c r="J114" s="476">
        <v>710</v>
      </c>
      <c r="K114" s="477">
        <f t="shared" si="16"/>
        <v>0.33653595483782284</v>
      </c>
      <c r="L114" s="478">
        <f t="shared" si="17"/>
        <v>12.724368025847575</v>
      </c>
      <c r="M114" s="114"/>
      <c r="N114" s="497" t="s">
        <v>430</v>
      </c>
      <c r="O114" s="501">
        <f>$B24</f>
        <v>302.0026542635659</v>
      </c>
      <c r="P114" s="501">
        <f>$C24</f>
        <v>492.78146511627904</v>
      </c>
      <c r="Q114" s="501">
        <f>$D24</f>
        <v>473.7055798449613</v>
      </c>
      <c r="R114" s="501">
        <f>$B24</f>
        <v>302.0026542635659</v>
      </c>
      <c r="S114" s="501">
        <f>$C24</f>
        <v>492.78146511627904</v>
      </c>
      <c r="T114" s="501">
        <f>$D24</f>
        <v>473.7055798449613</v>
      </c>
      <c r="U114" s="501">
        <f>$B24</f>
        <v>302.0026542635659</v>
      </c>
      <c r="V114" s="501">
        <f>$C24</f>
        <v>492.78146511627904</v>
      </c>
      <c r="W114" s="501">
        <f>$D24</f>
        <v>473.7055798449613</v>
      </c>
      <c r="X114" s="501">
        <f>$B24</f>
        <v>302.0026542635659</v>
      </c>
      <c r="Y114" s="501">
        <f>$C24</f>
        <v>492.78146511627904</v>
      </c>
      <c r="Z114" s="501">
        <f>$D24</f>
        <v>473.7055798449613</v>
      </c>
      <c r="AA114" s="501">
        <f>$B24</f>
        <v>302.0026542635659</v>
      </c>
      <c r="AB114" s="501">
        <f>$C24</f>
        <v>492.78146511627904</v>
      </c>
      <c r="AC114" s="501">
        <f>$D24</f>
        <v>473.7055798449613</v>
      </c>
      <c r="AF114" s="507">
        <f>SUMPRODUCT($B$18:$D$18,O114:Q114)</f>
        <v>467.02662502325575</v>
      </c>
      <c r="AG114" s="501">
        <f>SUMPRODUCT($B$18:$D$18,R114:T114)</f>
        <v>467.02662502325575</v>
      </c>
      <c r="AH114" s="501">
        <f>SUMPRODUCT($B$18:$D$18,U114:W114)</f>
        <v>467.02662502325575</v>
      </c>
      <c r="AI114" s="501">
        <f>SUMPRODUCT($B$18:$D$18,X114:Z114)</f>
        <v>467.02662502325575</v>
      </c>
      <c r="AJ114" s="508">
        <f>SUMPRODUCT($B$18:$D$18,AA114:AC114)</f>
        <v>467.02662502325575</v>
      </c>
    </row>
    <row r="115" spans="2:36" ht="12.75">
      <c r="B115" s="145">
        <v>700</v>
      </c>
      <c r="C115" s="146">
        <f>'UA Optimizer '!AU13</f>
        <v>29302.754175212427</v>
      </c>
      <c r="D115" s="147">
        <v>700</v>
      </c>
      <c r="E115" s="146">
        <f>'UA Optimizer '!BC13</f>
        <v>25502.783474948727</v>
      </c>
      <c r="F115" s="147">
        <v>700</v>
      </c>
      <c r="G115" s="146">
        <f>'UA Optimizer '!BK13</f>
        <v>27975.651919132728</v>
      </c>
      <c r="H115" s="147">
        <v>700</v>
      </c>
      <c r="I115" s="148">
        <f t="shared" si="15"/>
        <v>26329.71022560797</v>
      </c>
      <c r="J115" s="476">
        <v>700</v>
      </c>
      <c r="K115" s="477">
        <f t="shared" si="16"/>
        <v>0.331796011811938</v>
      </c>
      <c r="L115" s="478">
        <f t="shared" si="17"/>
        <v>12.480132635743896</v>
      </c>
      <c r="M115" s="114"/>
      <c r="N115" s="497" t="s">
        <v>291</v>
      </c>
      <c r="O115" s="498">
        <f aca="true" t="shared" si="20" ref="O115:AC115">O114/O113</f>
        <v>0.22470435585086748</v>
      </c>
      <c r="P115" s="498">
        <f t="shared" si="20"/>
        <v>0.2239915750528541</v>
      </c>
      <c r="Q115" s="498">
        <f t="shared" si="20"/>
        <v>0.20749258863117007</v>
      </c>
      <c r="R115" s="498">
        <f t="shared" si="20"/>
        <v>0.22470435585086748</v>
      </c>
      <c r="S115" s="498">
        <f t="shared" si="20"/>
        <v>0.2239915750528541</v>
      </c>
      <c r="T115" s="498">
        <f t="shared" si="20"/>
        <v>0.20749258863117007</v>
      </c>
      <c r="U115" s="498">
        <f t="shared" si="20"/>
        <v>0.22470435585086748</v>
      </c>
      <c r="V115" s="498">
        <f t="shared" si="20"/>
        <v>0.2239915750528541</v>
      </c>
      <c r="W115" s="498">
        <f t="shared" si="20"/>
        <v>0.20749258863117007</v>
      </c>
      <c r="X115" s="498">
        <f t="shared" si="20"/>
        <v>0.22470435585086748</v>
      </c>
      <c r="Y115" s="498">
        <f t="shared" si="20"/>
        <v>0.2239915750528541</v>
      </c>
      <c r="Z115" s="498">
        <f t="shared" si="20"/>
        <v>0.20749258863117007</v>
      </c>
      <c r="AA115" s="498">
        <f t="shared" si="20"/>
        <v>0.22470435585086748</v>
      </c>
      <c r="AB115" s="498">
        <f t="shared" si="20"/>
        <v>0.2239915750528541</v>
      </c>
      <c r="AC115" s="498">
        <f t="shared" si="20"/>
        <v>0.20749258863117007</v>
      </c>
      <c r="AF115" s="509">
        <f>SUMPRODUCT($B$18:$D$18,O115:Q115)</f>
        <v>0.2216022607853631</v>
      </c>
      <c r="AG115" s="498">
        <f>SUMPRODUCT($B$18:$D$18,R115:T115)</f>
        <v>0.2216022607853631</v>
      </c>
      <c r="AH115" s="498">
        <f>SUMPRODUCT($B$18:$D$18,U115:W115)</f>
        <v>0.2216022607853631</v>
      </c>
      <c r="AI115" s="498">
        <f>SUMPRODUCT($B$18:$D$18,X115:Z115)</f>
        <v>0.2216022607853631</v>
      </c>
      <c r="AJ115" s="510">
        <f>SUMPRODUCT($B$18:$D$18,AA115:AC115)</f>
        <v>0.2216022607853631</v>
      </c>
    </row>
    <row r="116" spans="2:36" ht="13.5" thickBot="1">
      <c r="B116" s="145">
        <v>690</v>
      </c>
      <c r="C116" s="146">
        <f>'UA Optimizer '!AU14</f>
        <v>28768.356284793437</v>
      </c>
      <c r="D116" s="147">
        <v>690</v>
      </c>
      <c r="E116" s="146">
        <f>'UA Optimizer '!BC14</f>
        <v>24994.638148256665</v>
      </c>
      <c r="F116" s="147">
        <v>690</v>
      </c>
      <c r="G116" s="146">
        <f>'UA Optimizer '!BK14</f>
        <v>27446.645180193376</v>
      </c>
      <c r="H116" s="147">
        <v>690</v>
      </c>
      <c r="I116" s="148">
        <f t="shared" si="15"/>
        <v>25815.285379431585</v>
      </c>
      <c r="J116" s="476">
        <v>690</v>
      </c>
      <c r="K116" s="477">
        <f t="shared" si="16"/>
        <v>0.3270560687860532</v>
      </c>
      <c r="L116" s="478">
        <f t="shared" si="17"/>
        <v>12.236298189546332</v>
      </c>
      <c r="M116" s="114"/>
      <c r="N116" s="497" t="s">
        <v>423</v>
      </c>
      <c r="O116" s="499">
        <f>(3.6196*O115)-0.0552</f>
        <v>0.7581398864378</v>
      </c>
      <c r="P116" s="499">
        <f>(4.0889*P115)-0.2248</f>
        <v>0.6910791512336151</v>
      </c>
      <c r="Q116" s="499">
        <f>(1.3667*Q115)+0.0456</f>
        <v>0.32918012088222015</v>
      </c>
      <c r="R116" s="499">
        <f>(2.0167*R115)-0.0696</f>
        <v>0.3835612744444445</v>
      </c>
      <c r="S116" s="499">
        <f>(2.236*S115)-0.157</f>
        <v>0.3438451618181818</v>
      </c>
      <c r="T116" s="499">
        <f>(0.5467*T115)+0.0263</f>
        <v>0.13973619820466066</v>
      </c>
      <c r="U116" s="499">
        <f>(7.852*U115)+0.078</f>
        <v>1.8423786021410116</v>
      </c>
      <c r="V116" s="499">
        <f>(8.8034*V115)-0.2426</f>
        <v>1.729287431820296</v>
      </c>
      <c r="W116" s="499">
        <f>(4.734*W115)+0.0992</f>
        <v>1.0814699145799591</v>
      </c>
      <c r="X116" s="499">
        <f>(4.9343*X115)+0.0192</f>
        <v>1.1279587030749356</v>
      </c>
      <c r="Y116" s="499">
        <f>(5.6463*Y115)-0.2155</f>
        <v>1.0492236302209301</v>
      </c>
      <c r="Z116" s="499">
        <f>(2.6186*Z115)+0.0787</f>
        <v>0.6220400925895819</v>
      </c>
      <c r="AA116" s="499">
        <f>(4.8086*AA115)-0.0267</f>
        <v>1.0538133655444815</v>
      </c>
      <c r="AB116" s="499">
        <f>(5.6463*AB115)-0.2955</f>
        <v>0.9692236302209302</v>
      </c>
      <c r="AC116" s="499">
        <f>(2.3452*AC115)+0.0256</f>
        <v>0.5122116188578201</v>
      </c>
      <c r="AF116" s="514">
        <f>SUMPRODUCT($B$18:$D$18,O116:Q116)</f>
        <v>0.644841584905408</v>
      </c>
      <c r="AG116" s="515">
        <f>SUMPRODUCT($B$18:$D$18,R116:T116)</f>
        <v>0.3179947507913051</v>
      </c>
      <c r="AH116" s="515">
        <f>SUMPRODUCT($B$18:$D$18,U116:W116)</f>
        <v>1.6456857446727313</v>
      </c>
      <c r="AI116" s="515">
        <f>SUMPRODUCT($B$18:$D$18,X116:Z116)</f>
        <v>0.9945943083187085</v>
      </c>
      <c r="AJ116" s="516">
        <f>SUMPRODUCT($B$18:$D$18,AA116:AC116)</f>
        <v>0.9108225967552898</v>
      </c>
    </row>
    <row r="117" spans="2:36" ht="13.5" thickBot="1">
      <c r="B117" s="145">
        <v>680</v>
      </c>
      <c r="C117" s="146">
        <f>'UA Optimizer '!AU15</f>
        <v>28233.95839437445</v>
      </c>
      <c r="D117" s="147">
        <v>680</v>
      </c>
      <c r="E117" s="146">
        <f>'UA Optimizer '!BC15</f>
        <v>24486.815118663933</v>
      </c>
      <c r="F117" s="147">
        <v>680</v>
      </c>
      <c r="G117" s="146">
        <f>'UA Optimizer '!BK15</f>
        <v>26917.66774099033</v>
      </c>
      <c r="H117" s="147">
        <v>680</v>
      </c>
      <c r="I117" s="148">
        <f t="shared" si="15"/>
        <v>25301.100205098155</v>
      </c>
      <c r="J117" s="476">
        <v>680</v>
      </c>
      <c r="K117" s="477">
        <f t="shared" si="16"/>
        <v>0.3223161257601684</v>
      </c>
      <c r="L117" s="478">
        <f t="shared" si="17"/>
        <v>11.992577346436821</v>
      </c>
      <c r="M117" s="114"/>
      <c r="N117" s="497" t="s">
        <v>424</v>
      </c>
      <c r="O117" s="500">
        <f aca="true" t="shared" si="21" ref="O117:AC117">O113*O116</f>
        <v>1018.9400073724031</v>
      </c>
      <c r="P117" s="500">
        <f t="shared" si="21"/>
        <v>1520.3741327139533</v>
      </c>
      <c r="Q117" s="500">
        <f t="shared" si="21"/>
        <v>751.5182159741086</v>
      </c>
      <c r="R117" s="500">
        <f t="shared" si="21"/>
        <v>515.5063528533334</v>
      </c>
      <c r="S117" s="500">
        <f t="shared" si="21"/>
        <v>756.459356</v>
      </c>
      <c r="T117" s="500">
        <f t="shared" si="21"/>
        <v>319.01774050124027</v>
      </c>
      <c r="U117" s="500">
        <f t="shared" si="21"/>
        <v>2476.1568412775196</v>
      </c>
      <c r="V117" s="500">
        <f t="shared" si="21"/>
        <v>3804.432350004651</v>
      </c>
      <c r="W117" s="500">
        <f t="shared" si="21"/>
        <v>2468.9958149860468</v>
      </c>
      <c r="X117" s="500">
        <f t="shared" si="21"/>
        <v>1515.9764969327134</v>
      </c>
      <c r="Y117" s="500">
        <f t="shared" si="21"/>
        <v>2308.2919864860464</v>
      </c>
      <c r="Z117" s="500">
        <f t="shared" si="21"/>
        <v>1420.1175313820156</v>
      </c>
      <c r="AA117" s="500">
        <f t="shared" si="21"/>
        <v>1416.3251632917832</v>
      </c>
      <c r="AB117" s="500">
        <f t="shared" si="21"/>
        <v>2132.2919864860464</v>
      </c>
      <c r="AC117" s="500">
        <f t="shared" si="21"/>
        <v>1169.3791258524031</v>
      </c>
      <c r="AF117" s="517">
        <f>SUMPRODUCT($B$18:$D$18,O117:Q117)</f>
        <v>1344.8736501619906</v>
      </c>
      <c r="AG117" s="518">
        <f>SUMPRODUCT($B$18:$D$18,R117:T117)</f>
        <v>661.9287532975859</v>
      </c>
      <c r="AH117" s="518">
        <f>SUMPRODUCT($B$18:$D$18,U117:W117)</f>
        <v>3444.723808704605</v>
      </c>
      <c r="AI117" s="518">
        <f>SUMPRODUCT($B$18:$D$18,X117:Z117)</f>
        <v>2079.987959474042</v>
      </c>
      <c r="AJ117" s="519">
        <f>SUMPRODUCT($B$18:$D$18,AA117:AC117)</f>
        <v>1901.9390386076884</v>
      </c>
    </row>
    <row r="118" spans="2:19" ht="12.75">
      <c r="B118" s="145">
        <v>670</v>
      </c>
      <c r="C118" s="146">
        <f>'UA Optimizer '!AU16</f>
        <v>27699.794901845882</v>
      </c>
      <c r="D118" s="147">
        <v>670</v>
      </c>
      <c r="E118" s="146">
        <f>'UA Optimizer '!BC16</f>
        <v>23978.992089071202</v>
      </c>
      <c r="F118" s="147">
        <v>670</v>
      </c>
      <c r="G118" s="146">
        <f>'UA Optimizer '!BK16</f>
        <v>26388.63170231468</v>
      </c>
      <c r="H118" s="147">
        <v>670</v>
      </c>
      <c r="I118" s="148">
        <f t="shared" si="15"/>
        <v>24786.934368590682</v>
      </c>
      <c r="J118" s="476">
        <v>670</v>
      </c>
      <c r="K118" s="477">
        <f t="shared" si="16"/>
        <v>0.3175761827342835</v>
      </c>
      <c r="L118" s="478">
        <f t="shared" si="17"/>
        <v>11.748865669346637</v>
      </c>
      <c r="M118" s="114"/>
      <c r="N118"/>
      <c r="O118"/>
      <c r="P118"/>
      <c r="Q118"/>
      <c r="R118"/>
      <c r="S118"/>
    </row>
    <row r="119" spans="2:19" ht="12.75">
      <c r="B119" s="145">
        <v>660</v>
      </c>
      <c r="C119" s="146">
        <f>'UA Optimizer '!AU17</f>
        <v>27166.04160562555</v>
      </c>
      <c r="D119" s="147">
        <v>660</v>
      </c>
      <c r="E119" s="146">
        <f>'UA Optimizer '!BC17</f>
        <v>23471.696454731908</v>
      </c>
      <c r="F119" s="147">
        <v>660</v>
      </c>
      <c r="G119" s="146">
        <f>'UA Optimizer '!BK17</f>
        <v>25860.62115440961</v>
      </c>
      <c r="H119" s="147">
        <v>660</v>
      </c>
      <c r="I119" s="148">
        <f t="shared" si="15"/>
        <v>24273.3565777908</v>
      </c>
      <c r="J119" s="476">
        <v>660</v>
      </c>
      <c r="K119" s="477">
        <f t="shared" si="16"/>
        <v>0.3128362397083987</v>
      </c>
      <c r="L119" s="478">
        <f t="shared" si="17"/>
        <v>11.505432722571515</v>
      </c>
      <c r="M119" s="114"/>
      <c r="O119"/>
      <c r="P119"/>
      <c r="Q119"/>
      <c r="R119"/>
      <c r="S119"/>
    </row>
    <row r="120" spans="2:32" ht="13.5" thickBot="1">
      <c r="B120" s="145">
        <v>650</v>
      </c>
      <c r="C120" s="146">
        <f>'UA Optimizer '!AU18</f>
        <v>26632.464107823034</v>
      </c>
      <c r="D120" s="147">
        <v>650</v>
      </c>
      <c r="E120" s="146">
        <f>'UA Optimizer '!BC18</f>
        <v>22965.631409317317</v>
      </c>
      <c r="F120" s="147">
        <v>650</v>
      </c>
      <c r="G120" s="146">
        <f>'UA Optimizer '!BK18</f>
        <v>25333.489598593613</v>
      </c>
      <c r="H120" s="147">
        <v>650</v>
      </c>
      <c r="I120" s="148">
        <f t="shared" si="15"/>
        <v>23760.830061529447</v>
      </c>
      <c r="J120" s="476">
        <v>650</v>
      </c>
      <c r="K120" s="477">
        <f t="shared" si="16"/>
        <v>0.30809629668251387</v>
      </c>
      <c r="L120" s="478">
        <f t="shared" si="17"/>
        <v>11.262498073938108</v>
      </c>
      <c r="M120" s="114"/>
      <c r="N120" s="114" t="s">
        <v>432</v>
      </c>
      <c r="AF120" s="5" t="s">
        <v>434</v>
      </c>
    </row>
    <row r="121" spans="2:36" ht="12.75">
      <c r="B121" s="145">
        <v>640</v>
      </c>
      <c r="C121" s="146">
        <f>'UA Optimizer '!AU19</f>
        <v>26099.150307647233</v>
      </c>
      <c r="D121" s="147">
        <v>640</v>
      </c>
      <c r="E121" s="146">
        <f>'UA Optimizer '!BC19</f>
        <v>22461.148549663052</v>
      </c>
      <c r="F121" s="147">
        <v>640</v>
      </c>
      <c r="G121" s="146">
        <f>'UA Optimizer '!BK19</f>
        <v>24806.62174040434</v>
      </c>
      <c r="H121" s="147">
        <v>640</v>
      </c>
      <c r="I121" s="148">
        <f t="shared" si="15"/>
        <v>23249.52973923235</v>
      </c>
      <c r="J121" s="476">
        <v>640</v>
      </c>
      <c r="K121" s="477">
        <f t="shared" si="16"/>
        <v>0.30335635365662905</v>
      </c>
      <c r="L121" s="478">
        <f t="shared" si="17"/>
        <v>11.02014463425763</v>
      </c>
      <c r="M121" s="114"/>
      <c r="N121" s="502" t="s">
        <v>118</v>
      </c>
      <c r="O121" s="502" t="s">
        <v>427</v>
      </c>
      <c r="P121" s="502" t="s">
        <v>427</v>
      </c>
      <c r="Q121" s="502" t="s">
        <v>427</v>
      </c>
      <c r="R121" s="502" t="s">
        <v>428</v>
      </c>
      <c r="S121" s="502" t="s">
        <v>428</v>
      </c>
      <c r="T121" s="502" t="s">
        <v>428</v>
      </c>
      <c r="U121" s="502" t="s">
        <v>425</v>
      </c>
      <c r="V121" s="502" t="s">
        <v>425</v>
      </c>
      <c r="W121" s="502" t="s">
        <v>425</v>
      </c>
      <c r="X121" s="502" t="s">
        <v>429</v>
      </c>
      <c r="Y121" s="502" t="s">
        <v>429</v>
      </c>
      <c r="Z121" s="502" t="s">
        <v>429</v>
      </c>
      <c r="AA121" s="502" t="s">
        <v>426</v>
      </c>
      <c r="AB121" s="502" t="s">
        <v>426</v>
      </c>
      <c r="AC121" s="502" t="s">
        <v>426</v>
      </c>
      <c r="AE121" s="503" t="s">
        <v>118</v>
      </c>
      <c r="AF121" s="504" t="s">
        <v>427</v>
      </c>
      <c r="AG121" s="505" t="s">
        <v>428</v>
      </c>
      <c r="AH121" s="505" t="s">
        <v>425</v>
      </c>
      <c r="AI121" s="505" t="s">
        <v>429</v>
      </c>
      <c r="AJ121" s="506" t="s">
        <v>426</v>
      </c>
    </row>
    <row r="122" spans="2:36" ht="12.75">
      <c r="B122" s="145">
        <v>630</v>
      </c>
      <c r="C122" s="146">
        <f>'UA Optimizer '!AU20</f>
        <v>25566.01230588925</v>
      </c>
      <c r="D122" s="147">
        <v>630</v>
      </c>
      <c r="E122" s="146">
        <f>'UA Optimizer '!BC20</f>
        <v>21958.130676823912</v>
      </c>
      <c r="F122" s="147">
        <v>630</v>
      </c>
      <c r="G122" s="146">
        <f>'UA Optimizer '!BK20</f>
        <v>24279.87108116027</v>
      </c>
      <c r="H122" s="147">
        <v>630</v>
      </c>
      <c r="I122" s="148">
        <f t="shared" si="15"/>
        <v>22739.337532962203</v>
      </c>
      <c r="J122" s="476">
        <v>630</v>
      </c>
      <c r="K122" s="477">
        <f t="shared" si="16"/>
        <v>0.29861641063074423</v>
      </c>
      <c r="L122" s="478">
        <f t="shared" si="17"/>
        <v>10.778316435260532</v>
      </c>
      <c r="M122" s="114"/>
      <c r="N122" s="497" t="s">
        <v>422</v>
      </c>
      <c r="O122" s="497">
        <v>1344</v>
      </c>
      <c r="P122" s="497">
        <v>2200</v>
      </c>
      <c r="Q122" s="497">
        <v>2283</v>
      </c>
      <c r="R122" s="497">
        <v>1344</v>
      </c>
      <c r="S122" s="497">
        <v>2200</v>
      </c>
      <c r="T122" s="497">
        <v>2283</v>
      </c>
      <c r="U122" s="497">
        <v>1344</v>
      </c>
      <c r="V122" s="497">
        <v>2200</v>
      </c>
      <c r="W122" s="497">
        <v>2283</v>
      </c>
      <c r="X122" s="497">
        <v>1344</v>
      </c>
      <c r="Y122" s="497">
        <v>2200</v>
      </c>
      <c r="Z122" s="497">
        <v>2283</v>
      </c>
      <c r="AA122" s="497">
        <v>1344</v>
      </c>
      <c r="AB122" s="497">
        <v>2200</v>
      </c>
      <c r="AC122" s="497">
        <v>2283</v>
      </c>
      <c r="AF122" s="511">
        <f>SUMPRODUCT($B$18:$D$18,O122:Q122)</f>
        <v>2109.73</v>
      </c>
      <c r="AG122" s="512">
        <f>SUMPRODUCT($B$18:$D$18,R122:T122)</f>
        <v>2109.73</v>
      </c>
      <c r="AH122" s="512">
        <f>SUMPRODUCT($B$18:$D$18,U122:W122)</f>
        <v>2109.73</v>
      </c>
      <c r="AI122" s="512">
        <f>SUMPRODUCT($B$18:$D$18,X122:Z122)</f>
        <v>2109.73</v>
      </c>
      <c r="AJ122" s="513">
        <f>SUMPRODUCT($B$18:$D$18,AA122:AC122)</f>
        <v>2109.73</v>
      </c>
    </row>
    <row r="123" spans="2:36" ht="12.75">
      <c r="B123" s="145">
        <v>620</v>
      </c>
      <c r="C123" s="146">
        <f>'UA Optimizer '!AU21</f>
        <v>25033.54819806622</v>
      </c>
      <c r="D123" s="147">
        <v>620</v>
      </c>
      <c r="E123" s="146">
        <f>'UA Optimizer '!BC21</f>
        <v>21456.40199238207</v>
      </c>
      <c r="F123" s="147">
        <v>620</v>
      </c>
      <c r="G123" s="146">
        <f>'UA Optimizer '!BK21</f>
        <v>23753.296220334018</v>
      </c>
      <c r="H123" s="147">
        <v>620</v>
      </c>
      <c r="I123" s="148">
        <f t="shared" si="15"/>
        <v>22230.19367125696</v>
      </c>
      <c r="J123" s="476">
        <v>620</v>
      </c>
      <c r="K123" s="477">
        <f t="shared" si="16"/>
        <v>0.29387646760485936</v>
      </c>
      <c r="L123" s="478">
        <f t="shared" si="17"/>
        <v>10.536985145614349</v>
      </c>
      <c r="M123" s="114"/>
      <c r="N123" s="497" t="s">
        <v>430</v>
      </c>
      <c r="O123" s="501">
        <v>280.1667789883269</v>
      </c>
      <c r="P123" s="501">
        <v>452.18989494163424</v>
      </c>
      <c r="Q123" s="501">
        <v>443.17258521400777</v>
      </c>
      <c r="R123" s="501">
        <v>280.1667789883269</v>
      </c>
      <c r="S123" s="501">
        <v>452.18989494163424</v>
      </c>
      <c r="T123" s="501">
        <v>443.17258521400777</v>
      </c>
      <c r="U123" s="501">
        <v>280.1667789883269</v>
      </c>
      <c r="V123" s="501">
        <v>452.18989494163424</v>
      </c>
      <c r="W123" s="501">
        <v>417.9725852140078</v>
      </c>
      <c r="X123" s="501">
        <v>280.1667789883269</v>
      </c>
      <c r="Y123" s="501">
        <v>452.18989494163424</v>
      </c>
      <c r="Z123" s="501">
        <v>417.9725852140078</v>
      </c>
      <c r="AA123" s="501">
        <v>280.1667789883269</v>
      </c>
      <c r="AB123" s="501">
        <v>452.18989494163424</v>
      </c>
      <c r="AC123" s="501">
        <v>417.9725852140078</v>
      </c>
      <c r="AF123" s="507">
        <f>SUMPRODUCT($B$18:$D$18,O123:Q123)</f>
        <v>430.19452456809336</v>
      </c>
      <c r="AG123" s="501">
        <f>SUMPRODUCT($B$18:$D$18,R123:T123)</f>
        <v>430.19452456809336</v>
      </c>
      <c r="AH123" s="501">
        <f>SUMPRODUCT($B$18:$D$18,U123:W123)</f>
        <v>426.4145245680934</v>
      </c>
      <c r="AI123" s="501">
        <f>SUMPRODUCT($B$18:$D$18,X123:Z123)</f>
        <v>426.4145245680934</v>
      </c>
      <c r="AJ123" s="508">
        <f>SUMPRODUCT($B$18:$D$18,AA123:AC123)</f>
        <v>426.4145245680934</v>
      </c>
    </row>
    <row r="124" spans="2:36" ht="12.75">
      <c r="B124" s="145">
        <v>610</v>
      </c>
      <c r="C124" s="146">
        <f>'UA Optimizer '!AU22</f>
        <v>24501.58218576033</v>
      </c>
      <c r="D124" s="147">
        <v>610</v>
      </c>
      <c r="E124" s="146">
        <f>'UA Optimizer '!BC22</f>
        <v>20956.431292118374</v>
      </c>
      <c r="F124" s="147">
        <v>610</v>
      </c>
      <c r="G124" s="146">
        <f>'UA Optimizer '!BK22</f>
        <v>23228.332845004395</v>
      </c>
      <c r="H124" s="147">
        <v>610</v>
      </c>
      <c r="I124" s="148">
        <f t="shared" si="15"/>
        <v>21722.63463228831</v>
      </c>
      <c r="J124" s="476">
        <v>610</v>
      </c>
      <c r="K124" s="477">
        <f t="shared" si="16"/>
        <v>0.28913652457897454</v>
      </c>
      <c r="L124" s="478">
        <f t="shared" si="17"/>
        <v>10.296405052915924</v>
      </c>
      <c r="M124" s="114"/>
      <c r="N124" s="497" t="s">
        <v>291</v>
      </c>
      <c r="O124" s="498">
        <f aca="true" t="shared" si="22" ref="O124:AC124">O123/O122</f>
        <v>0.20845742484250512</v>
      </c>
      <c r="P124" s="498">
        <f t="shared" si="22"/>
        <v>0.20554086133710647</v>
      </c>
      <c r="Q124" s="498">
        <f t="shared" si="22"/>
        <v>0.19411852177573707</v>
      </c>
      <c r="R124" s="498">
        <f t="shared" si="22"/>
        <v>0.20845742484250512</v>
      </c>
      <c r="S124" s="498">
        <f t="shared" si="22"/>
        <v>0.20554086133710647</v>
      </c>
      <c r="T124" s="498">
        <f t="shared" si="22"/>
        <v>0.19411852177573707</v>
      </c>
      <c r="U124" s="498">
        <f t="shared" si="22"/>
        <v>0.20845742484250512</v>
      </c>
      <c r="V124" s="498">
        <f t="shared" si="22"/>
        <v>0.20554086133710647</v>
      </c>
      <c r="W124" s="498">
        <f t="shared" si="22"/>
        <v>0.18308041402278047</v>
      </c>
      <c r="X124" s="498">
        <f t="shared" si="22"/>
        <v>0.20845742484250512</v>
      </c>
      <c r="Y124" s="498">
        <f t="shared" si="22"/>
        <v>0.20554086133710647</v>
      </c>
      <c r="Z124" s="498">
        <f t="shared" si="22"/>
        <v>0.18308041402278047</v>
      </c>
      <c r="AA124" s="498">
        <f t="shared" si="22"/>
        <v>0.20845742484250512</v>
      </c>
      <c r="AB124" s="498">
        <f t="shared" si="22"/>
        <v>0.20554086133710647</v>
      </c>
      <c r="AC124" s="498">
        <f t="shared" si="22"/>
        <v>0.18308041402278047</v>
      </c>
      <c r="AF124" s="509">
        <f>SUMPRODUCT($B$18:$D$18,O124:Q124)</f>
        <v>0.20417749802354887</v>
      </c>
      <c r="AG124" s="498">
        <f>SUMPRODUCT($B$18:$D$18,R124:T124)</f>
        <v>0.20417749802354887</v>
      </c>
      <c r="AH124" s="498">
        <f>SUMPRODUCT($B$18:$D$18,U124:W124)</f>
        <v>0.20252178186060538</v>
      </c>
      <c r="AI124" s="498">
        <f>SUMPRODUCT($B$18:$D$18,X124:Z124)</f>
        <v>0.20252178186060538</v>
      </c>
      <c r="AJ124" s="510">
        <f>SUMPRODUCT($B$18:$D$18,AA124:AC124)</f>
        <v>0.20252178186060538</v>
      </c>
    </row>
    <row r="125" spans="2:36" ht="13.5" thickBot="1">
      <c r="B125" s="145">
        <v>600</v>
      </c>
      <c r="C125" s="146">
        <f>'UA Optimizer '!AU23</f>
        <v>23970.876062115443</v>
      </c>
      <c r="D125" s="147">
        <v>600</v>
      </c>
      <c r="E125" s="146">
        <f>'UA Optimizer '!BC23</f>
        <v>20457.222384998535</v>
      </c>
      <c r="F125" s="147">
        <v>600</v>
      </c>
      <c r="G125" s="146">
        <f>'UA Optimizer '!BK23</f>
        <v>22705.186053325524</v>
      </c>
      <c r="H125" s="147">
        <v>600</v>
      </c>
      <c r="I125" s="148">
        <f t="shared" si="15"/>
        <v>21216.055376501612</v>
      </c>
      <c r="J125" s="476">
        <v>600</v>
      </c>
      <c r="K125" s="477">
        <f t="shared" si="16"/>
        <v>0.2843965815530897</v>
      </c>
      <c r="L125" s="478">
        <f t="shared" si="17"/>
        <v>10.056289371863514</v>
      </c>
      <c r="M125" s="114"/>
      <c r="N125" s="497" t="s">
        <v>423</v>
      </c>
      <c r="O125" s="499">
        <f>(3.6196*O124)-0.0552</f>
        <v>0.6993324949599315</v>
      </c>
      <c r="P125" s="499">
        <f>(4.0889*P124)-0.2248</f>
        <v>0.6156360279212946</v>
      </c>
      <c r="Q125" s="499">
        <f>(1.3667*Q124)+0.0456</f>
        <v>0.3109017837108998</v>
      </c>
      <c r="R125" s="499">
        <f>(2.0167*R124)-0.0696</f>
        <v>0.3507960886798801</v>
      </c>
      <c r="S125" s="499">
        <f>(2.236*S124)-0.157</f>
        <v>0.30258936594977015</v>
      </c>
      <c r="T125" s="499">
        <f>(0.5467*T124)+0.0263</f>
        <v>0.13242459585479543</v>
      </c>
      <c r="U125" s="499">
        <f>(7.852*U124)+0.078</f>
        <v>1.7148076998633504</v>
      </c>
      <c r="V125" s="499">
        <f>(8.8034*V124)-0.2426</f>
        <v>1.5668584186950831</v>
      </c>
      <c r="W125" s="499">
        <f>(4.734*W124)+0.0992</f>
        <v>0.9659026799838427</v>
      </c>
      <c r="X125" s="499">
        <f>(4.9343*X124)+0.0192</f>
        <v>1.0477914714003733</v>
      </c>
      <c r="Y125" s="499">
        <f>(5.6463*Y124)-0.2155</f>
        <v>0.9450453653677042</v>
      </c>
      <c r="Z125" s="499">
        <f>(2.6186*Z124)+0.0787</f>
        <v>0.5581143721600529</v>
      </c>
      <c r="AA125" s="499">
        <f>(4.8086*AA124)-0.0267</f>
        <v>0.9756883730976702</v>
      </c>
      <c r="AB125" s="499">
        <f>(5.6463*AB124)-0.2955</f>
        <v>0.8650453653677043</v>
      </c>
      <c r="AC125" s="499">
        <f>(2.3452*AC124)+0.0256</f>
        <v>0.4549601869662248</v>
      </c>
      <c r="AF125" s="514">
        <f>SUMPRODUCT($B$18:$D$18,O125:Q125)</f>
        <v>0.5799694673343717</v>
      </c>
      <c r="AG125" s="515">
        <f>SUMPRODUCT($B$18:$D$18,R125:T125)</f>
        <v>0.2828494571631371</v>
      </c>
      <c r="AH125" s="515">
        <f>SUMPRODUCT($B$18:$D$18,U125:W125)</f>
        <v>1.4944689716285893</v>
      </c>
      <c r="AI125" s="515">
        <f>SUMPRODUCT($B$18:$D$18,X125:Z125)</f>
        <v>0.8993352491104768</v>
      </c>
      <c r="AJ125" s="516">
        <f>SUMPRODUCT($B$18:$D$18,AA125:AC125)</f>
        <v>0.8168097495350781</v>
      </c>
    </row>
    <row r="126" spans="2:36" ht="13.5" thickBot="1">
      <c r="B126" s="145">
        <v>590</v>
      </c>
      <c r="C126" s="146">
        <f>'UA Optimizer '!AU24</f>
        <v>23440.668033987695</v>
      </c>
      <c r="D126" s="147">
        <v>590</v>
      </c>
      <c r="E126" s="146">
        <f>'UA Optimizer '!BC24</f>
        <v>19958.042777615003</v>
      </c>
      <c r="F126" s="147">
        <v>590</v>
      </c>
      <c r="G126" s="146">
        <f>'UA Optimizer '!BK24</f>
        <v>22183.82654556109</v>
      </c>
      <c r="H126" s="147">
        <v>590</v>
      </c>
      <c r="I126" s="148">
        <f t="shared" si="15"/>
        <v>20709.82537357164</v>
      </c>
      <c r="J126" s="476">
        <v>590</v>
      </c>
      <c r="K126" s="477">
        <f t="shared" si="16"/>
        <v>0.2796566385272049</v>
      </c>
      <c r="L126" s="478">
        <f t="shared" si="17"/>
        <v>9.816339234675356</v>
      </c>
      <c r="M126" s="114"/>
      <c r="N126" s="497" t="s">
        <v>424</v>
      </c>
      <c r="O126" s="500">
        <f aca="true" t="shared" si="23" ref="O126:AC126">O122*O125</f>
        <v>939.902873226148</v>
      </c>
      <c r="P126" s="500">
        <f t="shared" si="23"/>
        <v>1354.399261426848</v>
      </c>
      <c r="Q126" s="500">
        <f t="shared" si="23"/>
        <v>709.7887722119843</v>
      </c>
      <c r="R126" s="500">
        <f t="shared" si="23"/>
        <v>471.46994318575884</v>
      </c>
      <c r="S126" s="500">
        <f t="shared" si="23"/>
        <v>665.6966050894944</v>
      </c>
      <c r="T126" s="500">
        <f t="shared" si="23"/>
        <v>302.325352336498</v>
      </c>
      <c r="U126" s="500">
        <f t="shared" si="23"/>
        <v>2304.7015486163427</v>
      </c>
      <c r="V126" s="500">
        <f t="shared" si="23"/>
        <v>3447.088521129183</v>
      </c>
      <c r="W126" s="500">
        <f t="shared" si="23"/>
        <v>2205.155818403113</v>
      </c>
      <c r="X126" s="500">
        <f t="shared" si="23"/>
        <v>1408.2317375621017</v>
      </c>
      <c r="Y126" s="500">
        <f t="shared" si="23"/>
        <v>2079.099803808949</v>
      </c>
      <c r="Z126" s="500">
        <f t="shared" si="23"/>
        <v>1274.1751116414007</v>
      </c>
      <c r="AA126" s="500">
        <f t="shared" si="23"/>
        <v>1311.3251734432688</v>
      </c>
      <c r="AB126" s="500">
        <f t="shared" si="23"/>
        <v>1903.0998038089494</v>
      </c>
      <c r="AC126" s="500">
        <f t="shared" si="23"/>
        <v>1038.6741068438912</v>
      </c>
      <c r="AF126" s="517">
        <f>SUMPRODUCT($B$18:$D$18,O126:Q126)</f>
        <v>1207.9681214605343</v>
      </c>
      <c r="AG126" s="518">
        <f>SUMPRODUCT($B$18:$D$18,R126:T126)</f>
        <v>587.8837177480967</v>
      </c>
      <c r="AH126" s="518">
        <f>SUMPRODUCT($B$18:$D$18,U126:W126)</f>
        <v>3123.7121790187316</v>
      </c>
      <c r="AI126" s="518">
        <f>SUMPRODUCT($B$18:$D$18,X126:Z126)</f>
        <v>1877.8569320341953</v>
      </c>
      <c r="AJ126" s="519">
        <f>SUMPRODUCT($B$18:$D$18,AA126:AC126)</f>
        <v>1702.422993620309</v>
      </c>
    </row>
    <row r="127" spans="2:13" ht="12.75">
      <c r="B127" s="145">
        <v>580</v>
      </c>
      <c r="C127" s="146">
        <f>'UA Optimizer '!AU25</f>
        <v>22910.48930559625</v>
      </c>
      <c r="D127" s="147">
        <v>580</v>
      </c>
      <c r="E127" s="146">
        <f>'UA Optimizer '!BC25</f>
        <v>19461.61734544389</v>
      </c>
      <c r="F127" s="147">
        <v>580</v>
      </c>
      <c r="G127" s="146">
        <f>'UA Optimizer '!BK25</f>
        <v>21663.93202461178</v>
      </c>
      <c r="H127" s="147">
        <v>580</v>
      </c>
      <c r="I127" s="148">
        <f t="shared" si="15"/>
        <v>20205.829182537356</v>
      </c>
      <c r="J127" s="476">
        <v>580</v>
      </c>
      <c r="K127" s="477">
        <f t="shared" si="16"/>
        <v>0.2749166955013201</v>
      </c>
      <c r="L127" s="478">
        <f t="shared" si="17"/>
        <v>9.57744791159881</v>
      </c>
      <c r="M127" s="114"/>
    </row>
    <row r="128" spans="2:13" ht="12.75">
      <c r="B128" s="145">
        <v>570</v>
      </c>
      <c r="C128" s="146">
        <f>'UA Optimizer '!AU26</f>
        <v>22380.398476413713</v>
      </c>
      <c r="D128" s="147">
        <v>570</v>
      </c>
      <c r="E128" s="146">
        <f>'UA Optimizer '!BC26</f>
        <v>18966.217404043364</v>
      </c>
      <c r="F128" s="147">
        <v>570</v>
      </c>
      <c r="G128" s="146">
        <f>'UA Optimizer '!BK26</f>
        <v>21145.619689422798</v>
      </c>
      <c r="H128" s="147">
        <v>570</v>
      </c>
      <c r="I128" s="148">
        <f t="shared" si="15"/>
        <v>19702.82947553472</v>
      </c>
      <c r="J128" s="476">
        <v>570</v>
      </c>
      <c r="K128" s="477">
        <f t="shared" si="16"/>
        <v>0.27017675247543527</v>
      </c>
      <c r="L128" s="478">
        <f t="shared" si="17"/>
        <v>9.339028916275883</v>
      </c>
      <c r="M128" s="114"/>
    </row>
    <row r="129" spans="2:13" ht="12.75">
      <c r="B129" s="145">
        <v>560</v>
      </c>
      <c r="C129" s="146">
        <f>'UA Optimizer '!AU27</f>
        <v>21851.040140638735</v>
      </c>
      <c r="D129" s="147">
        <v>560</v>
      </c>
      <c r="E129" s="146">
        <f>'UA Optimizer '!BC27</f>
        <v>18471.930852622325</v>
      </c>
      <c r="F129" s="147">
        <v>560</v>
      </c>
      <c r="G129" s="146">
        <f>'UA Optimizer '!BK27</f>
        <v>20628.567242894816</v>
      </c>
      <c r="H129" s="147">
        <v>560</v>
      </c>
      <c r="I129" s="148">
        <f t="shared" si="15"/>
        <v>19200.91942572517</v>
      </c>
      <c r="J129" s="476">
        <v>560</v>
      </c>
      <c r="K129" s="477">
        <f t="shared" si="16"/>
        <v>0.2654368094495504</v>
      </c>
      <c r="L129" s="478">
        <f t="shared" si="17"/>
        <v>9.101126412254255</v>
      </c>
      <c r="M129" s="114"/>
    </row>
    <row r="130" spans="2:13" ht="12.75">
      <c r="B130" s="145">
        <v>550</v>
      </c>
      <c r="C130" s="146">
        <f>'UA Optimizer '!AU28</f>
        <v>21323.381189569292</v>
      </c>
      <c r="D130" s="147">
        <v>550</v>
      </c>
      <c r="E130" s="146">
        <f>'UA Optimizer '!BC28</f>
        <v>17978.288895399943</v>
      </c>
      <c r="F130" s="147">
        <v>550</v>
      </c>
      <c r="G130" s="146">
        <f>'UA Optimizer '!BK28</f>
        <v>20111.397597421623</v>
      </c>
      <c r="H130" s="147">
        <v>550</v>
      </c>
      <c r="I130" s="148">
        <f t="shared" si="15"/>
        <v>18699.666276003514</v>
      </c>
      <c r="J130" s="476">
        <v>550</v>
      </c>
      <c r="K130" s="477">
        <f t="shared" si="16"/>
        <v>0.2606968664236656</v>
      </c>
      <c r="L130" s="478">
        <f t="shared" si="17"/>
        <v>8.863535275131659</v>
      </c>
      <c r="M130" s="114"/>
    </row>
    <row r="131" spans="2:13" ht="12.75">
      <c r="B131" s="145">
        <v>540</v>
      </c>
      <c r="C131" s="146">
        <f>'UA Optimizer '!AU29</f>
        <v>20797.187225314974</v>
      </c>
      <c r="D131" s="147">
        <v>540</v>
      </c>
      <c r="E131" s="146">
        <f>'UA Optimizer '!BC29</f>
        <v>17485.76032815705</v>
      </c>
      <c r="F131" s="147">
        <v>540</v>
      </c>
      <c r="G131" s="146">
        <f>'UA Optimizer '!BK29</f>
        <v>19594.227951948436</v>
      </c>
      <c r="H131" s="147">
        <v>540</v>
      </c>
      <c r="I131" s="148">
        <f t="shared" si="15"/>
        <v>18199.401699384707</v>
      </c>
      <c r="J131" s="476">
        <v>540</v>
      </c>
      <c r="K131" s="477">
        <f t="shared" si="16"/>
        <v>0.25595692339778076</v>
      </c>
      <c r="L131" s="478">
        <f t="shared" si="17"/>
        <v>8.626412716027504</v>
      </c>
      <c r="M131" s="114"/>
    </row>
    <row r="132" spans="2:13" ht="12.75">
      <c r="B132" s="145">
        <v>530</v>
      </c>
      <c r="C132" s="146">
        <f>'UA Optimizer '!AU30</f>
        <v>20271.72575446821</v>
      </c>
      <c r="D132" s="147">
        <v>530</v>
      </c>
      <c r="E132" s="146">
        <f>'UA Optimizer '!BC30</f>
        <v>16993.788455903898</v>
      </c>
      <c r="F132" s="147">
        <v>530</v>
      </c>
      <c r="G132" s="146">
        <f>'UA Optimizer '!BK30</f>
        <v>19078.230295927337</v>
      </c>
      <c r="H132" s="147">
        <v>530</v>
      </c>
      <c r="I132" s="148">
        <f t="shared" si="15"/>
        <v>17699.807207735128</v>
      </c>
      <c r="J132" s="476">
        <v>530</v>
      </c>
      <c r="K132" s="477">
        <f t="shared" si="16"/>
        <v>0.25121698037189594</v>
      </c>
      <c r="L132" s="478">
        <f t="shared" si="17"/>
        <v>8.389607773381014</v>
      </c>
      <c r="M132" s="114"/>
    </row>
    <row r="133" spans="2:13" ht="12.75">
      <c r="B133" s="145">
        <v>520</v>
      </c>
      <c r="C133" s="146">
        <f>'UA Optimizer '!AU31</f>
        <v>19747.37767360094</v>
      </c>
      <c r="D133" s="147">
        <v>520</v>
      </c>
      <c r="E133" s="146">
        <f>'UA Optimizer '!BC31</f>
        <v>16501.904482859656</v>
      </c>
      <c r="F133" s="147">
        <v>520</v>
      </c>
      <c r="G133" s="146">
        <f>'UA Optimizer '!BK31</f>
        <v>18564.69381775564</v>
      </c>
      <c r="H133" s="147">
        <v>520</v>
      </c>
      <c r="I133" s="148">
        <f t="shared" si="15"/>
        <v>17200.779665983006</v>
      </c>
      <c r="J133" s="476">
        <v>520</v>
      </c>
      <c r="K133" s="477">
        <f t="shared" si="16"/>
        <v>0.2464770373460111</v>
      </c>
      <c r="L133" s="478">
        <f t="shared" si="17"/>
        <v>8.153071561755771</v>
      </c>
      <c r="M133" s="114"/>
    </row>
    <row r="134" spans="2:13" ht="12.75">
      <c r="B134" s="145">
        <v>510</v>
      </c>
      <c r="C134" s="146">
        <f>'UA Optimizer '!AU32</f>
        <v>19223.762086141225</v>
      </c>
      <c r="D134" s="147">
        <v>510</v>
      </c>
      <c r="E134" s="146">
        <f>'UA Optimizer '!BC32</f>
        <v>16011.426897157926</v>
      </c>
      <c r="F134" s="147">
        <v>510</v>
      </c>
      <c r="G134" s="146">
        <f>'UA Optimizer '!BK32</f>
        <v>18053.296220334018</v>
      </c>
      <c r="H134" s="147">
        <v>510</v>
      </c>
      <c r="I134" s="148">
        <f t="shared" si="15"/>
        <v>16703.187518312334</v>
      </c>
      <c r="J134" s="476">
        <v>510</v>
      </c>
      <c r="K134" s="477">
        <f t="shared" si="16"/>
        <v>0.24173709432012627</v>
      </c>
      <c r="L134" s="478">
        <f t="shared" si="17"/>
        <v>7.917215718747107</v>
      </c>
      <c r="M134" s="114"/>
    </row>
    <row r="135" spans="2:13" ht="12.75">
      <c r="B135" s="145">
        <v>500</v>
      </c>
      <c r="C135" s="146">
        <f>'UA Optimizer '!AU33</f>
        <v>18700.820392616468</v>
      </c>
      <c r="D135" s="147">
        <v>500</v>
      </c>
      <c r="E135" s="146">
        <f>'UA Optimizer '!BC33</f>
        <v>15522.82449457955</v>
      </c>
      <c r="F135" s="147">
        <v>500</v>
      </c>
      <c r="G135" s="146">
        <f>'UA Optimizer '!BK33</f>
        <v>17543.773806035748</v>
      </c>
      <c r="H135" s="147">
        <v>500</v>
      </c>
      <c r="I135" s="148">
        <f t="shared" si="15"/>
        <v>16207.326399062411</v>
      </c>
      <c r="J135" s="476">
        <v>500</v>
      </c>
      <c r="K135" s="477">
        <f t="shared" si="16"/>
        <v>0.23699715129424145</v>
      </c>
      <c r="L135" s="478">
        <f t="shared" si="17"/>
        <v>7.682180373347495</v>
      </c>
      <c r="M135" s="114"/>
    </row>
    <row r="136" spans="2:13" ht="12.75">
      <c r="B136" s="145">
        <v>490</v>
      </c>
      <c r="C136" s="146">
        <f>'UA Optimizer '!AU34</f>
        <v>18180.046879578083</v>
      </c>
      <c r="D136" s="147">
        <v>490</v>
      </c>
      <c r="E136" s="146">
        <f>'UA Optimizer '!BC34</f>
        <v>15036.712569586876</v>
      </c>
      <c r="F136" s="147">
        <v>490</v>
      </c>
      <c r="G136" s="146">
        <f>'UA Optimizer '!BK34</f>
        <v>17035.569879871084</v>
      </c>
      <c r="H136" s="147">
        <v>490</v>
      </c>
      <c r="I136" s="148">
        <f t="shared" si="15"/>
        <v>15713.741283328452</v>
      </c>
      <c r="J136" s="476">
        <v>490</v>
      </c>
      <c r="K136" s="477">
        <f t="shared" si="16"/>
        <v>0.2322572082683566</v>
      </c>
      <c r="L136" s="478">
        <f t="shared" si="17"/>
        <v>7.448223840647122</v>
      </c>
      <c r="M136" s="114"/>
    </row>
    <row r="137" spans="2:13" ht="12.75">
      <c r="B137" s="145">
        <v>480</v>
      </c>
      <c r="C137" s="146">
        <f>'UA Optimizer '!AU35</f>
        <v>17661.177849399355</v>
      </c>
      <c r="D137" s="147">
        <v>480</v>
      </c>
      <c r="E137" s="146">
        <f>'UA Optimizer '!BC35</f>
        <v>14551.128039847643</v>
      </c>
      <c r="F137" s="147">
        <v>480</v>
      </c>
      <c r="G137" s="146">
        <f>'UA Optimizer '!BK35</f>
        <v>16529.475534720186</v>
      </c>
      <c r="H137" s="147">
        <v>480</v>
      </c>
      <c r="I137" s="148">
        <f aca="true" t="shared" si="24" ref="I137:I168">($B$18*C137)+($C$18*E137)+($D$18*G137)</f>
        <v>15221.086141224729</v>
      </c>
      <c r="J137" s="476">
        <v>480</v>
      </c>
      <c r="K137" s="477">
        <f aca="true" t="shared" si="25" ref="K137:K168">J137/E$19</f>
        <v>0.2275172652424718</v>
      </c>
      <c r="L137" s="478">
        <f aca="true" t="shared" si="26" ref="L137:L168">I137/E$19</f>
        <v>7.214708110149037</v>
      </c>
      <c r="M137" s="114"/>
    </row>
    <row r="138" spans="2:13" ht="12.75">
      <c r="B138" s="145">
        <v>470</v>
      </c>
      <c r="C138" s="146">
        <f>'UA Optimizer '!AU36</f>
        <v>17144.096103135074</v>
      </c>
      <c r="D138" s="147">
        <v>470</v>
      </c>
      <c r="E138" s="146">
        <f>'UA Optimizer '!BC36</f>
        <v>14066.334602988574</v>
      </c>
      <c r="F138" s="147">
        <v>470</v>
      </c>
      <c r="G138" s="146">
        <f>'UA Optimizer '!BK36</f>
        <v>16025.607969528275</v>
      </c>
      <c r="H138" s="147">
        <v>470</v>
      </c>
      <c r="I138" s="148">
        <f t="shared" si="24"/>
        <v>14729.55698798711</v>
      </c>
      <c r="J138" s="476">
        <v>470</v>
      </c>
      <c r="K138" s="477">
        <f t="shared" si="25"/>
        <v>0.22277732221658694</v>
      </c>
      <c r="L138" s="478">
        <f t="shared" si="26"/>
        <v>6.981726091958264</v>
      </c>
      <c r="M138" s="114"/>
    </row>
    <row r="139" spans="2:13" ht="12.75">
      <c r="B139" s="145">
        <v>460</v>
      </c>
      <c r="C139" s="146">
        <f>'UA Optimizer '!AU37</f>
        <v>16628.567242894816</v>
      </c>
      <c r="D139" s="147">
        <v>460</v>
      </c>
      <c r="E139" s="146">
        <f>'UA Optimizer '!BC37</f>
        <v>13585.965426311164</v>
      </c>
      <c r="F139" s="147">
        <v>460</v>
      </c>
      <c r="G139" s="146">
        <f>'UA Optimizer '!BK37</f>
        <v>15527.746850278347</v>
      </c>
      <c r="H139" s="147">
        <v>460</v>
      </c>
      <c r="I139" s="148">
        <f t="shared" si="24"/>
        <v>14242.34485789628</v>
      </c>
      <c r="J139" s="476">
        <v>460</v>
      </c>
      <c r="K139" s="477">
        <f t="shared" si="25"/>
        <v>0.21803737919070212</v>
      </c>
      <c r="L139" s="478">
        <f t="shared" si="26"/>
        <v>6.7507903181432125</v>
      </c>
      <c r="M139" s="114"/>
    </row>
    <row r="140" spans="2:13" ht="12.75">
      <c r="B140" s="145">
        <v>450</v>
      </c>
      <c r="C140" s="146">
        <f>'UA Optimizer '!AU38</f>
        <v>16114.06387342514</v>
      </c>
      <c r="D140" s="147">
        <v>450</v>
      </c>
      <c r="E140" s="146">
        <f>'UA Optimizer '!BC38</f>
        <v>13107.002636976267</v>
      </c>
      <c r="F140" s="147">
        <v>450</v>
      </c>
      <c r="G140" s="146">
        <f>'UA Optimizer '!BK38</f>
        <v>15032.639906240845</v>
      </c>
      <c r="H140" s="147">
        <v>450</v>
      </c>
      <c r="I140" s="148">
        <f t="shared" si="24"/>
        <v>13756.695575739817</v>
      </c>
      <c r="J140" s="476">
        <v>450</v>
      </c>
      <c r="K140" s="477">
        <f t="shared" si="25"/>
        <v>0.2132974361648173</v>
      </c>
      <c r="L140" s="478">
        <f t="shared" si="26"/>
        <v>6.520595325344862</v>
      </c>
      <c r="M140" s="114"/>
    </row>
    <row r="141" spans="2:13" ht="12.75">
      <c r="B141" s="145">
        <v>440</v>
      </c>
      <c r="C141" s="146">
        <f>'UA Optimizer '!AU39</f>
        <v>15601.699384705538</v>
      </c>
      <c r="D141" s="147">
        <v>440</v>
      </c>
      <c r="E141" s="146">
        <f>'UA Optimizer '!BC39</f>
        <v>12630.061529446237</v>
      </c>
      <c r="F141" s="147">
        <v>440</v>
      </c>
      <c r="G141" s="146">
        <f>'UA Optimizer '!BK39</f>
        <v>14539.144447699971</v>
      </c>
      <c r="H141" s="147">
        <v>440</v>
      </c>
      <c r="I141" s="148">
        <f t="shared" si="24"/>
        <v>13273.020509815413</v>
      </c>
      <c r="J141" s="476">
        <v>440</v>
      </c>
      <c r="K141" s="477">
        <f t="shared" si="25"/>
        <v>0.20855749313893246</v>
      </c>
      <c r="L141" s="478">
        <f t="shared" si="26"/>
        <v>6.291336099792586</v>
      </c>
      <c r="M141" s="114"/>
    </row>
    <row r="142" spans="2:13" ht="12.75">
      <c r="B142" s="145">
        <v>430</v>
      </c>
      <c r="C142" s="146">
        <f>'UA Optimizer '!AU40</f>
        <v>15091.09288016408</v>
      </c>
      <c r="D142" s="147">
        <v>430</v>
      </c>
      <c r="E142" s="146">
        <f>'UA Optimizer '!BC40</f>
        <v>12154.819806621741</v>
      </c>
      <c r="F142" s="147">
        <v>430</v>
      </c>
      <c r="G142" s="146">
        <f>'UA Optimizer '!BK40</f>
        <v>14046.9088778201</v>
      </c>
      <c r="H142" s="147">
        <v>430</v>
      </c>
      <c r="I142" s="148">
        <f t="shared" si="24"/>
        <v>12790.985936126575</v>
      </c>
      <c r="J142" s="476">
        <v>430</v>
      </c>
      <c r="K142" s="477">
        <f t="shared" si="25"/>
        <v>0.20381755011304764</v>
      </c>
      <c r="L142" s="478">
        <f t="shared" si="26"/>
        <v>6.062854458213409</v>
      </c>
      <c r="M142" s="114"/>
    </row>
    <row r="143" spans="2:13" ht="12.75">
      <c r="B143" s="145">
        <v>420</v>
      </c>
      <c r="C143" s="146">
        <f>'UA Optimizer '!AU41</f>
        <v>14582.09786111925</v>
      </c>
      <c r="D143" s="147">
        <v>420</v>
      </c>
      <c r="E143" s="146">
        <f>'UA Optimizer '!BC41</f>
        <v>11682.94755347202</v>
      </c>
      <c r="F143" s="147">
        <v>420</v>
      </c>
      <c r="G143" s="146">
        <f>'UA Optimizer '!BK41</f>
        <v>13555.610899501906</v>
      </c>
      <c r="H143" s="147">
        <v>420</v>
      </c>
      <c r="I143" s="148">
        <f t="shared" si="24"/>
        <v>12311.74509229417</v>
      </c>
      <c r="J143" s="476">
        <v>420</v>
      </c>
      <c r="K143" s="477">
        <f t="shared" si="25"/>
        <v>0.19907760708716282</v>
      </c>
      <c r="L143" s="478">
        <f t="shared" si="26"/>
        <v>5.835697028669152</v>
      </c>
      <c r="M143" s="114"/>
    </row>
    <row r="144" spans="2:13" ht="12.75">
      <c r="B144" s="145">
        <v>410</v>
      </c>
      <c r="C144" s="146">
        <f>'UA Optimizer '!AU42</f>
        <v>14074.567828889541</v>
      </c>
      <c r="D144" s="147">
        <v>410</v>
      </c>
      <c r="E144" s="146">
        <f>'UA Optimizer '!BC42</f>
        <v>11214.767067096396</v>
      </c>
      <c r="F144" s="147">
        <v>410</v>
      </c>
      <c r="G144" s="146">
        <f>'UA Optimizer '!BK42</f>
        <v>13065.484910635805</v>
      </c>
      <c r="H144" s="147">
        <v>410</v>
      </c>
      <c r="I144" s="148">
        <f t="shared" si="24"/>
        <v>11835.550835042486</v>
      </c>
      <c r="J144" s="476">
        <v>410</v>
      </c>
      <c r="K144" s="477">
        <f t="shared" si="25"/>
        <v>0.19433766406127798</v>
      </c>
      <c r="L144" s="478">
        <f t="shared" si="26"/>
        <v>5.609983663806499</v>
      </c>
      <c r="M144" s="114"/>
    </row>
    <row r="145" spans="2:13" ht="12.75">
      <c r="B145" s="145">
        <v>400</v>
      </c>
      <c r="C145" s="146">
        <f>'UA Optimizer '!AU43</f>
        <v>13568.326985057134</v>
      </c>
      <c r="D145" s="147">
        <v>400</v>
      </c>
      <c r="E145" s="146">
        <f>'UA Optimizer '!BC43</f>
        <v>10751.860533255202</v>
      </c>
      <c r="F145" s="147">
        <v>400</v>
      </c>
      <c r="G145" s="146">
        <f>'UA Optimizer '!BK43</f>
        <v>12577.497802519778</v>
      </c>
      <c r="H145" s="147">
        <v>400</v>
      </c>
      <c r="I145" s="148">
        <f t="shared" si="24"/>
        <v>11363.68209786112</v>
      </c>
      <c r="J145" s="476">
        <v>400</v>
      </c>
      <c r="K145" s="477">
        <f t="shared" si="25"/>
        <v>0.18959772103539316</v>
      </c>
      <c r="L145" s="478">
        <f t="shared" si="26"/>
        <v>5.386320570812909</v>
      </c>
      <c r="M145" s="114"/>
    </row>
    <row r="146" spans="2:13" ht="12.75">
      <c r="B146" s="145">
        <v>390</v>
      </c>
      <c r="C146" s="146">
        <f>'UA Optimizer '!AU44</f>
        <v>13064.459419865221</v>
      </c>
      <c r="D146" s="147">
        <v>390</v>
      </c>
      <c r="E146" s="146">
        <f>'UA Optimizer '!BC44</f>
        <v>10291.649575153824</v>
      </c>
      <c r="F146" s="147">
        <v>390</v>
      </c>
      <c r="G146" s="146">
        <f>'UA Optimizer '!BK44</f>
        <v>12094.520949311456</v>
      </c>
      <c r="H146" s="147">
        <v>390</v>
      </c>
      <c r="I146" s="148">
        <f t="shared" si="24"/>
        <v>10894.817462642837</v>
      </c>
      <c r="J146" s="476">
        <v>390</v>
      </c>
      <c r="K146" s="477">
        <f t="shared" si="25"/>
        <v>0.1848577780095083</v>
      </c>
      <c r="L146" s="478">
        <f t="shared" si="26"/>
        <v>5.164081405034216</v>
      </c>
      <c r="M146" s="114"/>
    </row>
    <row r="147" spans="2:13" ht="12.75">
      <c r="B147" s="145">
        <v>380</v>
      </c>
      <c r="C147" s="146">
        <f>'UA Optimizer '!AU45</f>
        <v>12561.96894227952</v>
      </c>
      <c r="D147" s="147">
        <v>380</v>
      </c>
      <c r="E147" s="146">
        <f>'UA Optimizer '!BC45</f>
        <v>9834.925285672429</v>
      </c>
      <c r="F147" s="147">
        <v>380</v>
      </c>
      <c r="G147" s="146">
        <f>'UA Optimizer '!BK45</f>
        <v>11616.0269557574</v>
      </c>
      <c r="H147" s="147">
        <v>380</v>
      </c>
      <c r="I147" s="148">
        <f t="shared" si="24"/>
        <v>10429.335774978024</v>
      </c>
      <c r="J147" s="476">
        <v>380</v>
      </c>
      <c r="K147" s="477">
        <f t="shared" si="25"/>
        <v>0.1801178349836235</v>
      </c>
      <c r="L147" s="478">
        <f t="shared" si="26"/>
        <v>4.943445737121824</v>
      </c>
      <c r="M147" s="114"/>
    </row>
    <row r="148" spans="2:13" ht="12.75">
      <c r="B148" s="145">
        <v>370</v>
      </c>
      <c r="C148" s="146">
        <f>'UA Optimizer '!AU46</f>
        <v>12061.646645180195</v>
      </c>
      <c r="D148" s="147">
        <v>370</v>
      </c>
      <c r="E148" s="146">
        <f>'UA Optimizer '!BC46</f>
        <v>9381.59976560211</v>
      </c>
      <c r="F148" s="147">
        <v>370</v>
      </c>
      <c r="G148" s="146">
        <f>'UA Optimizer '!BK46</f>
        <v>11139.408145326694</v>
      </c>
      <c r="H148" s="147">
        <v>370</v>
      </c>
      <c r="I148" s="148">
        <f t="shared" si="24"/>
        <v>9966.876648110167</v>
      </c>
      <c r="J148" s="476">
        <v>370</v>
      </c>
      <c r="K148" s="477">
        <f t="shared" si="25"/>
        <v>0.17537789195773867</v>
      </c>
      <c r="L148" s="478">
        <f t="shared" si="26"/>
        <v>4.724242745806414</v>
      </c>
      <c r="M148" s="114"/>
    </row>
    <row r="149" spans="2:13" ht="12.75">
      <c r="B149" s="145">
        <v>360</v>
      </c>
      <c r="C149" s="146">
        <f>'UA Optimizer '!AU47</f>
        <v>11561.148549663052</v>
      </c>
      <c r="D149" s="147">
        <v>360</v>
      </c>
      <c r="E149" s="146">
        <f>'UA Optimizer '!BC47</f>
        <v>8935.628479343686</v>
      </c>
      <c r="F149" s="147">
        <v>360</v>
      </c>
      <c r="G149" s="146">
        <f>'UA Optimizer '!BK47</f>
        <v>10664.723117491942</v>
      </c>
      <c r="H149" s="147">
        <v>360</v>
      </c>
      <c r="I149" s="148">
        <f t="shared" si="24"/>
        <v>9510.055083504249</v>
      </c>
      <c r="J149" s="476">
        <v>360</v>
      </c>
      <c r="K149" s="477">
        <f t="shared" si="25"/>
        <v>0.17063794893185383</v>
      </c>
      <c r="L149" s="478">
        <f t="shared" si="26"/>
        <v>4.507711926883653</v>
      </c>
      <c r="M149" s="114"/>
    </row>
    <row r="150" spans="2:13" ht="12.75">
      <c r="B150" s="145">
        <v>350</v>
      </c>
      <c r="C150" s="146">
        <f>'UA Optimizer '!AU48</f>
        <v>11061.617345443892</v>
      </c>
      <c r="D150" s="147">
        <v>350</v>
      </c>
      <c r="E150" s="146">
        <f>'UA Optimizer '!BC48</f>
        <v>8493.70055669499</v>
      </c>
      <c r="F150" s="147">
        <v>350</v>
      </c>
      <c r="G150" s="146">
        <f>'UA Optimizer '!BK48</f>
        <v>10192.821564605918</v>
      </c>
      <c r="H150" s="147">
        <v>350</v>
      </c>
      <c r="I150" s="148">
        <f t="shared" si="24"/>
        <v>9056.718722531497</v>
      </c>
      <c r="J150" s="476">
        <v>350</v>
      </c>
      <c r="K150" s="477">
        <f t="shared" si="25"/>
        <v>0.165898005905969</v>
      </c>
      <c r="L150" s="478">
        <f t="shared" si="26"/>
        <v>4.2928330746263725</v>
      </c>
      <c r="M150" s="114"/>
    </row>
    <row r="151" spans="2:13" ht="12.75">
      <c r="B151" s="145">
        <v>340</v>
      </c>
      <c r="C151" s="146">
        <f>'UA Optimizer '!AU49</f>
        <v>10566.451801933785</v>
      </c>
      <c r="D151" s="147">
        <v>340</v>
      </c>
      <c r="E151" s="146">
        <f>'UA Optimizer '!BC49</f>
        <v>8053.970114268972</v>
      </c>
      <c r="F151" s="147">
        <v>340</v>
      </c>
      <c r="G151" s="146">
        <f>'UA Optimizer '!BK49</f>
        <v>9721.623205391152</v>
      </c>
      <c r="H151" s="147">
        <v>340</v>
      </c>
      <c r="I151" s="148">
        <f t="shared" si="24"/>
        <v>8605.615880457077</v>
      </c>
      <c r="J151" s="476">
        <v>340</v>
      </c>
      <c r="K151" s="477">
        <f t="shared" si="25"/>
        <v>0.1611580628800842</v>
      </c>
      <c r="L151" s="478">
        <f t="shared" si="26"/>
        <v>4.0790128976016256</v>
      </c>
      <c r="M151" s="114"/>
    </row>
    <row r="152" spans="2:13" ht="12.75">
      <c r="B152" s="145">
        <v>330</v>
      </c>
      <c r="C152" s="146">
        <f>'UA Optimizer '!AU50</f>
        <v>10074.011133899796</v>
      </c>
      <c r="D152" s="147">
        <v>330</v>
      </c>
      <c r="E152" s="146">
        <f>'UA Optimizer '!BC50</f>
        <v>7614.532669205978</v>
      </c>
      <c r="F152" s="147">
        <v>330</v>
      </c>
      <c r="G152" s="146">
        <f>'UA Optimizer '!BK50</f>
        <v>9250.835042484618</v>
      </c>
      <c r="H152" s="147">
        <v>330</v>
      </c>
      <c r="I152" s="148">
        <f t="shared" si="24"/>
        <v>8155.115440961032</v>
      </c>
      <c r="J152" s="476">
        <v>330</v>
      </c>
      <c r="K152" s="477">
        <f t="shared" si="25"/>
        <v>0.15641811985419934</v>
      </c>
      <c r="L152" s="478">
        <f t="shared" si="26"/>
        <v>3.865478255966892</v>
      </c>
      <c r="M152" s="114"/>
    </row>
    <row r="153" spans="2:13" ht="12.75">
      <c r="B153" s="145">
        <v>320</v>
      </c>
      <c r="C153" s="146">
        <f>'UA Optimizer '!AU51</f>
        <v>9586.17052446528</v>
      </c>
      <c r="D153" s="147">
        <v>320</v>
      </c>
      <c r="E153" s="146">
        <f>'UA Optimizer '!BC51</f>
        <v>7183.152651626136</v>
      </c>
      <c r="F153" s="147">
        <v>320</v>
      </c>
      <c r="G153" s="146">
        <f>'UA Optimizer '!BK51</f>
        <v>8780.779372985644</v>
      </c>
      <c r="H153" s="147">
        <v>320</v>
      </c>
      <c r="I153" s="148">
        <f t="shared" si="24"/>
        <v>7711.1588045707595</v>
      </c>
      <c r="J153" s="476">
        <v>320</v>
      </c>
      <c r="K153" s="477">
        <f t="shared" si="25"/>
        <v>0.15167817682831453</v>
      </c>
      <c r="L153" s="478">
        <f t="shared" si="26"/>
        <v>3.6550453397215565</v>
      </c>
      <c r="M153" s="114"/>
    </row>
    <row r="154" spans="2:13" ht="12.75">
      <c r="B154" s="145">
        <v>310</v>
      </c>
      <c r="C154" s="146">
        <f>'UA Optimizer '!AU52</f>
        <v>9101.640785232934</v>
      </c>
      <c r="D154" s="147">
        <v>310</v>
      </c>
      <c r="E154" s="146">
        <f>'UA Optimizer '!BC52</f>
        <v>6757.89627893349</v>
      </c>
      <c r="F154" s="147">
        <v>310</v>
      </c>
      <c r="G154" s="146">
        <f>'UA Optimizer '!BK52</f>
        <v>8315.44096103135</v>
      </c>
      <c r="H154" s="147">
        <v>310</v>
      </c>
      <c r="I154" s="148">
        <f t="shared" si="24"/>
        <v>7272.777322004102</v>
      </c>
      <c r="J154" s="476">
        <v>310</v>
      </c>
      <c r="K154" s="477">
        <f t="shared" si="25"/>
        <v>0.14693823380242968</v>
      </c>
      <c r="L154" s="478">
        <f t="shared" si="26"/>
        <v>3.4472550146246683</v>
      </c>
      <c r="M154" s="114"/>
    </row>
    <row r="155" spans="2:13" ht="12.75">
      <c r="B155" s="145">
        <v>300</v>
      </c>
      <c r="C155" s="146">
        <f>'UA Optimizer '!AU53</f>
        <v>8618.898329915031</v>
      </c>
      <c r="D155" s="147">
        <v>300</v>
      </c>
      <c r="E155" s="146">
        <f>'UA Optimizer '!BC53</f>
        <v>6337.122765895107</v>
      </c>
      <c r="F155" s="147">
        <v>300</v>
      </c>
      <c r="G155" s="146">
        <f>'UA Optimizer '!BK53</f>
        <v>7853.413419279227</v>
      </c>
      <c r="H155" s="147">
        <v>300</v>
      </c>
      <c r="I155" s="148">
        <f t="shared" si="24"/>
        <v>6838.3794315851155</v>
      </c>
      <c r="J155" s="476">
        <v>300</v>
      </c>
      <c r="K155" s="477">
        <f t="shared" si="25"/>
        <v>0.14219829077654486</v>
      </c>
      <c r="L155" s="478">
        <f t="shared" si="26"/>
        <v>3.2413528895096126</v>
      </c>
      <c r="M155" s="114"/>
    </row>
    <row r="156" spans="2:13" ht="12.75">
      <c r="B156" s="145">
        <v>290</v>
      </c>
      <c r="C156" s="146">
        <f>'UA Optimizer '!AU54</f>
        <v>8141.576325813068</v>
      </c>
      <c r="D156" s="147">
        <v>290</v>
      </c>
      <c r="E156" s="146">
        <f>'UA Optimizer '!BC54</f>
        <v>5918.9276296513335</v>
      </c>
      <c r="F156" s="147">
        <v>290</v>
      </c>
      <c r="G156" s="146">
        <f>'UA Optimizer '!BK54</f>
        <v>7394.608848520364</v>
      </c>
      <c r="H156" s="147">
        <v>290</v>
      </c>
      <c r="I156" s="148">
        <f t="shared" si="24"/>
        <v>6406.997656021097</v>
      </c>
      <c r="J156" s="476">
        <v>290</v>
      </c>
      <c r="K156" s="477">
        <f t="shared" si="25"/>
        <v>0.13745834775066004</v>
      </c>
      <c r="L156" s="478">
        <f t="shared" si="26"/>
        <v>3.0368803856517643</v>
      </c>
      <c r="M156" s="114"/>
    </row>
    <row r="157" spans="2:13" ht="12.75">
      <c r="B157" s="145">
        <v>280</v>
      </c>
      <c r="C157" s="146">
        <f>'UA Optimizer '!AU55</f>
        <v>7667.3893934954585</v>
      </c>
      <c r="D157" s="147">
        <v>280</v>
      </c>
      <c r="E157" s="146">
        <f>'UA Optimizer '!BC55</f>
        <v>5503.633167301495</v>
      </c>
      <c r="F157" s="147">
        <v>280</v>
      </c>
      <c r="G157" s="146">
        <f>'UA Optimizer '!BK55</f>
        <v>6936.390272487549</v>
      </c>
      <c r="H157" s="147">
        <v>280</v>
      </c>
      <c r="I157" s="148">
        <f t="shared" si="24"/>
        <v>5978.197480222678</v>
      </c>
      <c r="J157" s="476">
        <v>280</v>
      </c>
      <c r="K157" s="477">
        <f t="shared" si="25"/>
        <v>0.1327184047247752</v>
      </c>
      <c r="L157" s="478">
        <f t="shared" si="26"/>
        <v>2.8336315453743737</v>
      </c>
      <c r="M157" s="114"/>
    </row>
    <row r="158" spans="2:13" ht="12.75">
      <c r="B158" s="145">
        <v>270</v>
      </c>
      <c r="C158" s="146">
        <f>'UA Optimizer '!AU56</f>
        <v>7195.458540873132</v>
      </c>
      <c r="D158" s="147">
        <v>270</v>
      </c>
      <c r="E158" s="146">
        <f>'UA Optimizer '!BC56</f>
        <v>5092.968063287431</v>
      </c>
      <c r="F158" s="147">
        <v>270</v>
      </c>
      <c r="G158" s="146">
        <f>'UA Optimizer '!BK56</f>
        <v>6485.350131848813</v>
      </c>
      <c r="H158" s="147">
        <v>270</v>
      </c>
      <c r="I158" s="148">
        <f t="shared" si="24"/>
        <v>5554.124230881923</v>
      </c>
      <c r="J158" s="476">
        <v>270</v>
      </c>
      <c r="K158" s="477">
        <f t="shared" si="25"/>
        <v>0.12797846169889038</v>
      </c>
      <c r="L158" s="478">
        <f t="shared" si="26"/>
        <v>2.632623241306671</v>
      </c>
      <c r="M158" s="114"/>
    </row>
    <row r="159" spans="2:13" ht="12.75">
      <c r="B159" s="145">
        <v>260</v>
      </c>
      <c r="C159" s="146">
        <f>'UA Optimizer '!AU57</f>
        <v>6729.797831819514</v>
      </c>
      <c r="D159" s="147">
        <v>260</v>
      </c>
      <c r="E159" s="146">
        <f>'UA Optimizer '!BC57</f>
        <v>4691.327278054498</v>
      </c>
      <c r="F159" s="147">
        <v>260</v>
      </c>
      <c r="G159" s="146">
        <f>'UA Optimizer '!BK57</f>
        <v>6039.115147963668</v>
      </c>
      <c r="H159" s="147">
        <v>260</v>
      </c>
      <c r="I159" s="148">
        <f t="shared" si="24"/>
        <v>5138.111924992675</v>
      </c>
      <c r="J159" s="476">
        <v>260</v>
      </c>
      <c r="K159" s="477">
        <f t="shared" si="25"/>
        <v>0.12323851867300555</v>
      </c>
      <c r="L159" s="478">
        <f t="shared" si="26"/>
        <v>2.43543577850847</v>
      </c>
      <c r="M159" s="114"/>
    </row>
    <row r="160" spans="2:13" ht="12.75">
      <c r="B160" s="145">
        <v>250</v>
      </c>
      <c r="C160" s="146">
        <f>'UA Optimizer '!AU58</f>
        <v>6268.76648110167</v>
      </c>
      <c r="D160" s="147">
        <v>250</v>
      </c>
      <c r="E160" s="146">
        <f>'UA Optimizer '!BC58</f>
        <v>4295.458540873132</v>
      </c>
      <c r="F160" s="147">
        <v>250</v>
      </c>
      <c r="G160" s="146">
        <f>'UA Optimizer '!BK58</f>
        <v>5594.520949311456</v>
      </c>
      <c r="H160" s="147">
        <v>250</v>
      </c>
      <c r="I160" s="148">
        <f t="shared" si="24"/>
        <v>4727.114854966305</v>
      </c>
      <c r="J160" s="476">
        <v>250</v>
      </c>
      <c r="K160" s="477">
        <f t="shared" si="25"/>
        <v>0.11849857564712073</v>
      </c>
      <c r="L160" s="478">
        <f t="shared" si="26"/>
        <v>2.2406255089354112</v>
      </c>
      <c r="M160" s="114"/>
    </row>
    <row r="161" spans="2:13" ht="12.75">
      <c r="B161" s="145">
        <v>240</v>
      </c>
      <c r="C161" s="146">
        <f>'UA Optimizer '!AU59</f>
        <v>5813.214181072371</v>
      </c>
      <c r="D161" s="147">
        <v>240</v>
      </c>
      <c r="E161" s="146">
        <f>'UA Optimizer '!BC59</f>
        <v>3904.775857017287</v>
      </c>
      <c r="F161" s="147">
        <v>240</v>
      </c>
      <c r="G161" s="146">
        <f>'UA Optimizer '!BK59</f>
        <v>5151.831233518898</v>
      </c>
      <c r="H161" s="147">
        <v>240</v>
      </c>
      <c r="I161" s="148">
        <f t="shared" si="24"/>
        <v>4320.846762379138</v>
      </c>
      <c r="J161" s="476">
        <v>240</v>
      </c>
      <c r="K161" s="477">
        <f t="shared" si="25"/>
        <v>0.1137586326212359</v>
      </c>
      <c r="L161" s="478">
        <f t="shared" si="26"/>
        <v>2.048056747725604</v>
      </c>
      <c r="M161" s="114"/>
    </row>
    <row r="162" spans="2:13" ht="12.75">
      <c r="B162" s="145">
        <v>230</v>
      </c>
      <c r="C162" s="146">
        <f>'UA Optimizer '!AU60</f>
        <v>5363.199531204219</v>
      </c>
      <c r="D162" s="147">
        <v>230</v>
      </c>
      <c r="E162" s="146">
        <f>'UA Optimizer '!BC60</f>
        <v>3519.8945209493118</v>
      </c>
      <c r="F162" s="147">
        <v>230</v>
      </c>
      <c r="G162" s="146">
        <f>'UA Optimizer '!BK60</f>
        <v>4712.774685027835</v>
      </c>
      <c r="H162" s="147">
        <v>230</v>
      </c>
      <c r="I162" s="148">
        <f t="shared" si="24"/>
        <v>3920.023146791679</v>
      </c>
      <c r="J162" s="476">
        <v>230</v>
      </c>
      <c r="K162" s="477">
        <f t="shared" si="25"/>
        <v>0.10901868959535106</v>
      </c>
      <c r="L162" s="478">
        <f t="shared" si="26"/>
        <v>1.8580686375942321</v>
      </c>
      <c r="M162" s="114"/>
    </row>
    <row r="163" spans="2:13" ht="12.75">
      <c r="B163" s="145">
        <v>220</v>
      </c>
      <c r="C163" s="146">
        <f>'UA Optimizer '!AU61</f>
        <v>4918.869030178728</v>
      </c>
      <c r="D163" s="147">
        <v>220</v>
      </c>
      <c r="E163" s="146">
        <f>'UA Optimizer '!BC61</f>
        <v>3153.618517433343</v>
      </c>
      <c r="F163" s="147">
        <v>220</v>
      </c>
      <c r="G163" s="146">
        <f>'UA Optimizer '!BK61</f>
        <v>4281.277468502783</v>
      </c>
      <c r="H163" s="147">
        <v>220</v>
      </c>
      <c r="I163" s="148">
        <f t="shared" si="24"/>
        <v>3534.5974216232053</v>
      </c>
      <c r="J163" s="476">
        <v>220</v>
      </c>
      <c r="K163" s="477">
        <f t="shared" si="25"/>
        <v>0.10427874656946623</v>
      </c>
      <c r="L163" s="478">
        <f t="shared" si="26"/>
        <v>1.675379039793341</v>
      </c>
      <c r="M163" s="114"/>
    </row>
    <row r="164" spans="2:13" ht="12.75">
      <c r="B164" s="145">
        <v>210</v>
      </c>
      <c r="C164" s="146">
        <f>'UA Optimizer '!AU62</f>
        <v>4481.3067682390865</v>
      </c>
      <c r="D164" s="147">
        <v>210</v>
      </c>
      <c r="E164" s="146">
        <f>'UA Optimizer '!BC62</f>
        <v>2803.1350717843543</v>
      </c>
      <c r="F164" s="147">
        <v>210</v>
      </c>
      <c r="G164" s="146">
        <f>'UA Optimizer '!BK62</f>
        <v>3855.8452973923236</v>
      </c>
      <c r="H164" s="147">
        <v>210</v>
      </c>
      <c r="I164" s="148">
        <f t="shared" si="24"/>
        <v>3162.4222092001173</v>
      </c>
      <c r="J164" s="476">
        <v>210</v>
      </c>
      <c r="K164" s="477">
        <f t="shared" si="25"/>
        <v>0.09953880354358141</v>
      </c>
      <c r="L164" s="478">
        <f t="shared" si="26"/>
        <v>1.4989701095401389</v>
      </c>
      <c r="M164" s="114"/>
    </row>
    <row r="165" spans="2:13" ht="12.75">
      <c r="B165" s="145">
        <v>200</v>
      </c>
      <c r="C165" s="146">
        <f>'UA Optimizer '!AU63</f>
        <v>4047.172575446821</v>
      </c>
      <c r="D165" s="147">
        <v>200</v>
      </c>
      <c r="E165" s="146">
        <f>'UA Optimizer '!BC63</f>
        <v>2469.9091708174624</v>
      </c>
      <c r="F165" s="147">
        <v>200</v>
      </c>
      <c r="G165" s="146">
        <f>'UA Optimizer '!BK63</f>
        <v>3441.224728977439</v>
      </c>
      <c r="H165" s="147">
        <v>200</v>
      </c>
      <c r="I165" s="148">
        <f t="shared" si="24"/>
        <v>2804.878113096982</v>
      </c>
      <c r="J165" s="476">
        <v>200</v>
      </c>
      <c r="K165" s="477">
        <f t="shared" si="25"/>
        <v>0.09479886051769658</v>
      </c>
      <c r="L165" s="478">
        <f t="shared" si="26"/>
        <v>1.3294962450631038</v>
      </c>
      <c r="M165" s="114"/>
    </row>
    <row r="166" spans="2:13" ht="12.75">
      <c r="B166" s="145">
        <v>190</v>
      </c>
      <c r="C166" s="146">
        <f>'UA Optimizer '!AU64</f>
        <v>3619.1034280691474</v>
      </c>
      <c r="D166" s="147">
        <v>190</v>
      </c>
      <c r="E166" s="146">
        <f>'UA Optimizer '!BC64</f>
        <v>2149.5458540873133</v>
      </c>
      <c r="F166" s="147">
        <v>190</v>
      </c>
      <c r="G166" s="146">
        <f>'UA Optimizer '!BK64</f>
        <v>3037.0055669498975</v>
      </c>
      <c r="H166" s="147">
        <v>190</v>
      </c>
      <c r="I166" s="148">
        <f t="shared" si="24"/>
        <v>2459.011719894521</v>
      </c>
      <c r="J166" s="476">
        <v>190</v>
      </c>
      <c r="K166" s="477">
        <f t="shared" si="25"/>
        <v>0.09005891749181175</v>
      </c>
      <c r="L166" s="478">
        <f t="shared" si="26"/>
        <v>1.1655575452283093</v>
      </c>
      <c r="M166" s="114"/>
    </row>
    <row r="167" spans="2:13" ht="12.75">
      <c r="B167" s="145">
        <v>180</v>
      </c>
      <c r="C167" s="146">
        <f>'UA Optimizer '!AU65</f>
        <v>3204.160562554937</v>
      </c>
      <c r="D167" s="147">
        <v>180</v>
      </c>
      <c r="E167" s="146">
        <f>'UA Optimizer '!BC65</f>
        <v>1839.232346908878</v>
      </c>
      <c r="F167" s="147">
        <v>180</v>
      </c>
      <c r="G167" s="146">
        <f>'UA Optimizer '!BK65</f>
        <v>2658.1306768239087</v>
      </c>
      <c r="H167" s="147">
        <v>180</v>
      </c>
      <c r="I167" s="148">
        <f t="shared" si="24"/>
        <v>2125.8584822736593</v>
      </c>
      <c r="J167" s="476">
        <v>180</v>
      </c>
      <c r="K167" s="477">
        <f t="shared" si="25"/>
        <v>0.08531897446592691</v>
      </c>
      <c r="L167" s="478">
        <f t="shared" si="26"/>
        <v>1.007644808707114</v>
      </c>
      <c r="M167" s="114"/>
    </row>
    <row r="168" spans="2:13" ht="12.75">
      <c r="B168" s="145">
        <v>170</v>
      </c>
      <c r="C168" s="146">
        <f>'UA Optimizer '!AU66</f>
        <v>2799.3261060650457</v>
      </c>
      <c r="D168" s="147">
        <v>170</v>
      </c>
      <c r="E168" s="146">
        <f>'UA Optimizer '!BC66</f>
        <v>1543.9203047172575</v>
      </c>
      <c r="F168" s="147">
        <v>170</v>
      </c>
      <c r="G168" s="146">
        <f>'UA Optimizer '!BK66</f>
        <v>2296.278933489599</v>
      </c>
      <c r="H168" s="147">
        <v>170</v>
      </c>
      <c r="I168" s="148">
        <f t="shared" si="24"/>
        <v>1807.4227951948433</v>
      </c>
      <c r="J168" s="476">
        <v>170</v>
      </c>
      <c r="K168" s="477">
        <f t="shared" si="25"/>
        <v>0.0805790314400421</v>
      </c>
      <c r="L168" s="478">
        <f t="shared" si="26"/>
        <v>0.8567081072909061</v>
      </c>
      <c r="M168" s="114"/>
    </row>
    <row r="169" spans="2:13" ht="12.75">
      <c r="B169" s="145">
        <v>160</v>
      </c>
      <c r="C169" s="146">
        <f>'UA Optimizer '!AU67</f>
        <v>2402.080281277468</v>
      </c>
      <c r="D169" s="147">
        <v>160</v>
      </c>
      <c r="E169" s="146">
        <f>'UA Optimizer '!BC67</f>
        <v>1265.221213009083</v>
      </c>
      <c r="F169" s="147">
        <v>160</v>
      </c>
      <c r="G169" s="146">
        <f>'UA Optimizer '!BK67</f>
        <v>1949.13565777908</v>
      </c>
      <c r="H169" s="147">
        <v>160</v>
      </c>
      <c r="I169" s="148">
        <f aca="true" t="shared" si="27" ref="I169:I174">($B$18*C169)+($C$18*E169)+($D$18*G169)</f>
        <v>1504.2314679167885</v>
      </c>
      <c r="J169" s="476">
        <v>160</v>
      </c>
      <c r="K169" s="477">
        <f aca="true" t="shared" si="28" ref="K169:K174">J169/E$19</f>
        <v>0.07583908841415726</v>
      </c>
      <c r="L169" s="478">
        <f aca="true" t="shared" si="29" ref="L169:L174">I169/E$19</f>
        <v>0.712997145566868</v>
      </c>
      <c r="M169" s="114"/>
    </row>
    <row r="170" spans="2:13" ht="12.75">
      <c r="B170" s="145">
        <v>150</v>
      </c>
      <c r="C170" s="146">
        <f>'UA Optimizer '!AU68</f>
        <v>2019.1034280691474</v>
      </c>
      <c r="D170" s="147">
        <v>150</v>
      </c>
      <c r="E170" s="146">
        <f>'UA Optimizer '!BC68</f>
        <v>1013.0090829182539</v>
      </c>
      <c r="F170" s="147">
        <v>150</v>
      </c>
      <c r="G170" s="146">
        <f>'UA Optimizer '!BK68</f>
        <v>1624.6117784939936</v>
      </c>
      <c r="H170" s="147">
        <v>150</v>
      </c>
      <c r="I170" s="148">
        <f t="shared" si="27"/>
        <v>1225.480808672722</v>
      </c>
      <c r="J170" s="476">
        <v>150</v>
      </c>
      <c r="K170" s="477">
        <f t="shared" si="28"/>
        <v>0.07109914538827243</v>
      </c>
      <c r="L170" s="478">
        <f t="shared" si="29"/>
        <v>0.5808709212423969</v>
      </c>
      <c r="M170" s="114"/>
    </row>
    <row r="171" spans="2:13" ht="12.75">
      <c r="B171" s="145">
        <v>140</v>
      </c>
      <c r="C171" s="146">
        <f>'UA Optimizer '!AU69</f>
        <v>1663.8734251391738</v>
      </c>
      <c r="D171" s="147">
        <v>140</v>
      </c>
      <c r="E171" s="146">
        <f>'UA Optimizer '!BC69</f>
        <v>783.8558452973924</v>
      </c>
      <c r="F171" s="147">
        <v>140</v>
      </c>
      <c r="G171" s="146">
        <f>'UA Optimizer '!BK69</f>
        <v>1321.2423088192206</v>
      </c>
      <c r="H171" s="147">
        <v>140</v>
      </c>
      <c r="I171" s="148">
        <f t="shared" si="27"/>
        <v>970.0659244066803</v>
      </c>
      <c r="J171" s="476">
        <v>140</v>
      </c>
      <c r="K171" s="477">
        <f t="shared" si="28"/>
        <v>0.0663592023623876</v>
      </c>
      <c r="L171" s="478">
        <f t="shared" si="29"/>
        <v>0.4598057213039964</v>
      </c>
      <c r="M171" s="114"/>
    </row>
    <row r="172" spans="2:13" ht="12.75">
      <c r="B172" s="145">
        <v>130</v>
      </c>
      <c r="C172" s="146">
        <f>'UA Optimizer '!AU70</f>
        <v>1334.2513917374745</v>
      </c>
      <c r="D172" s="147">
        <v>130</v>
      </c>
      <c r="E172" s="146">
        <f>'UA Optimizer '!BC70</f>
        <v>580.1933782595958</v>
      </c>
      <c r="F172" s="147">
        <v>130</v>
      </c>
      <c r="G172" s="146">
        <f>'UA Optimizer '!BK70</f>
        <v>1031.2921183709348</v>
      </c>
      <c r="H172" s="147">
        <v>130</v>
      </c>
      <c r="I172" s="148">
        <f t="shared" si="27"/>
        <v>738.3451508936421</v>
      </c>
      <c r="J172" s="476">
        <v>130</v>
      </c>
      <c r="K172" s="477">
        <f t="shared" si="28"/>
        <v>0.06161925933650277</v>
      </c>
      <c r="L172" s="478">
        <f t="shared" si="29"/>
        <v>0.34997139486742</v>
      </c>
      <c r="M172" s="114"/>
    </row>
    <row r="173" spans="2:13" ht="12.75">
      <c r="B173" s="145">
        <v>120</v>
      </c>
      <c r="C173" s="146">
        <f>'UA Optimizer '!AU71</f>
        <v>1024.9340755933197</v>
      </c>
      <c r="D173" s="147">
        <v>120</v>
      </c>
      <c r="E173" s="146">
        <f>'UA Optimizer '!BC71</f>
        <v>413.59507764430117</v>
      </c>
      <c r="F173" s="147">
        <v>120</v>
      </c>
      <c r="G173" s="146">
        <f>'UA Optimizer '!BK71</f>
        <v>762.9944330501025</v>
      </c>
      <c r="H173" s="147">
        <v>120</v>
      </c>
      <c r="I173" s="148">
        <f t="shared" si="27"/>
        <v>539.3656607090536</v>
      </c>
      <c r="J173" s="476">
        <v>120</v>
      </c>
      <c r="K173" s="477">
        <f t="shared" si="28"/>
        <v>0.05687931631061795</v>
      </c>
      <c r="L173" s="478">
        <f t="shared" si="29"/>
        <v>0.2556562501879641</v>
      </c>
      <c r="M173" s="114"/>
    </row>
    <row r="174" spans="2:13" ht="12.75">
      <c r="B174" s="145">
        <v>110</v>
      </c>
      <c r="C174" s="146">
        <f>'UA Optimizer '!AU72</f>
        <v>743.8031057720481</v>
      </c>
      <c r="D174" s="147">
        <v>110</v>
      </c>
      <c r="E174" s="146">
        <v>46.881922062701435</v>
      </c>
      <c r="F174" s="147">
        <v>110</v>
      </c>
      <c r="G174" s="146">
        <v>104.69381775564021</v>
      </c>
      <c r="H174" s="147">
        <v>110</v>
      </c>
      <c r="I174" s="148">
        <f t="shared" si="27"/>
        <v>139.18424846176384</v>
      </c>
      <c r="J174" s="476">
        <v>110</v>
      </c>
      <c r="K174" s="477">
        <f t="shared" si="28"/>
        <v>0.052139373284733115</v>
      </c>
      <c r="L174" s="478">
        <f t="shared" si="29"/>
        <v>0.06597254078093587</v>
      </c>
      <c r="M174" s="114"/>
    </row>
    <row r="175" spans="7:13" ht="12.75">
      <c r="G175" s="5"/>
      <c r="H175" s="5"/>
      <c r="I175" s="5"/>
      <c r="J175" s="5"/>
      <c r="K175" s="5"/>
      <c r="L175" s="5"/>
      <c r="M175" s="114"/>
    </row>
    <row r="176" spans="7:13" ht="12.75">
      <c r="G176" s="5"/>
      <c r="H176" s="5"/>
      <c r="I176" s="5"/>
      <c r="J176" s="5"/>
      <c r="K176" s="5"/>
      <c r="L176" s="5"/>
      <c r="M176" s="114"/>
    </row>
    <row r="177" spans="7:13" ht="12.75">
      <c r="G177" s="5"/>
      <c r="H177" s="5"/>
      <c r="I177" s="5"/>
      <c r="J177" s="5"/>
      <c r="K177" s="5"/>
      <c r="L177" s="5"/>
      <c r="M177" s="114"/>
    </row>
    <row r="178" spans="7:13" ht="12.75">
      <c r="G178" s="5"/>
      <c r="H178" s="5"/>
      <c r="I178" s="5"/>
      <c r="J178" s="5"/>
      <c r="K178" s="5"/>
      <c r="L178" s="5"/>
      <c r="M178" s="114"/>
    </row>
    <row r="179" spans="7:13" ht="12.75">
      <c r="G179" s="5"/>
      <c r="H179" s="5"/>
      <c r="I179" s="5"/>
      <c r="J179" s="5"/>
      <c r="K179" s="5"/>
      <c r="L179" s="5"/>
      <c r="M179" s="114"/>
    </row>
    <row r="180" spans="7:13" ht="12.75">
      <c r="G180" s="5"/>
      <c r="H180" s="5"/>
      <c r="I180" s="5"/>
      <c r="J180" s="5"/>
      <c r="K180" s="5"/>
      <c r="L180" s="5"/>
      <c r="M180" s="114"/>
    </row>
    <row r="181" spans="7:13" ht="12.75">
      <c r="G181" s="5"/>
      <c r="H181" s="5"/>
      <c r="I181" s="5"/>
      <c r="J181" s="5"/>
      <c r="K181" s="5"/>
      <c r="L181" s="5"/>
      <c r="M181" s="114"/>
    </row>
    <row r="182" spans="7:12" ht="12.75">
      <c r="G182" s="5"/>
      <c r="H182" s="5"/>
      <c r="I182" s="5"/>
      <c r="J182" s="5"/>
      <c r="K182" s="5"/>
      <c r="L182" s="5"/>
    </row>
    <row r="183" spans="7:12" ht="12.75">
      <c r="G183" s="5"/>
      <c r="H183" s="5"/>
      <c r="I183" s="5"/>
      <c r="J183" s="5"/>
      <c r="L183" s="5"/>
    </row>
    <row r="184" spans="7:12" ht="12.75">
      <c r="G184" s="5"/>
      <c r="H184" s="5"/>
      <c r="I184" s="5"/>
      <c r="J184" s="5"/>
      <c r="L184" s="5"/>
    </row>
    <row r="185" spans="7:12" ht="12.75">
      <c r="G185" s="5"/>
      <c r="H185" s="5"/>
      <c r="I185" s="5"/>
      <c r="J185" s="5"/>
      <c r="L185" s="5"/>
    </row>
    <row r="186" spans="7:12" ht="12.75">
      <c r="G186" s="5"/>
      <c r="H186" s="5"/>
      <c r="I186" s="5"/>
      <c r="J186" s="5"/>
      <c r="L186" s="5"/>
    </row>
    <row r="187" spans="7:12" ht="12.75">
      <c r="G187" s="5"/>
      <c r="H187" s="5"/>
      <c r="I187" s="5"/>
      <c r="J187" s="5"/>
      <c r="L187" s="5"/>
    </row>
    <row r="188" spans="7:12" ht="12.75">
      <c r="G188" s="5"/>
      <c r="H188" s="5"/>
      <c r="I188" s="5"/>
      <c r="J188" s="5"/>
      <c r="L188" s="5"/>
    </row>
    <row r="189" spans="7:12" ht="12.75">
      <c r="G189" s="5"/>
      <c r="H189" s="5"/>
      <c r="I189" s="5"/>
      <c r="J189" s="5"/>
      <c r="L189" s="5"/>
    </row>
    <row r="190" spans="7:12" ht="12.75">
      <c r="G190" s="5"/>
      <c r="H190" s="5"/>
      <c r="I190" s="5"/>
      <c r="J190" s="5"/>
      <c r="L190" s="5"/>
    </row>
    <row r="191" spans="7:12" ht="12.75">
      <c r="G191" s="5"/>
      <c r="H191" s="5"/>
      <c r="I191" s="5"/>
      <c r="J191" s="5"/>
      <c r="L191" s="5"/>
    </row>
    <row r="192" spans="7:12" ht="12.75">
      <c r="G192" s="5"/>
      <c r="H192" s="5"/>
      <c r="I192" s="5"/>
      <c r="J192" s="5"/>
      <c r="L192" s="5"/>
    </row>
    <row r="193" spans="7:12" ht="12.75">
      <c r="G193" s="5"/>
      <c r="H193" s="5"/>
      <c r="I193" s="5"/>
      <c r="J193" s="5"/>
      <c r="L193" s="5"/>
    </row>
    <row r="194" spans="7:12" ht="12.75">
      <c r="G194" s="5"/>
      <c r="H194" s="5"/>
      <c r="I194" s="5"/>
      <c r="J194" s="5"/>
      <c r="L194" s="5"/>
    </row>
    <row r="195" spans="7:12" ht="12.75">
      <c r="G195" s="5"/>
      <c r="H195" s="5"/>
      <c r="I195" s="5"/>
      <c r="J195" s="5"/>
      <c r="L195" s="5"/>
    </row>
    <row r="196" spans="7:12" ht="12.75">
      <c r="G196" s="5"/>
      <c r="H196" s="5"/>
      <c r="I196" s="5"/>
      <c r="J196" s="5"/>
      <c r="L196" s="5"/>
    </row>
    <row r="197" spans="7:12" ht="12.75">
      <c r="G197" s="5"/>
      <c r="H197" s="5"/>
      <c r="I197" s="5"/>
      <c r="J197" s="5"/>
      <c r="L197" s="5"/>
    </row>
    <row r="198" spans="7:12" ht="12.75">
      <c r="G198" s="5"/>
      <c r="H198" s="5"/>
      <c r="I198" s="5"/>
      <c r="J198" s="5"/>
      <c r="L198" s="5"/>
    </row>
    <row r="199" spans="7:12" ht="12.75">
      <c r="G199" s="5"/>
      <c r="H199" s="5"/>
      <c r="I199" s="5"/>
      <c r="J199" s="5"/>
      <c r="L199" s="5"/>
    </row>
    <row r="200" spans="7:12" ht="12.75">
      <c r="G200" s="5"/>
      <c r="H200" s="5"/>
      <c r="I200" s="5"/>
      <c r="J200" s="5"/>
      <c r="L200" s="5"/>
    </row>
    <row r="201" spans="7:12" ht="12.75">
      <c r="G201" s="5"/>
      <c r="H201" s="5"/>
      <c r="I201" s="5"/>
      <c r="J201" s="5"/>
      <c r="L201" s="5"/>
    </row>
    <row r="202" spans="7:12" ht="12.75">
      <c r="G202" s="5"/>
      <c r="H202" s="5"/>
      <c r="I202" s="5"/>
      <c r="J202" s="5"/>
      <c r="L202" s="5"/>
    </row>
    <row r="203" spans="7:12" ht="12.75">
      <c r="G203" s="5"/>
      <c r="H203" s="5"/>
      <c r="L203" s="5"/>
    </row>
    <row r="204" spans="7:12" ht="12.75">
      <c r="G204" s="5"/>
      <c r="H204" s="5"/>
      <c r="L204" s="5"/>
    </row>
    <row r="205" spans="7:12" ht="12.75">
      <c r="G205" s="5"/>
      <c r="H205" s="5"/>
      <c r="L205" s="5"/>
    </row>
    <row r="206" spans="7:12" ht="12.75">
      <c r="G206" s="5"/>
      <c r="H206" s="5"/>
      <c r="L206" s="5"/>
    </row>
    <row r="207" spans="7:12" ht="12.75">
      <c r="G207" s="5"/>
      <c r="H207" s="5"/>
      <c r="L207" s="5"/>
    </row>
    <row r="208" spans="7:8" ht="12.75">
      <c r="G208" s="5"/>
      <c r="H208" s="5"/>
    </row>
    <row r="209" spans="7:8" ht="12.75">
      <c r="G209" s="5"/>
      <c r="H209" s="5"/>
    </row>
    <row r="210" spans="7:8" ht="12.75">
      <c r="G210" s="5"/>
      <c r="H210" s="5"/>
    </row>
    <row r="211" spans="7:8" ht="12.75">
      <c r="G211" s="5"/>
      <c r="H211" s="5"/>
    </row>
    <row r="212" spans="7:8" ht="12.75">
      <c r="G212" s="5"/>
      <c r="H212" s="5"/>
    </row>
    <row r="213" ht="12.75">
      <c r="G213" s="5"/>
    </row>
    <row r="214" ht="12.75">
      <c r="G214" s="5"/>
    </row>
    <row r="215" ht="12.75">
      <c r="G215" s="5"/>
    </row>
    <row r="216" ht="12.75">
      <c r="G216" s="5"/>
    </row>
    <row r="217" ht="12.75">
      <c r="G217" s="5"/>
    </row>
    <row r="218" ht="12.75">
      <c r="G218" s="5"/>
    </row>
    <row r="219" ht="12.75">
      <c r="G219" s="5"/>
    </row>
    <row r="220" ht="12.75">
      <c r="G220" s="5"/>
    </row>
    <row r="221" ht="12.75">
      <c r="G221" s="5"/>
    </row>
  </sheetData>
  <mergeCells count="23">
    <mergeCell ref="B103:C103"/>
    <mergeCell ref="D103:E103"/>
    <mergeCell ref="F103:G103"/>
    <mergeCell ref="A20:E20"/>
    <mergeCell ref="A49:H49"/>
    <mergeCell ref="B50:C50"/>
    <mergeCell ref="A35:H35"/>
    <mergeCell ref="F36:G36"/>
    <mergeCell ref="B65:G65"/>
    <mergeCell ref="H50:H51"/>
    <mergeCell ref="D36:E36"/>
    <mergeCell ref="H36:H37"/>
    <mergeCell ref="B1:C1"/>
    <mergeCell ref="B66:C66"/>
    <mergeCell ref="D66:E66"/>
    <mergeCell ref="F66:G66"/>
    <mergeCell ref="B36:C36"/>
    <mergeCell ref="D50:E50"/>
    <mergeCell ref="F50:G50"/>
    <mergeCell ref="F85:G85"/>
    <mergeCell ref="B85:C85"/>
    <mergeCell ref="D85:E85"/>
    <mergeCell ref="B84:G84"/>
  </mergeCells>
  <printOptions gridLines="1"/>
  <pageMargins left="0.75" right="0.75" top="1" bottom="1" header="0.5" footer="0.5"/>
  <pageSetup blackAndWhite="1" horizontalDpi="300" verticalDpi="300" orientation="landscape" r:id="rId2"/>
  <headerFooter alignWithMargins="0">
    <oddHeader>&amp;C&amp;A</oddHeader>
    <oddFooter>&amp;CPage &amp;P</oddFooter>
  </headerFooter>
  <legacyDrawing r:id="rId1"/>
</worksheet>
</file>

<file path=xl/worksheets/sheet9.xml><?xml version="1.0" encoding="utf-8"?>
<worksheet xmlns="http://schemas.openxmlformats.org/spreadsheetml/2006/main" xmlns:r="http://schemas.openxmlformats.org/officeDocument/2006/relationships">
  <sheetPr codeName="Sheet11"/>
  <dimension ref="A1:M40"/>
  <sheetViews>
    <sheetView zoomScale="75" zoomScaleNormal="75" workbookViewId="0" topLeftCell="A10">
      <selection activeCell="B36" sqref="B36"/>
    </sheetView>
  </sheetViews>
  <sheetFormatPr defaultColWidth="9.140625" defaultRowHeight="12.75"/>
  <cols>
    <col min="1" max="1" width="18.140625" style="205" customWidth="1"/>
    <col min="2" max="2" width="26.00390625" style="205" customWidth="1"/>
    <col min="3" max="3" width="7.00390625" style="205" customWidth="1"/>
    <col min="4" max="4" width="9.140625" style="205" customWidth="1"/>
    <col min="5" max="5" width="9.57421875" style="205" customWidth="1"/>
    <col min="6" max="7" width="12.57421875" style="205" customWidth="1"/>
    <col min="8" max="8" width="11.8515625" style="205" customWidth="1"/>
    <col min="9" max="9" width="13.00390625" style="205" customWidth="1"/>
    <col min="10" max="10" width="12.8515625" style="205" customWidth="1"/>
    <col min="11" max="16384" width="11.421875" style="205" customWidth="1"/>
  </cols>
  <sheetData>
    <row r="1" spans="1:8" ht="16.5" thickBot="1">
      <c r="A1" s="209" t="s">
        <v>292</v>
      </c>
      <c r="B1" s="210"/>
      <c r="C1" s="210"/>
      <c r="D1" s="210"/>
      <c r="E1" s="210"/>
      <c r="F1" s="211"/>
      <c r="H1" s="212">
        <v>1.0908347808317156</v>
      </c>
    </row>
    <row r="2" spans="1:10" ht="35.25" customHeight="1" thickBot="1">
      <c r="A2" s="560" t="s">
        <v>293</v>
      </c>
      <c r="B2" s="561"/>
      <c r="C2" s="561"/>
      <c r="D2" s="561"/>
      <c r="E2" s="561"/>
      <c r="F2" s="561"/>
      <c r="G2" s="561"/>
      <c r="H2" s="561"/>
      <c r="I2" s="561"/>
      <c r="J2" s="562"/>
    </row>
    <row r="3" spans="1:10" ht="39.75" thickBot="1">
      <c r="A3" s="213" t="s">
        <v>294</v>
      </c>
      <c r="B3" s="214" t="s">
        <v>295</v>
      </c>
      <c r="C3" s="214" t="s">
        <v>207</v>
      </c>
      <c r="D3" s="214" t="s">
        <v>296</v>
      </c>
      <c r="E3" s="214" t="s">
        <v>297</v>
      </c>
      <c r="F3" s="214" t="s">
        <v>363</v>
      </c>
      <c r="G3" s="214" t="s">
        <v>364</v>
      </c>
      <c r="H3" s="214" t="s">
        <v>365</v>
      </c>
      <c r="I3" s="214" t="s">
        <v>366</v>
      </c>
      <c r="J3" s="215" t="s">
        <v>298</v>
      </c>
    </row>
    <row r="4" spans="1:13" ht="16.5" thickBot="1">
      <c r="A4" s="289" t="s">
        <v>299</v>
      </c>
      <c r="B4" s="290" t="str">
        <f>'WALLS-ABOVE GRADE'!A5</f>
        <v>WALL R11 STD</v>
      </c>
      <c r="C4" s="291">
        <f>'WALLS-ABOVE GRADE'!C5</f>
        <v>0.088</v>
      </c>
      <c r="D4" s="292">
        <v>70</v>
      </c>
      <c r="E4" s="292">
        <v>1.36</v>
      </c>
      <c r="F4" s="293">
        <v>0</v>
      </c>
      <c r="G4" s="294">
        <f aca="true" t="shared" si="0" ref="G4:G40">E4*F4</f>
        <v>0</v>
      </c>
      <c r="H4" s="294">
        <f aca="true" t="shared" si="1" ref="H4:H40">F4*$H$1</f>
        <v>0</v>
      </c>
      <c r="I4" s="294">
        <f aca="true" t="shared" si="2" ref="I4:I40">G4*$H$1</f>
        <v>0</v>
      </c>
      <c r="J4" s="295">
        <v>0</v>
      </c>
      <c r="L4" s="303"/>
      <c r="M4" s="304" t="s">
        <v>367</v>
      </c>
    </row>
    <row r="5" spans="1:10" ht="15.75">
      <c r="A5" s="296" t="s">
        <v>299</v>
      </c>
      <c r="B5" s="297" t="str">
        <f>'WALLS-ABOVE GRADE'!A6</f>
        <v>WALL R13 STD</v>
      </c>
      <c r="C5" s="291">
        <f>'WALLS-ABOVE GRADE'!C6</f>
        <v>0.082</v>
      </c>
      <c r="D5" s="299">
        <v>70</v>
      </c>
      <c r="E5" s="299">
        <v>1.36</v>
      </c>
      <c r="F5" s="300">
        <v>0</v>
      </c>
      <c r="G5" s="301">
        <f t="shared" si="0"/>
        <v>0</v>
      </c>
      <c r="H5" s="301">
        <f t="shared" si="1"/>
        <v>0</v>
      </c>
      <c r="I5" s="301">
        <f t="shared" si="2"/>
        <v>0</v>
      </c>
      <c r="J5" s="295">
        <v>0</v>
      </c>
    </row>
    <row r="6" spans="1:10" ht="15.75">
      <c r="A6" s="296" t="s">
        <v>299</v>
      </c>
      <c r="B6" s="297" t="str">
        <f>'WALLS-ABOVE GRADE'!A7</f>
        <v>WALL R19 STD</v>
      </c>
      <c r="C6" s="291">
        <f>'WALLS-ABOVE GRADE'!C7</f>
        <v>0.062</v>
      </c>
      <c r="D6" s="299">
        <v>70</v>
      </c>
      <c r="E6" s="299">
        <v>1.36</v>
      </c>
      <c r="F6" s="293">
        <v>0</v>
      </c>
      <c r="G6" s="294">
        <v>0</v>
      </c>
      <c r="H6" s="301">
        <f>F6*$H$1</f>
        <v>0</v>
      </c>
      <c r="I6" s="301">
        <f>G6*$H$1</f>
        <v>0</v>
      </c>
      <c r="J6" s="295">
        <v>1</v>
      </c>
    </row>
    <row r="7" spans="1:10" ht="15.75">
      <c r="A7" s="296" t="s">
        <v>299</v>
      </c>
      <c r="B7" s="290" t="str">
        <f>'WALLS-ABOVE GRADE'!A17</f>
        <v>WALL R19 INT</v>
      </c>
      <c r="C7" s="291">
        <f>'WALLS-ABOVE GRADE'!C17</f>
        <v>0.058</v>
      </c>
      <c r="D7" s="292">
        <v>70</v>
      </c>
      <c r="E7" s="292">
        <v>1.36</v>
      </c>
      <c r="F7" s="293">
        <v>0</v>
      </c>
      <c r="G7" s="294">
        <f t="shared" si="0"/>
        <v>0</v>
      </c>
      <c r="H7" s="294">
        <f t="shared" si="1"/>
        <v>0</v>
      </c>
      <c r="I7" s="294">
        <f t="shared" si="2"/>
        <v>0</v>
      </c>
      <c r="J7" s="302">
        <f>I7/(C5-C7)</f>
        <v>0</v>
      </c>
    </row>
    <row r="8" spans="1:10" ht="15.75">
      <c r="A8" s="216" t="s">
        <v>299</v>
      </c>
      <c r="B8" s="265" t="str">
        <f>'WALLS-ABOVE GRADE'!A18</f>
        <v>WALL R21 INT</v>
      </c>
      <c r="C8" s="268">
        <f>'WALLS-ABOVE GRADE'!C18</f>
        <v>0.054</v>
      </c>
      <c r="D8" s="218">
        <v>70</v>
      </c>
      <c r="E8" s="218">
        <v>1.36</v>
      </c>
      <c r="F8" s="266">
        <f>'WALLS-ABOVE GRADE'!E18</f>
        <v>0.10000000000000009</v>
      </c>
      <c r="G8" s="267">
        <f t="shared" si="0"/>
        <v>0.13600000000000012</v>
      </c>
      <c r="H8" s="267">
        <f t="shared" si="1"/>
        <v>0.10908347808317166</v>
      </c>
      <c r="I8" s="267">
        <f t="shared" si="2"/>
        <v>0.14835353019311345</v>
      </c>
      <c r="J8" s="222">
        <f>I8/(C7-C8)</f>
        <v>37.08838254827833</v>
      </c>
    </row>
    <row r="9" spans="1:10" ht="15.75">
      <c r="A9" s="216" t="s">
        <v>299</v>
      </c>
      <c r="B9" s="265" t="str">
        <f>'WALLS-ABOVE GRADE'!A28</f>
        <v>WALL R21 ADV</v>
      </c>
      <c r="C9" s="268">
        <f>'WALLS-ABOVE GRADE'!C28</f>
        <v>0.051</v>
      </c>
      <c r="D9" s="218">
        <v>70</v>
      </c>
      <c r="E9" s="218">
        <v>1.36</v>
      </c>
      <c r="F9" s="266">
        <f>'WALLS-ABOVE GRADE'!E28</f>
        <v>0.10000000000000009</v>
      </c>
      <c r="G9" s="267">
        <f t="shared" si="0"/>
        <v>0.13600000000000012</v>
      </c>
      <c r="H9" s="267">
        <f t="shared" si="1"/>
        <v>0.10908347808317166</v>
      </c>
      <c r="I9" s="267">
        <f t="shared" si="2"/>
        <v>0.14835353019311345</v>
      </c>
      <c r="J9" s="222">
        <f>I9/(C8-C9)</f>
        <v>49.451176731037776</v>
      </c>
    </row>
    <row r="10" spans="1:10" ht="15.75">
      <c r="A10" s="216" t="s">
        <v>299</v>
      </c>
      <c r="B10" s="265" t="str">
        <f>'WALLS-ABOVE GRADE'!A9</f>
        <v>WALL R21 STD+R5</v>
      </c>
      <c r="C10" s="268">
        <f>'WALLS-ABOVE GRADE'!C9</f>
        <v>0.043</v>
      </c>
      <c r="D10" s="218">
        <v>70</v>
      </c>
      <c r="E10" s="218">
        <v>1.36</v>
      </c>
      <c r="F10" s="266">
        <f>'WALLS-ABOVE GRADE'!E9</f>
        <v>0.5699999999999998</v>
      </c>
      <c r="G10" s="220">
        <f t="shared" si="0"/>
        <v>0.7751999999999999</v>
      </c>
      <c r="H10" s="220">
        <f t="shared" si="1"/>
        <v>0.6217758250740777</v>
      </c>
      <c r="I10" s="220">
        <f t="shared" si="2"/>
        <v>0.8456151221007459</v>
      </c>
      <c r="J10" s="222">
        <f>I10/(C7-C10)</f>
        <v>56.37434147338303</v>
      </c>
    </row>
    <row r="11" spans="1:10" ht="15.75">
      <c r="A11" s="216" t="s">
        <v>299</v>
      </c>
      <c r="B11" s="265" t="str">
        <f>'WALLS-ABOVE GRADE'!A10</f>
        <v>WALL 8" SSPANEL</v>
      </c>
      <c r="C11" s="268">
        <f>'WALLS-ABOVE GRADE'!C10</f>
        <v>0.034</v>
      </c>
      <c r="D11" s="218">
        <v>70</v>
      </c>
      <c r="E11" s="218">
        <v>1.36</v>
      </c>
      <c r="F11" s="266">
        <f>'WALLS-ABOVE GRADE'!E10</f>
        <v>0.7799999999999998</v>
      </c>
      <c r="G11" s="220">
        <f t="shared" si="0"/>
        <v>1.0607999999999997</v>
      </c>
      <c r="H11" s="220">
        <f t="shared" si="1"/>
        <v>0.8508511290487379</v>
      </c>
      <c r="I11" s="220">
        <f t="shared" si="2"/>
        <v>1.1571575355062835</v>
      </c>
      <c r="J11" s="222">
        <f>I11/(C10-C11)</f>
        <v>128.57305950069826</v>
      </c>
    </row>
    <row r="12" spans="1:10" ht="15.75">
      <c r="A12" s="216" t="s">
        <v>299</v>
      </c>
      <c r="B12" s="265" t="str">
        <f>'WALLS-ABOVE GRADE'!A11</f>
        <v>WALL R33 DBL</v>
      </c>
      <c r="C12" s="268">
        <f>'WALLS-ABOVE GRADE'!C11</f>
        <v>0.033</v>
      </c>
      <c r="D12" s="218">
        <v>70</v>
      </c>
      <c r="E12" s="218">
        <v>1.36</v>
      </c>
      <c r="F12" s="266">
        <f>'WALLS-ABOVE GRADE'!E11</f>
        <v>0.40000000000000036</v>
      </c>
      <c r="G12" s="220">
        <f t="shared" si="0"/>
        <v>0.5440000000000005</v>
      </c>
      <c r="H12" s="220">
        <f t="shared" si="1"/>
        <v>0.43633391233268665</v>
      </c>
      <c r="I12" s="220">
        <f t="shared" si="2"/>
        <v>0.5934141207724538</v>
      </c>
      <c r="J12" s="222">
        <f>I12/(C11-C12)</f>
        <v>593.4141207724533</v>
      </c>
    </row>
    <row r="13" spans="1:10" ht="15.75">
      <c r="A13" s="296" t="s">
        <v>300</v>
      </c>
      <c r="B13" s="297" t="str">
        <f>ATTICS!A11</f>
        <v>ATTIC R30 STD</v>
      </c>
      <c r="C13" s="298">
        <f>ATTICS!C11</f>
        <v>0.036</v>
      </c>
      <c r="D13" s="299">
        <v>70</v>
      </c>
      <c r="E13" s="299">
        <v>1.36</v>
      </c>
      <c r="F13" s="305">
        <f>ATTICS!E11</f>
        <v>0</v>
      </c>
      <c r="G13" s="301">
        <f t="shared" si="0"/>
        <v>0</v>
      </c>
      <c r="H13" s="301">
        <f t="shared" si="1"/>
        <v>0</v>
      </c>
      <c r="I13" s="301">
        <f t="shared" si="2"/>
        <v>0</v>
      </c>
      <c r="J13" s="302">
        <v>0</v>
      </c>
    </row>
    <row r="14" spans="1:10" ht="15.75">
      <c r="A14" s="296" t="s">
        <v>300</v>
      </c>
      <c r="B14" s="297" t="str">
        <f>ATTICS!A12</f>
        <v>ATTIC R38 STD</v>
      </c>
      <c r="C14" s="298">
        <f>ATTICS!C12</f>
        <v>0.031</v>
      </c>
      <c r="D14" s="299">
        <v>70</v>
      </c>
      <c r="E14" s="299">
        <v>1.36</v>
      </c>
      <c r="F14" s="305">
        <f>ATTICS!E12</f>
        <v>0.08000000000000007</v>
      </c>
      <c r="G14" s="301">
        <f t="shared" si="0"/>
        <v>0.1088000000000001</v>
      </c>
      <c r="H14" s="301">
        <f t="shared" si="1"/>
        <v>0.08726678246653732</v>
      </c>
      <c r="I14" s="301">
        <f t="shared" si="2"/>
        <v>0.11868282415449077</v>
      </c>
      <c r="J14" s="302">
        <f>I14/(C13-C14)</f>
        <v>23.736564830898168</v>
      </c>
    </row>
    <row r="15" spans="1:10" ht="15.75">
      <c r="A15" s="216" t="s">
        <v>300</v>
      </c>
      <c r="B15" s="217" t="str">
        <f>ATTICS!A13</f>
        <v>ATTIC R49 ADVrh</v>
      </c>
      <c r="C15" s="221">
        <f>ATTICS!C13</f>
        <v>0.02</v>
      </c>
      <c r="D15" s="218">
        <v>70</v>
      </c>
      <c r="E15" s="218">
        <v>1.36</v>
      </c>
      <c r="F15" s="223">
        <f>ATTICS!E13</f>
        <v>0.4700000000000002</v>
      </c>
      <c r="G15" s="220">
        <f t="shared" si="0"/>
        <v>0.6392000000000003</v>
      </c>
      <c r="H15" s="220">
        <f t="shared" si="1"/>
        <v>0.5126923469909065</v>
      </c>
      <c r="I15" s="220">
        <f t="shared" si="2"/>
        <v>0.6972615919076329</v>
      </c>
      <c r="J15" s="222">
        <f>I15/(C14-C15)</f>
        <v>63.387417446148454</v>
      </c>
    </row>
    <row r="16" spans="1:10" ht="15.75">
      <c r="A16" s="216" t="s">
        <v>300</v>
      </c>
      <c r="B16" s="217" t="str">
        <f>ATTICS!A14</f>
        <v>ATTIC R60 ADVrh</v>
      </c>
      <c r="C16" s="221">
        <f>ATTICS!C14</f>
        <v>0.017</v>
      </c>
      <c r="D16" s="218">
        <v>70</v>
      </c>
      <c r="E16" s="218">
        <v>1.36</v>
      </c>
      <c r="F16" s="223">
        <f>ATTICS!E14</f>
        <v>0.27</v>
      </c>
      <c r="G16" s="220">
        <f t="shared" si="0"/>
        <v>0.3672</v>
      </c>
      <c r="H16" s="220">
        <f t="shared" si="1"/>
        <v>0.29452539082456325</v>
      </c>
      <c r="I16" s="220">
        <f t="shared" si="2"/>
        <v>0.40055453152140597</v>
      </c>
      <c r="J16" s="222">
        <f>I16/(C15-C16)</f>
        <v>133.51817717380203</v>
      </c>
    </row>
    <row r="17" spans="1:10" ht="15.75">
      <c r="A17" s="296" t="s">
        <v>356</v>
      </c>
      <c r="B17" s="297" t="str">
        <f>VAULTS!A11</f>
        <v>VAULT R30 HD</v>
      </c>
      <c r="C17" s="298">
        <f>VAULTS!C11</f>
        <v>0.034</v>
      </c>
      <c r="D17" s="299">
        <v>70</v>
      </c>
      <c r="E17" s="299">
        <v>1.36</v>
      </c>
      <c r="F17" s="306">
        <f>VAULTS!E11</f>
        <v>0</v>
      </c>
      <c r="G17" s="301">
        <f t="shared" si="0"/>
        <v>0</v>
      </c>
      <c r="H17" s="301">
        <f t="shared" si="1"/>
        <v>0</v>
      </c>
      <c r="I17" s="301">
        <f t="shared" si="2"/>
        <v>0</v>
      </c>
      <c r="J17" s="302">
        <v>0</v>
      </c>
    </row>
    <row r="18" spans="1:10" ht="15.75">
      <c r="A18" s="216" t="s">
        <v>356</v>
      </c>
      <c r="B18" s="217" t="str">
        <f>VAULTS!A12</f>
        <v>VAULT R38 HD</v>
      </c>
      <c r="C18" s="221">
        <f>VAULTS!C12</f>
        <v>0.027</v>
      </c>
      <c r="D18" s="218">
        <v>70</v>
      </c>
      <c r="E18" s="218">
        <v>1.36</v>
      </c>
      <c r="F18" s="142">
        <f>VAULTS!E12</f>
        <v>0.4099999999999997</v>
      </c>
      <c r="G18" s="220">
        <f t="shared" si="0"/>
        <v>0.5575999999999997</v>
      </c>
      <c r="H18" s="220">
        <f t="shared" si="1"/>
        <v>0.44724226014100305</v>
      </c>
      <c r="I18" s="220">
        <f t="shared" si="2"/>
        <v>0.6082494737917642</v>
      </c>
      <c r="J18" s="222">
        <f>I18/(C17-C18)</f>
        <v>86.89278197025199</v>
      </c>
    </row>
    <row r="19" spans="1:10" ht="15.75">
      <c r="A19" s="216" t="s">
        <v>356</v>
      </c>
      <c r="B19" s="217" t="str">
        <f>VAULTS!A13</f>
        <v>VAULT 10" SS Panel</v>
      </c>
      <c r="C19" s="221">
        <f>VAULTS!C13</f>
        <v>0.026</v>
      </c>
      <c r="D19" s="218">
        <v>70</v>
      </c>
      <c r="E19" s="218">
        <v>1.36</v>
      </c>
      <c r="F19" s="142">
        <f>VAULTS!E13</f>
        <v>1.4300000000000002</v>
      </c>
      <c r="G19" s="220">
        <f t="shared" si="0"/>
        <v>1.9448000000000003</v>
      </c>
      <c r="H19" s="220">
        <f t="shared" si="1"/>
        <v>1.5598937365893535</v>
      </c>
      <c r="I19" s="220">
        <f t="shared" si="2"/>
        <v>2.121455481761521</v>
      </c>
      <c r="J19" s="222">
        <f>I19/(C18-C19)</f>
        <v>2121.455481761519</v>
      </c>
    </row>
    <row r="20" spans="1:10" ht="15.75">
      <c r="A20" s="296" t="s">
        <v>355</v>
      </c>
      <c r="B20" s="297" t="str">
        <f>VAULTS!A4</f>
        <v>VAULT R30 SCI</v>
      </c>
      <c r="C20" s="298">
        <f>VAULTS!C4</f>
        <v>0.043</v>
      </c>
      <c r="D20" s="299">
        <v>70</v>
      </c>
      <c r="E20" s="299">
        <v>1.36</v>
      </c>
      <c r="F20" s="306">
        <f>VAULTS!E4</f>
        <v>0</v>
      </c>
      <c r="G20" s="301">
        <f t="shared" si="0"/>
        <v>0</v>
      </c>
      <c r="H20" s="301">
        <f t="shared" si="1"/>
        <v>0</v>
      </c>
      <c r="I20" s="301">
        <f t="shared" si="2"/>
        <v>0</v>
      </c>
      <c r="J20" s="302">
        <f>I20/(C19-C20)</f>
        <v>0</v>
      </c>
    </row>
    <row r="21" spans="1:10" ht="15.75">
      <c r="A21" s="296" t="s">
        <v>355</v>
      </c>
      <c r="B21" s="297" t="str">
        <f>VAULTS!A5</f>
        <v>VAULT R38 SCI</v>
      </c>
      <c r="C21" s="298">
        <f>VAULTS!C5</f>
        <v>0.035</v>
      </c>
      <c r="D21" s="299">
        <v>70</v>
      </c>
      <c r="E21" s="299">
        <v>1.36</v>
      </c>
      <c r="F21" s="306">
        <v>0</v>
      </c>
      <c r="G21" s="301">
        <f t="shared" si="0"/>
        <v>0</v>
      </c>
      <c r="H21" s="301">
        <f t="shared" si="1"/>
        <v>0</v>
      </c>
      <c r="I21" s="301">
        <f t="shared" si="2"/>
        <v>0</v>
      </c>
      <c r="J21" s="302">
        <f>I21/(C20-C21)</f>
        <v>0</v>
      </c>
    </row>
    <row r="22" spans="1:10" ht="15.75">
      <c r="A22" s="296" t="s">
        <v>301</v>
      </c>
      <c r="B22" s="297" t="str">
        <f>FLOORS!A4</f>
        <v>FLOOR R19 STD</v>
      </c>
      <c r="C22" s="298">
        <f>FLOORS!C4</f>
        <v>0.041</v>
      </c>
      <c r="D22" s="299">
        <v>70</v>
      </c>
      <c r="E22" s="299">
        <v>1.36</v>
      </c>
      <c r="F22" s="305">
        <f>FLOORS!E4</f>
        <v>0</v>
      </c>
      <c r="G22" s="301">
        <f t="shared" si="0"/>
        <v>0</v>
      </c>
      <c r="H22" s="301">
        <f t="shared" si="1"/>
        <v>0</v>
      </c>
      <c r="I22" s="301">
        <f t="shared" si="2"/>
        <v>0</v>
      </c>
      <c r="J22" s="302">
        <v>0</v>
      </c>
    </row>
    <row r="23" spans="1:10" ht="15.75">
      <c r="A23" s="296" t="s">
        <v>301</v>
      </c>
      <c r="B23" s="297" t="str">
        <f>FLOORS!A5</f>
        <v>FLOOR R25 STD</v>
      </c>
      <c r="C23" s="298">
        <f>FLOORS!C5</f>
        <v>0.033</v>
      </c>
      <c r="D23" s="299">
        <v>70</v>
      </c>
      <c r="E23" s="299">
        <v>1.36</v>
      </c>
      <c r="F23" s="305">
        <v>0</v>
      </c>
      <c r="G23" s="301">
        <f t="shared" si="0"/>
        <v>0</v>
      </c>
      <c r="H23" s="301">
        <f t="shared" si="1"/>
        <v>0</v>
      </c>
      <c r="I23" s="301">
        <f t="shared" si="2"/>
        <v>0</v>
      </c>
      <c r="J23" s="302">
        <v>0</v>
      </c>
    </row>
    <row r="24" spans="1:10" ht="15.75">
      <c r="A24" s="296" t="s">
        <v>301</v>
      </c>
      <c r="B24" s="297" t="str">
        <f>FLOORS!A6</f>
        <v>FLOOR R30 STD</v>
      </c>
      <c r="C24" s="298">
        <f>FLOORS!C6</f>
        <v>0.029</v>
      </c>
      <c r="D24" s="299">
        <v>70</v>
      </c>
      <c r="E24" s="299">
        <v>1.36</v>
      </c>
      <c r="F24" s="305">
        <v>0</v>
      </c>
      <c r="G24" s="301">
        <f t="shared" si="0"/>
        <v>0</v>
      </c>
      <c r="H24" s="301">
        <f t="shared" si="1"/>
        <v>0</v>
      </c>
      <c r="I24" s="301">
        <f t="shared" si="2"/>
        <v>0</v>
      </c>
      <c r="J24" s="302">
        <f>I24/(C23-C24)</f>
        <v>0</v>
      </c>
    </row>
    <row r="25" spans="1:10" ht="15.75">
      <c r="A25" s="216" t="s">
        <v>301</v>
      </c>
      <c r="B25" s="217" t="str">
        <f>FLOORS!A7</f>
        <v>FLOOR R38 STD w/12"Truss</v>
      </c>
      <c r="C25" s="221">
        <f>FLOORS!C7</f>
        <v>0.022</v>
      </c>
      <c r="D25" s="218">
        <v>70</v>
      </c>
      <c r="E25" s="218">
        <v>1.36</v>
      </c>
      <c r="F25" s="223">
        <f>FLOORS!E7</f>
        <v>0.27</v>
      </c>
      <c r="G25" s="220">
        <f t="shared" si="0"/>
        <v>0.3672</v>
      </c>
      <c r="H25" s="220">
        <f t="shared" si="1"/>
        <v>0.29452539082456325</v>
      </c>
      <c r="I25" s="220">
        <f t="shared" si="2"/>
        <v>0.40055453152140597</v>
      </c>
      <c r="J25" s="222">
        <f>I25/(C24-C25)</f>
        <v>57.2220759316294</v>
      </c>
    </row>
    <row r="26" spans="1:10" ht="15.75">
      <c r="A26" s="296" t="s">
        <v>302</v>
      </c>
      <c r="B26" s="297" t="str">
        <f>WINDOWS!A3</f>
        <v>WINDOW CL65</v>
      </c>
      <c r="C26" s="298">
        <f>WINDOWS!D3</f>
        <v>0.6178707224334601</v>
      </c>
      <c r="D26" s="299">
        <v>60</v>
      </c>
      <c r="E26" s="299">
        <v>1.36</v>
      </c>
      <c r="F26" s="305">
        <f>WINDOWS!F3</f>
        <v>0</v>
      </c>
      <c r="G26" s="301">
        <f t="shared" si="0"/>
        <v>0</v>
      </c>
      <c r="H26" s="301">
        <f t="shared" si="1"/>
        <v>0</v>
      </c>
      <c r="I26" s="301">
        <f t="shared" si="2"/>
        <v>0</v>
      </c>
      <c r="J26" s="302">
        <v>0</v>
      </c>
    </row>
    <row r="27" spans="1:10" ht="15.75">
      <c r="A27" s="296" t="s">
        <v>302</v>
      </c>
      <c r="B27" s="297" t="str">
        <f>WINDOWS!A4</f>
        <v>WINDOW CL50</v>
      </c>
      <c r="C27" s="298">
        <f>WINDOWS!D4</f>
        <v>0.4807692307692307</v>
      </c>
      <c r="D27" s="299">
        <v>60</v>
      </c>
      <c r="E27" s="299">
        <v>1.36</v>
      </c>
      <c r="F27" s="305">
        <v>0</v>
      </c>
      <c r="G27" s="301">
        <f t="shared" si="0"/>
        <v>0</v>
      </c>
      <c r="H27" s="301">
        <f t="shared" si="1"/>
        <v>0</v>
      </c>
      <c r="I27" s="301">
        <f t="shared" si="2"/>
        <v>0</v>
      </c>
      <c r="J27" s="302">
        <v>0</v>
      </c>
    </row>
    <row r="28" spans="1:10" ht="15.75">
      <c r="A28" s="296" t="s">
        <v>302</v>
      </c>
      <c r="B28" s="297" t="str">
        <f>WINDOWS!A5</f>
        <v>WINDOW CL40</v>
      </c>
      <c r="C28" s="298">
        <f>WINDOWS!D5</f>
        <v>0.38759689922480617</v>
      </c>
      <c r="D28" s="299">
        <v>60</v>
      </c>
      <c r="E28" s="299">
        <v>1.36</v>
      </c>
      <c r="F28" s="305">
        <v>0</v>
      </c>
      <c r="G28" s="301">
        <f t="shared" si="0"/>
        <v>0</v>
      </c>
      <c r="H28" s="301">
        <f t="shared" si="1"/>
        <v>0</v>
      </c>
      <c r="I28" s="301">
        <f t="shared" si="2"/>
        <v>0</v>
      </c>
      <c r="J28" s="302">
        <f>I28/(C27-C28)</f>
        <v>0</v>
      </c>
    </row>
    <row r="29" spans="1:10" ht="15.75">
      <c r="A29" s="216" t="s">
        <v>302</v>
      </c>
      <c r="B29" s="217" t="str">
        <f>WINDOWS!A6</f>
        <v>WINDOW CL35</v>
      </c>
      <c r="C29" s="221">
        <f>WINDOWS!D6</f>
        <v>0.3404669260700389</v>
      </c>
      <c r="D29" s="218">
        <v>60</v>
      </c>
      <c r="E29" s="218">
        <v>1.36</v>
      </c>
      <c r="F29" s="223">
        <f>WINDOWS!F6</f>
        <v>0.4499999999999993</v>
      </c>
      <c r="G29" s="220">
        <f t="shared" si="0"/>
        <v>0.6119999999999991</v>
      </c>
      <c r="H29" s="220">
        <f t="shared" si="1"/>
        <v>0.49087565137427125</v>
      </c>
      <c r="I29" s="220">
        <f t="shared" si="2"/>
        <v>0.6675908858690089</v>
      </c>
      <c r="J29" s="222">
        <f>I29/(C28-C29)</f>
        <v>14.164890009097777</v>
      </c>
    </row>
    <row r="30" spans="1:10" ht="15.75">
      <c r="A30" s="216" t="s">
        <v>302</v>
      </c>
      <c r="B30" s="217" t="str">
        <f>WINDOWS!A7</f>
        <v>WINDOW CL30</v>
      </c>
      <c r="C30" s="221">
        <f>WINDOWS!D7</f>
        <v>0.29296875</v>
      </c>
      <c r="D30" s="218">
        <v>60</v>
      </c>
      <c r="E30" s="218">
        <v>1.36</v>
      </c>
      <c r="F30" s="223">
        <f>WINDOWS!F7</f>
        <v>2.34</v>
      </c>
      <c r="G30" s="220">
        <f t="shared" si="0"/>
        <v>3.1824</v>
      </c>
      <c r="H30" s="220">
        <f t="shared" si="1"/>
        <v>2.5525533871462143</v>
      </c>
      <c r="I30" s="220">
        <f t="shared" si="2"/>
        <v>3.4714726065188515</v>
      </c>
      <c r="J30" s="222">
        <f>I30/(C29-C30)</f>
        <v>73.08644023298822</v>
      </c>
    </row>
    <row r="31" spans="1:10" ht="15.75">
      <c r="A31" s="216" t="s">
        <v>302</v>
      </c>
      <c r="B31" s="217" t="str">
        <f>WINDOWS!A8</f>
        <v>WINDOW CL25</v>
      </c>
      <c r="C31" s="221">
        <f>WINDOWS!D8</f>
        <v>0.24509803921568626</v>
      </c>
      <c r="D31" s="218">
        <v>60</v>
      </c>
      <c r="E31" s="218">
        <v>1.36</v>
      </c>
      <c r="F31" s="223">
        <f>WINDOWS!F8</f>
        <v>2.5</v>
      </c>
      <c r="G31" s="220">
        <f t="shared" si="0"/>
        <v>3.4000000000000004</v>
      </c>
      <c r="H31" s="220">
        <f t="shared" si="1"/>
        <v>2.727086952079289</v>
      </c>
      <c r="I31" s="220">
        <f t="shared" si="2"/>
        <v>3.7088382548278336</v>
      </c>
      <c r="J31" s="222">
        <f>I31/(C30-C31)</f>
        <v>77.47614760805149</v>
      </c>
    </row>
    <row r="32" spans="1:10" ht="15.75">
      <c r="A32" s="296" t="s">
        <v>303</v>
      </c>
      <c r="B32" s="307" t="s">
        <v>218</v>
      </c>
      <c r="C32" s="298">
        <f>1/2.5</f>
        <v>0.4</v>
      </c>
      <c r="D32" s="299">
        <v>30</v>
      </c>
      <c r="E32" s="299">
        <v>1.36</v>
      </c>
      <c r="F32" s="300">
        <v>0</v>
      </c>
      <c r="G32" s="301">
        <f t="shared" si="0"/>
        <v>0</v>
      </c>
      <c r="H32" s="301">
        <f t="shared" si="1"/>
        <v>0</v>
      </c>
      <c r="I32" s="301">
        <f t="shared" si="2"/>
        <v>0</v>
      </c>
      <c r="J32" s="302">
        <v>0</v>
      </c>
    </row>
    <row r="33" spans="1:10" ht="15.75">
      <c r="A33" s="296" t="s">
        <v>303</v>
      </c>
      <c r="B33" s="297" t="s">
        <v>219</v>
      </c>
      <c r="C33" s="298">
        <v>0.19</v>
      </c>
      <c r="D33" s="299">
        <v>30</v>
      </c>
      <c r="E33" s="299">
        <v>1.36</v>
      </c>
      <c r="F33" s="305">
        <v>0</v>
      </c>
      <c r="G33" s="301">
        <f t="shared" si="0"/>
        <v>0</v>
      </c>
      <c r="H33" s="301">
        <f t="shared" si="1"/>
        <v>0</v>
      </c>
      <c r="I33" s="301">
        <f t="shared" si="2"/>
        <v>0</v>
      </c>
      <c r="J33" s="302">
        <v>0</v>
      </c>
    </row>
    <row r="34" spans="1:10" ht="15.75">
      <c r="A34" s="296" t="s">
        <v>304</v>
      </c>
      <c r="B34" s="297" t="str">
        <f>'SLAB ON GRADE'!A3</f>
        <v>SLAB R10-2FT</v>
      </c>
      <c r="C34" s="298">
        <f>'SLAB ON GRADE'!C3</f>
        <v>0.54</v>
      </c>
      <c r="D34" s="299">
        <v>70</v>
      </c>
      <c r="E34" s="299">
        <v>1.36</v>
      </c>
      <c r="F34" s="300">
        <f>'SLAB ON GRADE'!E3</f>
        <v>0</v>
      </c>
      <c r="G34" s="301">
        <f t="shared" si="0"/>
        <v>0</v>
      </c>
      <c r="H34" s="301">
        <f t="shared" si="1"/>
        <v>0</v>
      </c>
      <c r="I34" s="301">
        <f t="shared" si="2"/>
        <v>0</v>
      </c>
      <c r="J34" s="302">
        <v>0</v>
      </c>
    </row>
    <row r="35" spans="1:10" ht="15.75">
      <c r="A35" s="216" t="s">
        <v>304</v>
      </c>
      <c r="B35" s="217" t="str">
        <f>'SLAB ON GRADE'!A4</f>
        <v>SLAB R10-4FT</v>
      </c>
      <c r="C35" s="221">
        <f>'SLAB ON GRADE'!C4</f>
        <v>0.48</v>
      </c>
      <c r="D35" s="218">
        <v>70</v>
      </c>
      <c r="E35" s="218">
        <v>1.36</v>
      </c>
      <c r="F35" s="219">
        <f>'SLAB ON GRADE'!E4</f>
        <v>1.6799999999999997</v>
      </c>
      <c r="G35" s="220">
        <f t="shared" si="0"/>
        <v>2.2847999999999997</v>
      </c>
      <c r="H35" s="220">
        <f t="shared" si="1"/>
        <v>1.8326024317972818</v>
      </c>
      <c r="I35" s="220">
        <f t="shared" si="2"/>
        <v>2.4923393072443036</v>
      </c>
      <c r="J35" s="222">
        <f>I35/(C34-C35)</f>
        <v>41.53898845407169</v>
      </c>
    </row>
    <row r="36" spans="1:10" ht="15.75">
      <c r="A36" s="216" t="s">
        <v>304</v>
      </c>
      <c r="B36" s="217" t="str">
        <f>'SLAB ON GRADE'!A5</f>
        <v>SLAB R10-FULL</v>
      </c>
      <c r="C36" s="221">
        <f>'SLAB ON GRADE'!C5</f>
        <v>0.36</v>
      </c>
      <c r="D36" s="218">
        <v>70</v>
      </c>
      <c r="E36" s="218">
        <v>1.36</v>
      </c>
      <c r="F36" s="219">
        <f>'SLAB ON GRADE'!E5</f>
        <v>3.370000000000001</v>
      </c>
      <c r="G36" s="220">
        <f t="shared" si="0"/>
        <v>4.5832000000000015</v>
      </c>
      <c r="H36" s="220">
        <f t="shared" si="1"/>
        <v>3.6761132114028827</v>
      </c>
      <c r="I36" s="220">
        <f t="shared" si="2"/>
        <v>4.99951396750792</v>
      </c>
      <c r="J36" s="222">
        <f>I36/(C35-C36)</f>
        <v>41.662616395899335</v>
      </c>
    </row>
    <row r="37" spans="1:10" ht="15.75">
      <c r="A37" s="296" t="s">
        <v>305</v>
      </c>
      <c r="B37" s="297" t="str">
        <f>'WALLS-BELOW GRADE'!A5</f>
        <v>BGWALL R11</v>
      </c>
      <c r="C37" s="308">
        <f>'WALLS-BELOW GRADE'!C5</f>
        <v>0.054</v>
      </c>
      <c r="D37" s="309">
        <v>70</v>
      </c>
      <c r="E37" s="299">
        <v>1.36</v>
      </c>
      <c r="F37" s="305">
        <v>0</v>
      </c>
      <c r="G37" s="301">
        <f t="shared" si="0"/>
        <v>0</v>
      </c>
      <c r="H37" s="301">
        <f t="shared" si="1"/>
        <v>0</v>
      </c>
      <c r="I37" s="301">
        <f t="shared" si="2"/>
        <v>0</v>
      </c>
      <c r="J37" s="302">
        <v>0</v>
      </c>
    </row>
    <row r="38" spans="1:10" ht="15.75">
      <c r="A38" s="296" t="s">
        <v>305</v>
      </c>
      <c r="B38" s="297" t="str">
        <f>'WALLS-BELOW GRADE'!A6</f>
        <v>BGWALL R19</v>
      </c>
      <c r="C38" s="308">
        <f>'WALLS-BELOW GRADE'!C6</f>
        <v>0.037</v>
      </c>
      <c r="D38" s="309">
        <v>70</v>
      </c>
      <c r="E38" s="299">
        <v>1.36</v>
      </c>
      <c r="F38" s="305">
        <v>0</v>
      </c>
      <c r="G38" s="301">
        <f t="shared" si="0"/>
        <v>0</v>
      </c>
      <c r="H38" s="301">
        <f t="shared" si="1"/>
        <v>0</v>
      </c>
      <c r="I38" s="301">
        <f t="shared" si="2"/>
        <v>0</v>
      </c>
      <c r="J38" s="302">
        <v>0</v>
      </c>
    </row>
    <row r="39" spans="1:10" ht="15.75">
      <c r="A39" s="296" t="s">
        <v>305</v>
      </c>
      <c r="B39" s="297" t="str">
        <f>'WALLS-BELOW GRADE'!A7</f>
        <v>BGWALL R21</v>
      </c>
      <c r="C39" s="308">
        <f>'WALLS-BELOW GRADE'!C7</f>
        <v>0.034</v>
      </c>
      <c r="D39" s="309">
        <v>70</v>
      </c>
      <c r="E39" s="299">
        <v>1.36</v>
      </c>
      <c r="F39" s="305">
        <v>0</v>
      </c>
      <c r="G39" s="301">
        <f t="shared" si="0"/>
        <v>0</v>
      </c>
      <c r="H39" s="301">
        <f t="shared" si="1"/>
        <v>0</v>
      </c>
      <c r="I39" s="301">
        <f t="shared" si="2"/>
        <v>0</v>
      </c>
      <c r="J39" s="302">
        <f>I39/(C38-C39)</f>
        <v>0</v>
      </c>
    </row>
    <row r="40" spans="1:10" ht="16.5" thickBot="1">
      <c r="A40" s="224" t="s">
        <v>305</v>
      </c>
      <c r="B40" s="225" t="str">
        <f>'WALLS-BELOW GRADE'!A8</f>
        <v>BGWALL R22 FOAM BLOCK</v>
      </c>
      <c r="C40" s="230">
        <f>'WALLS-BELOW GRADE'!C8</f>
        <v>0.032</v>
      </c>
      <c r="D40" s="226">
        <v>70</v>
      </c>
      <c r="E40" s="227">
        <v>1.36</v>
      </c>
      <c r="F40" s="228">
        <f>'WALLS-BELOW GRADE'!E8</f>
        <v>0.009999999999999787</v>
      </c>
      <c r="G40" s="229">
        <f t="shared" si="0"/>
        <v>0.013599999999999711</v>
      </c>
      <c r="H40" s="229">
        <f t="shared" si="1"/>
        <v>0.010908347808316923</v>
      </c>
      <c r="I40" s="229">
        <f t="shared" si="2"/>
        <v>0.014835353019311017</v>
      </c>
      <c r="J40" s="231">
        <f>I40/(C39-C40)</f>
        <v>7.417676509655502</v>
      </c>
    </row>
  </sheetData>
  <mergeCells count="1">
    <mergeCell ref="A2:J2"/>
  </mergeCells>
  <printOptions gridLines="1" headings="1"/>
  <pageMargins left="0.75" right="0.75" top="1" bottom="1" header="0.5" footer="0.5"/>
  <pageSetup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 Good Cents for Single Family Homes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2003-01-17T19:50:11Z</dcterms:modified>
  <cp:category/>
  <cp:version/>
  <cp:contentType/>
  <cp:contentStatus/>
</cp:coreProperties>
</file>