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MHSGC" sheetId="3" r:id="rId3"/>
    <sheet name="924 SF" sheetId="4" r:id="rId4"/>
    <sheet name="1568 SF" sheetId="5" r:id="rId5"/>
    <sheet name="2352 SF" sheetId="6" r:id="rId6"/>
    <sheet name="UAOptimizer" sheetId="7" r:id="rId7"/>
    <sheet name="Cost-Effectiveness" sheetId="8" r:id="rId8"/>
    <sheet name="Lookup Table" sheetId="9" r:id="rId9"/>
  </sheet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 localSheetId="5">'2352 SF'!PC_Main</definedName>
    <definedName name="PC_Main">[0]!PC_Main</definedName>
    <definedName name="_xlnm.Print_Area" localSheetId="4">'1568 SF'!$B$33:$K$54</definedName>
    <definedName name="_xlnm.Print_Area" localSheetId="5">'2352 SF'!$B$31:$K$49</definedName>
    <definedName name="_xlnm.Print_Area" localSheetId="3">'924 SF'!$B$33:$K$53</definedName>
    <definedName name="_xlnm.Print_Area" localSheetId="7">'Cost-Effectiveness'!$H$1:$M$16</definedName>
    <definedName name="_xlnm.Print_Area" localSheetId="2">'MHSGC'!#REF!</definedName>
    <definedName name="_xlnm.Print_Area" localSheetId="6">'UAOptimizer'!$A$112:$J$120</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7.xml><?xml version="1.0" encoding="utf-8"?>
<comments xmlns="http://schemas.openxmlformats.org/spreadsheetml/2006/main">
  <authors>
    <author>Tom Eckman</author>
  </authors>
  <commentList>
    <comment ref="O9" authorId="0">
      <text>
        <r>
          <rPr>
            <b/>
            <sz val="10"/>
            <rFont val="Tahoma"/>
            <family val="2"/>
          </rPr>
          <t>Tom Eckman:</t>
        </r>
        <r>
          <rPr>
            <sz val="10"/>
            <rFont val="Tahoma"/>
            <family val="2"/>
          </rPr>
          <t xml:space="preserve">
Attic 25 base case assumed in 2352 prototype to match baseline Uo</t>
        </r>
      </text>
    </comment>
    <comment ref="O14" authorId="0">
      <text>
        <r>
          <rPr>
            <b/>
            <sz val="10"/>
            <rFont val="Tahoma"/>
            <family val="2"/>
          </rPr>
          <t>Tom Eckman:</t>
        </r>
        <r>
          <rPr>
            <sz val="10"/>
            <rFont val="Tahoma"/>
            <family val="2"/>
          </rPr>
          <t xml:space="preserve">
Vault 25 base case assumed in 2352 prototype to match baseline Uo</t>
        </r>
      </text>
    </comment>
  </commentList>
</comments>
</file>

<file path=xl/sharedStrings.xml><?xml version="1.0" encoding="utf-8"?>
<sst xmlns="http://schemas.openxmlformats.org/spreadsheetml/2006/main" count="1259" uniqueCount="316">
  <si>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</si>
  <si>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</si>
  <si>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</si>
  <si>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</si>
  <si>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</si>
  <si>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</si>
  <si>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</si>
  <si>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</si>
  <si>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</si>
  <si>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</si>
  <si>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</si>
  <si>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</si>
  <si>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</si>
  <si>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</si>
  <si>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</si>
  <si>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</si>
  <si>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</si>
  <si>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</si>
  <si>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</si>
  <si>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</si>
  <si>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</si>
  <si>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</si>
  <si>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</si>
  <si>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</si>
  <si>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</si>
  <si>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</si>
  <si>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</si>
  <si>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</si>
  <si>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</si>
  <si>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</si>
  <si>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</si>
  <si>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</si>
  <si>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</si>
  <si>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</si>
  <si>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</si>
  <si>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</si>
  <si>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</si>
  <si>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</si>
  <si>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</si>
  <si>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</si>
  <si>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</si>
  <si>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</si>
  <si>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</si>
  <si>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</si>
  <si>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</si>
  <si>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</si>
  <si>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</si>
  <si>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</si>
  <si>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</si>
  <si>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</si>
  <si>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</si>
  <si>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</si>
  <si>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</si>
  <si>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</si>
  <si>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</si>
  <si>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</si>
  <si>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</si>
  <si>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</si>
  <si>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</si>
  <si>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</si>
  <si>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</si>
  <si>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</si>
  <si>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</si>
  <si>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</si>
  <si>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</si>
  <si>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</si>
  <si>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</si>
  <si>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</si>
  <si>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</si>
  <si>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</si>
  <si>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</si>
  <si>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</si>
  <si>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</si>
  <si>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</si>
  <si>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</si>
  <si>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</si>
  <si>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</si>
  <si>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</si>
  <si>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</si>
  <si>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</si>
  <si>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</si>
  <si>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</si>
  <si>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</si>
  <si>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</si>
  <si>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</si>
  <si>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</si>
  <si>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</si>
  <si>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</si>
  <si>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</si>
  <si>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</si>
  <si>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</si>
  <si>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</si>
  <si>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</si>
  <si>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</si>
  <si>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</si>
  <si>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</si>
  <si>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</si>
  <si>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</si>
  <si>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</si>
  <si>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</si>
  <si>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</si>
  <si>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</si>
  <si>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</si>
  <si>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</si>
  <si>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</si>
  <si>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</si>
  <si>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</si>
  <si>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</si>
  <si>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</si>
  <si>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</si>
  <si>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</si>
  <si>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</si>
  <si>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</si>
  <si>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</si>
  <si>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</si>
  <si>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</si>
  <si>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</si>
  <si>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</si>
  <si>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</si>
  <si>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</si>
  <si>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</si>
  <si>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</si>
  <si>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</si>
  <si>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</si>
  <si>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</si>
  <si>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</si>
  <si>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</si>
  <si>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</si>
  <si>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</si>
  <si>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Phys Life (yr.)</t>
  </si>
  <si>
    <t>Non-E Val ($/yr.)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</si>
  <si>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</si>
  <si>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</si>
  <si>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</si>
  <si>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</si>
  <si>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</si>
  <si>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</si>
  <si>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</si>
  <si>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</si>
  <si>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</si>
  <si>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</si>
  <si>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</si>
  <si>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</si>
  <si>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</si>
  <si>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</si>
  <si>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</si>
  <si>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</si>
  <si>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</si>
  <si>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</si>
  <si>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</si>
  <si>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</si>
  <si>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</si>
  <si>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</si>
  <si>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</si>
  <si>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</si>
  <si>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</si>
  <si>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</si>
  <si>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</si>
  <si>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</si>
  <si>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Certified Super Good Cents under Northwest Energy Efficient Manufactured Home Program</t>
  </si>
  <si>
    <t>New manufactured homes built under HUD standards w/Electric Heat</t>
  </si>
  <si>
    <t>Heating Zone 3</t>
  </si>
  <si>
    <t>Deemed</t>
  </si>
  <si>
    <t>Savings assume that program is operated in accordance with the existing Super Good Cents Manufactured Housing program's specifications, including home qualification and quality assurance process.</t>
  </si>
  <si>
    <t>Heating Zone 2</t>
  </si>
  <si>
    <t>Heating Zone 1</t>
  </si>
  <si>
    <t>SGC Manufactured Homes</t>
  </si>
  <si>
    <t>SGC - Manufactured Homes - Heating Zone 1</t>
  </si>
  <si>
    <t>SGC - Zone 1</t>
  </si>
  <si>
    <t>ResSHNEW</t>
  </si>
  <si>
    <t>SGC - Manufactured Homes - Heating Zone 2</t>
  </si>
  <si>
    <t>SGC - Zone 2</t>
  </si>
  <si>
    <t>SGC - Manufactured Homes - Heating Zone 3</t>
  </si>
  <si>
    <t>SGC - Zone 3</t>
  </si>
  <si>
    <t>FLOOR R33</t>
  </si>
  <si>
    <t xml:space="preserve">FLOOR R33 </t>
  </si>
  <si>
    <t>ATTIC R25</t>
  </si>
  <si>
    <t>VAULT R25</t>
  </si>
  <si>
    <t>ATTIC R30</t>
  </si>
  <si>
    <t xml:space="preserve">ATTIC R30 </t>
  </si>
  <si>
    <t>VAULT R30</t>
  </si>
  <si>
    <t>WINDOW CL35</t>
  </si>
  <si>
    <t>WALL R21 ADV</t>
  </si>
  <si>
    <t>ATTIC R38</t>
  </si>
  <si>
    <t xml:space="preserve">ATTIC R38 </t>
  </si>
  <si>
    <t>VAULT  R38</t>
  </si>
  <si>
    <t xml:space="preserve">VAULT  R38 </t>
  </si>
  <si>
    <t>ATTIC R49</t>
  </si>
  <si>
    <t xml:space="preserve">ATTIC R49 </t>
  </si>
  <si>
    <t>FLOOR R44</t>
  </si>
  <si>
    <t>Life (yr.)</t>
  </si>
  <si>
    <t>Capital Cost</t>
  </si>
  <si>
    <t>Annual O&amp;M</t>
  </si>
  <si>
    <t>924 sq. ft Prototype Use</t>
  </si>
  <si>
    <t>1568 sq. ft Prototype Use</t>
  </si>
  <si>
    <t>Prototype</t>
  </si>
  <si>
    <t>Sq. Foot</t>
  </si>
  <si>
    <t>ConservationMeasure</t>
  </si>
  <si>
    <t>Uo</t>
  </si>
  <si>
    <t>Area</t>
  </si>
  <si>
    <t>Delta UA</t>
  </si>
  <si>
    <t>$/Delta UA</t>
  </si>
  <si>
    <t>Delta Cost</t>
  </si>
  <si>
    <t>Envelope</t>
  </si>
  <si>
    <t>WALL R11</t>
  </si>
  <si>
    <t>WALL R19</t>
  </si>
  <si>
    <t>UA</t>
  </si>
  <si>
    <t>Portland</t>
  </si>
  <si>
    <t>Seattle</t>
  </si>
  <si>
    <t>Spokane</t>
  </si>
  <si>
    <t>Missoula</t>
  </si>
  <si>
    <t>Region</t>
  </si>
  <si>
    <t>ATTIC R19</t>
  </si>
  <si>
    <t>VAULT R19</t>
  </si>
  <si>
    <t>FLOOR R11</t>
  </si>
  <si>
    <t xml:space="preserve">FLOOR R22 </t>
  </si>
  <si>
    <t>WINDOW CL85</t>
  </si>
  <si>
    <t>WINDOW CL50</t>
  </si>
  <si>
    <t>WINDOW CL40</t>
  </si>
  <si>
    <t>DOOR R2.5</t>
  </si>
  <si>
    <t>INFILTRATION @ O.35 ACH</t>
  </si>
  <si>
    <t>DOOR R5</t>
  </si>
  <si>
    <t>1983 BASE</t>
  </si>
  <si>
    <t>Envelope Area</t>
  </si>
  <si>
    <t>Installed Cost</t>
  </si>
  <si>
    <t>Cum Cost</t>
  </si>
  <si>
    <t>Use</t>
  </si>
  <si>
    <t>Base</t>
  </si>
  <si>
    <t>Total UA</t>
  </si>
  <si>
    <t>Mean Use</t>
  </si>
  <si>
    <t>Conductive Uo</t>
  </si>
  <si>
    <t>1986 BASE</t>
  </si>
  <si>
    <t>1989 BASE</t>
  </si>
  <si>
    <t>1994 HUD Code</t>
  </si>
  <si>
    <t>New Manufactured Housing</t>
  </si>
  <si>
    <t xml:space="preserve"> Vintage</t>
  </si>
  <si>
    <t>Annual Use(kWh)</t>
  </si>
  <si>
    <t>Annual Use (kWh/yr.)</t>
  </si>
  <si>
    <t>Incremental Savings/ Unit</t>
  </si>
  <si>
    <t>Cumulative Savings/ Unit</t>
  </si>
  <si>
    <t>Note : 1989 to 1995 Practice change attributed to MAP and Changes in HUD Code</t>
  </si>
  <si>
    <t>HUD= 105 MW, MAP MTV impact = 165 MW to move practice over 1994 HUD code</t>
  </si>
  <si>
    <t>Weighted</t>
  </si>
  <si>
    <t>Non-SGC Use</t>
  </si>
  <si>
    <t>SGC Use</t>
  </si>
  <si>
    <t>Average House Size</t>
  </si>
  <si>
    <t>Heating Zone</t>
  </si>
  <si>
    <t>(kWh/yr)</t>
  </si>
  <si>
    <t>Zone 1</t>
  </si>
  <si>
    <t>Cost Effective UA</t>
  </si>
  <si>
    <t>Zone 2</t>
  </si>
  <si>
    <t>Boise</t>
  </si>
  <si>
    <t>Zone 3</t>
  </si>
  <si>
    <t>PNW</t>
  </si>
  <si>
    <t>Case</t>
  </si>
  <si>
    <t>Location Climate Data</t>
  </si>
  <si>
    <t xml:space="preserve">Spokane </t>
  </si>
  <si>
    <t>Case Weights =&gt;</t>
  </si>
  <si>
    <t>Heating Zone Weights</t>
  </si>
  <si>
    <t>Incremental Cost @ CE UA</t>
  </si>
  <si>
    <t>MHSGC</t>
  </si>
  <si>
    <t>924 SF</t>
  </si>
  <si>
    <t>1568 SF</t>
  </si>
  <si>
    <t>UAOptimizer</t>
  </si>
  <si>
    <t>Lookup Table</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</si>
  <si>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50%.</t>
  </si>
  <si>
    <t>Savings (Therms)</t>
  </si>
  <si>
    <t>R:\TE\New Plan\Residential Resource Assessment\MC_AND_LOADSHAPE.XLS</t>
  </si>
  <si>
    <t>5th Plan Draft 092802</t>
  </si>
  <si>
    <t>IC/sf (2000$)</t>
  </si>
  <si>
    <t>2000 BASE</t>
  </si>
  <si>
    <t>All Regionally Cost-Effective</t>
  </si>
  <si>
    <t>2352 sq. ft Prototype Use</t>
  </si>
  <si>
    <t>2352 SF</t>
  </si>
  <si>
    <t>PNW Region</t>
  </si>
  <si>
    <t>2000 Base Case UA</t>
  </si>
  <si>
    <t>Select Case =&gt;*</t>
  </si>
  <si>
    <t>*After selecting "Case", Procost must be re-run to update cost-effectiveness calculation for selected case.</t>
  </si>
  <si>
    <t>Weighted Size</t>
  </si>
  <si>
    <t>1983 TI UA in 2025</t>
  </si>
  <si>
    <t>1983 Use in @ 2025 (kWh/yr)</t>
  </si>
  <si>
    <t>2000 TI Use in 2025 (kWh/yr)</t>
  </si>
  <si>
    <t>Use @ CE Limit (kWh/yr)</t>
  </si>
  <si>
    <t>SGCMH - PNW Average</t>
  </si>
  <si>
    <t>SGC - Manufactured Homes - PNW Average Climate</t>
  </si>
  <si>
    <t>PNW Average Climate</t>
  </si>
  <si>
    <t>Cost-Effectiveness</t>
  </si>
  <si>
    <t>Cost</t>
  </si>
  <si>
    <t>(2000$)</t>
  </si>
  <si>
    <t>Optimizer =&gt; "Ctrl O"</t>
  </si>
  <si>
    <t>Realizable Potential</t>
  </si>
  <si>
    <t>Cost-Effective Potential</t>
  </si>
  <si>
    <t>Technical Potential</t>
  </si>
  <si>
    <t>2352 Measures</t>
  </si>
  <si>
    <t>1989 Practice</t>
  </si>
  <si>
    <t>2000 Practice</t>
  </si>
  <si>
    <t>1983 Practice</t>
  </si>
  <si>
    <t>All Cost Effective</t>
  </si>
  <si>
    <t>% of 1983 Use</t>
  </si>
  <si>
    <t xml:space="preserve">Zone 1 </t>
  </si>
  <si>
    <t>ProCost Results, Version 1.70a: JPH 03/07/01, 04:08 PM 1/5/2003</t>
  </si>
  <si>
    <t>Cumulative Savings</t>
  </si>
  <si>
    <t>Economic Potential</t>
  </si>
  <si>
    <t>Bldg</t>
  </si>
  <si>
    <t>UA/SF</t>
  </si>
  <si>
    <t>AC Load/SF</t>
  </si>
  <si>
    <t>Total AC Load</t>
  </si>
  <si>
    <t>BOISE</t>
  </si>
  <si>
    <t>MISSOULA</t>
  </si>
  <si>
    <t>PORTLAND</t>
  </si>
  <si>
    <t>SEATTLE</t>
  </si>
  <si>
    <t>SPOKANE</t>
  </si>
  <si>
    <t>1983 Baseline</t>
  </si>
  <si>
    <t xml:space="preserve">Post-1994 Baseline </t>
  </si>
  <si>
    <t>All Cost Effective Measures</t>
  </si>
  <si>
    <t>New Manufactured Housing Air Conditioning Load Curves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</si>
</sst>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000"/>
    <numFmt numFmtId="179" formatCode="_(* #,##0.0_);_(* \(#,##0.0\);_(* &quot;-&quot;??_);_(@_)"/>
    <numFmt numFmtId="180" formatCode="&quot;$&quot;#,##0.0_);\(&quot;$&quot;#,##0.0\)"/>
    <numFmt numFmtId="181" formatCode="_(&quot;$&quot;* #,##0.0_);_(&quot;$&quot;* \(#,##0.0\);_(&quot;$&quot;* &quot;-&quot;??_);_(@_)"/>
    <numFmt numFmtId="182" formatCode="0.000000000000"/>
    <numFmt numFmtId="183" formatCode="0.00000"/>
    <numFmt numFmtId="184" formatCode="0.00000000000000"/>
    <numFmt numFmtId="185" formatCode="0.0000000000000"/>
    <numFmt numFmtId="186" formatCode="0.000000000000000"/>
    <numFmt numFmtId="187" formatCode="0.0000"/>
  </numFmts>
  <fonts count="30">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2"/>
      <name val="Courier"/>
      <family val="0"/>
    </font>
    <font>
      <b/>
      <sz val="12"/>
      <name val="Arial"/>
      <family val="0"/>
    </font>
    <font>
      <b/>
      <sz val="10"/>
      <color indexed="36"/>
      <name val="Arial"/>
      <family val="0"/>
    </font>
    <font>
      <b/>
      <sz val="10"/>
      <color indexed="17"/>
      <name val="Arial"/>
      <family val="2"/>
    </font>
    <font>
      <sz val="12"/>
      <color indexed="12"/>
      <name val="Arial"/>
      <family val="2"/>
    </font>
    <font>
      <b/>
      <sz val="10"/>
      <color indexed="8"/>
      <name val="Arial"/>
      <family val="2"/>
    </font>
  </fonts>
  <fills count="16">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35"/>
        <bgColor indexed="64"/>
      </patternFill>
    </fill>
    <fill>
      <patternFill patternType="solid">
        <fgColor indexed="15"/>
        <bgColor indexed="64"/>
      </patternFill>
    </fill>
  </fills>
  <borders count="55">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style="medium">
        <color indexed="54"/>
      </left>
      <right>
        <color indexed="63"/>
      </right>
      <top>
        <color indexed="63"/>
      </top>
      <bottom>
        <color indexed="63"/>
      </bottom>
    </border>
    <border>
      <left style="medium">
        <color indexed="54"/>
      </left>
      <right>
        <color indexed="63"/>
      </right>
      <top style="medium">
        <color indexed="54"/>
      </top>
      <bottom>
        <color indexed="63"/>
      </bottom>
    </border>
    <border>
      <left>
        <color indexed="63"/>
      </left>
      <right style="medium">
        <color indexed="54"/>
      </right>
      <top style="medium">
        <color indexed="54"/>
      </top>
      <bottom>
        <color indexed="63"/>
      </bottom>
    </border>
    <border>
      <left style="medium">
        <color indexed="18"/>
      </left>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style="medium">
        <color indexed="54"/>
      </right>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style="medium"/>
    </border>
    <border>
      <left style="thin"/>
      <right style="thin"/>
      <top>
        <color indexed="63"/>
      </top>
      <bottom>
        <color indexed="63"/>
      </bottom>
    </border>
    <border>
      <left style="thin"/>
      <right>
        <color indexed="63"/>
      </right>
      <top style="medium"/>
      <bottom style="thin"/>
    </border>
    <border>
      <left style="medium"/>
      <right style="thin"/>
      <top>
        <color indexed="63"/>
      </top>
      <bottom style="medium"/>
    </border>
    <border>
      <left style="medium"/>
      <right style="medium"/>
      <top style="medium"/>
      <bottom style="thin"/>
    </border>
    <border>
      <left style="medium"/>
      <right style="medium"/>
      <top style="thin"/>
      <bottom style="medium"/>
    </border>
    <border>
      <left>
        <color indexed="63"/>
      </left>
      <right style="medium"/>
      <top style="medium"/>
      <bottom style="thin"/>
    </border>
    <border>
      <left style="medium"/>
      <right style="medium"/>
      <top>
        <color indexed="63"/>
      </top>
      <bottom style="medium"/>
    </border>
    <border>
      <left style="thin"/>
      <right style="medium"/>
      <top>
        <color indexed="63"/>
      </top>
      <bottom style="thin"/>
    </border>
    <border>
      <left>
        <color indexed="63"/>
      </left>
      <right style="thin"/>
      <top style="medium"/>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23" fillId="0" borderId="0">
      <alignment/>
      <protection/>
    </xf>
    <xf numFmtId="177" fontId="24"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67">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8" fontId="0" fillId="0" borderId="0" xfId="17" applyNumberFormat="1" applyAlignment="1">
      <alignment/>
    </xf>
    <xf numFmtId="44" fontId="0" fillId="0" borderId="0" xfId="17" applyAlignment="1">
      <alignment/>
    </xf>
    <xf numFmtId="0" fontId="18" fillId="11" borderId="19" xfId="0" applyFont="1" applyFill="1" applyBorder="1" applyAlignment="1">
      <alignment horizontal="center" wrapText="1"/>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0" fillId="0" borderId="0" xfId="0" applyFont="1" applyAlignment="1">
      <alignment wrapText="1"/>
    </xf>
    <xf numFmtId="177" fontId="0" fillId="0" borderId="0" xfId="29"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9" applyNumberFormat="1" applyAlignment="1" applyProtection="1">
      <alignment horizontal="right"/>
      <protection/>
    </xf>
    <xf numFmtId="168" fontId="0" fillId="0" borderId="0" xfId="17" applyNumberFormat="1" applyAlignment="1" applyProtection="1">
      <alignment horizontal="right"/>
      <protection/>
    </xf>
    <xf numFmtId="165" fontId="11" fillId="0" borderId="0" xfId="0" applyNumberFormat="1" applyFont="1" applyAlignment="1">
      <alignment/>
    </xf>
    <xf numFmtId="165" fontId="0" fillId="0" borderId="0" xfId="0" applyNumberFormat="1" applyFont="1" applyAlignment="1">
      <alignment horizontal="right"/>
    </xf>
    <xf numFmtId="0" fontId="0" fillId="0" borderId="0" xfId="0" applyFont="1" applyAlignment="1" quotePrefix="1">
      <alignment horizontal="left"/>
    </xf>
    <xf numFmtId="177" fontId="0" fillId="0" borderId="0" xfId="29" applyNumberFormat="1" applyAlignment="1" applyProtection="1">
      <alignment horizontal="left"/>
      <protection/>
    </xf>
    <xf numFmtId="2" fontId="0" fillId="0" borderId="0" xfId="28" applyNumberFormat="1">
      <alignment/>
      <protection/>
    </xf>
    <xf numFmtId="1" fontId="0" fillId="0" borderId="0" xfId="28" applyNumberFormat="1">
      <alignment/>
      <protection/>
    </xf>
    <xf numFmtId="5" fontId="0" fillId="0" borderId="0" xfId="29" applyNumberFormat="1">
      <alignment/>
      <protection/>
    </xf>
    <xf numFmtId="2" fontId="0" fillId="0" borderId="0" xfId="28" applyNumberFormat="1" applyFont="1">
      <alignment/>
      <protection/>
    </xf>
    <xf numFmtId="5" fontId="0" fillId="0" borderId="0" xfId="0" applyNumberFormat="1" applyAlignment="1">
      <alignment/>
    </xf>
    <xf numFmtId="0" fontId="6" fillId="4" borderId="1" xfId="0" applyFont="1" applyFill="1" applyBorder="1" applyAlignment="1">
      <alignment horizontal="centerContinuous"/>
    </xf>
    <xf numFmtId="0" fontId="13" fillId="4" borderId="1" xfId="0" applyFont="1" applyFill="1" applyBorder="1" applyAlignment="1">
      <alignment horizontal="centerContinuous"/>
    </xf>
    <xf numFmtId="0" fontId="13" fillId="4" borderId="4" xfId="0" applyFont="1" applyFill="1" applyBorder="1" applyAlignment="1">
      <alignment horizontal="centerContinuous"/>
    </xf>
    <xf numFmtId="0" fontId="23" fillId="0" borderId="0" xfId="26">
      <alignment/>
      <protection/>
    </xf>
    <xf numFmtId="1" fontId="25" fillId="0" borderId="0" xfId="26" applyNumberFormat="1" applyFont="1">
      <alignment/>
      <protection/>
    </xf>
    <xf numFmtId="5" fontId="23" fillId="0" borderId="0" xfId="26" applyNumberFormat="1">
      <alignment/>
      <protection/>
    </xf>
    <xf numFmtId="0" fontId="25" fillId="0" borderId="0" xfId="0" applyFont="1" applyAlignment="1">
      <alignment/>
    </xf>
    <xf numFmtId="0" fontId="23" fillId="0" borderId="0" xfId="0" applyFont="1" applyAlignment="1">
      <alignment/>
    </xf>
    <xf numFmtId="2" fontId="23" fillId="0" borderId="0" xfId="26" applyNumberFormat="1">
      <alignment/>
      <protection/>
    </xf>
    <xf numFmtId="168" fontId="23" fillId="0" borderId="0" xfId="17" applyNumberFormat="1" applyAlignment="1">
      <alignment/>
    </xf>
    <xf numFmtId="0" fontId="25" fillId="0" borderId="0" xfId="26" applyFont="1">
      <alignment/>
      <protection/>
    </xf>
    <xf numFmtId="0" fontId="26" fillId="0" borderId="0" xfId="24" applyFont="1" applyAlignment="1">
      <alignment horizontal="center"/>
      <protection/>
    </xf>
    <xf numFmtId="0" fontId="25" fillId="0" borderId="0" xfId="0" applyFont="1" applyAlignment="1">
      <alignment/>
    </xf>
    <xf numFmtId="0" fontId="26" fillId="0" borderId="0" xfId="24" applyFont="1" applyAlignment="1" quotePrefix="1">
      <alignment horizontal="center"/>
      <protection/>
    </xf>
    <xf numFmtId="0" fontId="0" fillId="0" borderId="0" xfId="26" applyFont="1" applyAlignment="1" applyProtection="1" quotePrefix="1">
      <alignment horizontal="left"/>
      <protection/>
    </xf>
    <xf numFmtId="1" fontId="23" fillId="0" borderId="0" xfId="26" applyNumberFormat="1">
      <alignment/>
      <protection/>
    </xf>
    <xf numFmtId="9" fontId="28" fillId="0" borderId="0" xfId="0" applyNumberFormat="1" applyFont="1" applyAlignment="1">
      <alignment/>
    </xf>
    <xf numFmtId="1" fontId="25" fillId="0" borderId="0" xfId="25" applyNumberFormat="1" applyFont="1">
      <alignment/>
      <protection/>
    </xf>
    <xf numFmtId="0" fontId="19" fillId="12" borderId="20" xfId="29" applyFont="1" applyFill="1" applyBorder="1" applyAlignment="1">
      <alignment horizontal="center"/>
      <protection/>
    </xf>
    <xf numFmtId="169" fontId="19" fillId="12" borderId="20" xfId="15" applyNumberFormat="1" applyFont="1" applyFill="1" applyBorder="1" applyAlignment="1">
      <alignment horizontal="center"/>
    </xf>
    <xf numFmtId="177" fontId="25" fillId="0" borderId="0" xfId="25" applyFont="1">
      <alignment/>
      <protection/>
    </xf>
    <xf numFmtId="1" fontId="23" fillId="0" borderId="0" xfId="0" applyNumberFormat="1" applyFont="1" applyAlignment="1">
      <alignment/>
    </xf>
    <xf numFmtId="0" fontId="0" fillId="9" borderId="21" xfId="29" applyFill="1" applyBorder="1">
      <alignment/>
      <protection/>
    </xf>
    <xf numFmtId="1" fontId="0" fillId="12" borderId="22" xfId="29" applyNumberFormat="1" applyFill="1" applyBorder="1">
      <alignment/>
      <protection/>
    </xf>
    <xf numFmtId="0" fontId="0" fillId="9" borderId="20" xfId="29" applyFill="1" applyBorder="1">
      <alignment/>
      <protection/>
    </xf>
    <xf numFmtId="0" fontId="0" fillId="0" borderId="0" xfId="26" applyFont="1">
      <alignment/>
      <protection/>
    </xf>
    <xf numFmtId="0" fontId="0" fillId="0" borderId="0" xfId="26" applyFont="1" applyAlignment="1" quotePrefix="1">
      <alignment horizontal="left"/>
      <protection/>
    </xf>
    <xf numFmtId="0" fontId="0" fillId="9" borderId="23" xfId="29" applyFill="1" applyBorder="1">
      <alignment/>
      <protection/>
    </xf>
    <xf numFmtId="0" fontId="23" fillId="0" borderId="0" xfId="26" applyFont="1">
      <alignment/>
      <protection/>
    </xf>
    <xf numFmtId="166" fontId="23" fillId="0" borderId="0" xfId="26" applyNumberFormat="1">
      <alignment/>
      <protection/>
    </xf>
    <xf numFmtId="0" fontId="25" fillId="0" borderId="0" xfId="26" applyFont="1" applyAlignment="1" quotePrefix="1">
      <alignment horizontal="left"/>
      <protection/>
    </xf>
    <xf numFmtId="166" fontId="25" fillId="0" borderId="0" xfId="26" applyNumberFormat="1" applyFont="1">
      <alignment/>
      <protection/>
    </xf>
    <xf numFmtId="165" fontId="25" fillId="0" borderId="0" xfId="26" applyNumberFormat="1" applyFont="1">
      <alignment/>
      <protection/>
    </xf>
    <xf numFmtId="5" fontId="25" fillId="0" borderId="0" xfId="26" applyNumberFormat="1" applyFont="1" applyAlignment="1" quotePrefix="1">
      <alignment horizontal="left"/>
      <protection/>
    </xf>
    <xf numFmtId="5" fontId="25" fillId="0" borderId="0" xfId="26" applyNumberFormat="1" applyFont="1">
      <alignment/>
      <protection/>
    </xf>
    <xf numFmtId="5" fontId="0" fillId="0" borderId="0" xfId="26" applyNumberFormat="1" applyFont="1" applyAlignment="1" applyProtection="1" quotePrefix="1">
      <alignment horizontal="left"/>
      <protection/>
    </xf>
    <xf numFmtId="5" fontId="0" fillId="0" borderId="0" xfId="26" applyNumberFormat="1" applyFont="1" applyAlignment="1" quotePrefix="1">
      <alignment horizontal="left"/>
      <protection/>
    </xf>
    <xf numFmtId="0" fontId="25" fillId="0" borderId="0" xfId="26" applyFont="1" applyAlignment="1">
      <alignment horizontal="left"/>
      <protection/>
    </xf>
    <xf numFmtId="1" fontId="0" fillId="0" borderId="0" xfId="0" applyNumberFormat="1" applyAlignment="1">
      <alignment/>
    </xf>
    <xf numFmtId="168" fontId="23" fillId="0" borderId="0" xfId="26" applyNumberFormat="1">
      <alignment/>
      <protection/>
    </xf>
    <xf numFmtId="5" fontId="25" fillId="0" borderId="0" xfId="26" applyNumberFormat="1" applyFont="1" applyAlignment="1">
      <alignment horizontal="left" wrapText="1"/>
      <protection/>
    </xf>
    <xf numFmtId="0" fontId="25" fillId="0" borderId="0" xfId="27" applyFont="1" applyAlignment="1">
      <alignment horizontal="left" wrapText="1"/>
      <protection/>
    </xf>
    <xf numFmtId="1" fontId="25" fillId="0" borderId="0" xfId="30" applyNumberFormat="1" applyFont="1" applyAlignment="1">
      <alignment/>
    </xf>
    <xf numFmtId="1" fontId="17" fillId="12" borderId="3" xfId="29" applyNumberFormat="1" applyFont="1" applyFill="1" applyBorder="1" applyAlignment="1" quotePrefix="1">
      <alignment horizontal="left" wrapText="1"/>
      <protection/>
    </xf>
    <xf numFmtId="1" fontId="17" fillId="12" borderId="3" xfId="29" applyNumberFormat="1" applyFont="1" applyFill="1" applyBorder="1" applyAlignment="1">
      <alignment horizontal="centerContinuous"/>
      <protection/>
    </xf>
    <xf numFmtId="1" fontId="17" fillId="12" borderId="3" xfId="29" applyNumberFormat="1" applyFont="1" applyFill="1" applyBorder="1" applyAlignment="1">
      <alignment horizontal="center" wrapText="1"/>
      <protection/>
    </xf>
    <xf numFmtId="0" fontId="0" fillId="0" borderId="24" xfId="0" applyBorder="1" applyAlignment="1">
      <alignment/>
    </xf>
    <xf numFmtId="169" fontId="0" fillId="0" borderId="3" xfId="0" applyNumberFormat="1" applyBorder="1" applyAlignment="1">
      <alignment/>
    </xf>
    <xf numFmtId="169" fontId="0" fillId="0" borderId="5" xfId="0" applyNumberFormat="1" applyBorder="1" applyAlignment="1">
      <alignment/>
    </xf>
    <xf numFmtId="0" fontId="0" fillId="0" borderId="24" xfId="0" applyBorder="1" applyAlignment="1">
      <alignment horizontal="right"/>
    </xf>
    <xf numFmtId="0" fontId="0" fillId="11" borderId="13" xfId="0" applyFill="1" applyBorder="1" applyAlignment="1">
      <alignment/>
    </xf>
    <xf numFmtId="0" fontId="0" fillId="0" borderId="25" xfId="0" applyBorder="1" applyAlignment="1">
      <alignment/>
    </xf>
    <xf numFmtId="1" fontId="0" fillId="0" borderId="0" xfId="0" applyNumberFormat="1" applyFont="1" applyAlignment="1">
      <alignment/>
    </xf>
    <xf numFmtId="9" fontId="0" fillId="0" borderId="0" xfId="30" applyFont="1" applyAlignment="1">
      <alignment/>
    </xf>
    <xf numFmtId="9" fontId="0" fillId="0" borderId="3" xfId="30" applyFont="1" applyBorder="1" applyAlignment="1">
      <alignment/>
    </xf>
    <xf numFmtId="169" fontId="17" fillId="13" borderId="3" xfId="15" applyNumberFormat="1" applyFont="1" applyFill="1" applyBorder="1" applyAlignment="1">
      <alignment/>
    </xf>
    <xf numFmtId="169" fontId="17" fillId="13" borderId="5" xfId="15" applyNumberFormat="1" applyFont="1" applyFill="1" applyBorder="1" applyAlignment="1">
      <alignment/>
    </xf>
    <xf numFmtId="0" fontId="17" fillId="13" borderId="13" xfId="0" applyFont="1" applyFill="1" applyBorder="1" applyAlignment="1">
      <alignment/>
    </xf>
    <xf numFmtId="1" fontId="17" fillId="12" borderId="3" xfId="29" applyNumberFormat="1" applyFont="1" applyFill="1" applyBorder="1" applyAlignment="1">
      <alignment horizontal="left" wrapText="1"/>
      <protection/>
    </xf>
    <xf numFmtId="1" fontId="17" fillId="14" borderId="26" xfId="29" applyNumberFormat="1" applyFont="1" applyFill="1" applyBorder="1" applyAlignment="1">
      <alignment horizontal="left" wrapText="1"/>
      <protection/>
    </xf>
    <xf numFmtId="168" fontId="17" fillId="13" borderId="13" xfId="17" applyNumberFormat="1" applyFont="1" applyFill="1" applyBorder="1" applyAlignment="1">
      <alignment horizontal="centerContinuous"/>
    </xf>
    <xf numFmtId="1" fontId="17" fillId="14" borderId="27" xfId="29" applyNumberFormat="1" applyFont="1" applyFill="1" applyBorder="1" applyAlignment="1" quotePrefix="1">
      <alignment horizontal="left" wrapText="1"/>
      <protection/>
    </xf>
    <xf numFmtId="0" fontId="17" fillId="12" borderId="27" xfId="29" applyFont="1" applyFill="1" applyBorder="1" applyAlignment="1">
      <alignment horizontal="center"/>
      <protection/>
    </xf>
    <xf numFmtId="1" fontId="17" fillId="14" borderId="28" xfId="29" applyNumberFormat="1" applyFont="1" applyFill="1" applyBorder="1" applyAlignment="1" quotePrefix="1">
      <alignment horizontal="left" wrapText="1"/>
      <protection/>
    </xf>
    <xf numFmtId="0" fontId="17" fillId="12" borderId="28" xfId="29" applyFont="1" applyFill="1" applyBorder="1" applyAlignment="1">
      <alignment horizontal="center"/>
      <protection/>
    </xf>
    <xf numFmtId="0" fontId="17" fillId="12" borderId="29" xfId="29" applyFont="1" applyFill="1" applyBorder="1" applyAlignment="1">
      <alignment horizontal="center"/>
      <protection/>
    </xf>
    <xf numFmtId="0" fontId="0" fillId="9" borderId="9" xfId="29" applyFont="1" applyFill="1" applyBorder="1">
      <alignment/>
      <protection/>
    </xf>
    <xf numFmtId="1" fontId="0" fillId="12" borderId="9" xfId="29" applyNumberFormat="1" applyFont="1" applyFill="1" applyBorder="1">
      <alignment/>
      <protection/>
    </xf>
    <xf numFmtId="1" fontId="0" fillId="0" borderId="9" xfId="0" applyNumberFormat="1" applyFont="1" applyBorder="1" applyAlignment="1">
      <alignment/>
    </xf>
    <xf numFmtId="0" fontId="0" fillId="9" borderId="3" xfId="29" applyFont="1" applyFill="1" applyBorder="1">
      <alignment/>
      <protection/>
    </xf>
    <xf numFmtId="1" fontId="0" fillId="12" borderId="3" xfId="29" applyNumberFormat="1" applyFont="1" applyFill="1" applyBorder="1">
      <alignment/>
      <protection/>
    </xf>
    <xf numFmtId="0" fontId="17" fillId="0" borderId="0" xfId="0" applyFont="1" applyAlignment="1">
      <alignment/>
    </xf>
    <xf numFmtId="0" fontId="18" fillId="0" borderId="0" xfId="0" applyFont="1" applyAlignment="1">
      <alignment/>
    </xf>
    <xf numFmtId="169" fontId="0" fillId="0" borderId="3" xfId="15" applyNumberFormat="1" applyBorder="1" applyAlignment="1" applyProtection="1">
      <alignment horizontal="right"/>
      <protection/>
    </xf>
    <xf numFmtId="0" fontId="12" fillId="7" borderId="30" xfId="0" applyFont="1" applyFill="1" applyBorder="1" applyAlignment="1">
      <alignment horizontal="center" wrapText="1"/>
    </xf>
    <xf numFmtId="0" fontId="12" fillId="7" borderId="31" xfId="0" applyFont="1" applyFill="1" applyBorder="1" applyAlignment="1">
      <alignment horizontal="center" wrapText="1"/>
    </xf>
    <xf numFmtId="0" fontId="12" fillId="7" borderId="32" xfId="0" applyFont="1" applyFill="1" applyBorder="1" applyAlignment="1">
      <alignment horizontal="center" wrapText="1"/>
    </xf>
    <xf numFmtId="177" fontId="0" fillId="0" borderId="24" xfId="29" applyNumberFormat="1" applyFont="1" applyBorder="1" applyAlignment="1" applyProtection="1">
      <alignment horizontal="left"/>
      <protection/>
    </xf>
    <xf numFmtId="168" fontId="0" fillId="0" borderId="33" xfId="17" applyNumberFormat="1" applyBorder="1" applyAlignment="1" applyProtection="1">
      <alignment horizontal="right"/>
      <protection/>
    </xf>
    <xf numFmtId="177" fontId="0" fillId="0" borderId="34" xfId="29" applyNumberFormat="1" applyFont="1" applyBorder="1" applyAlignment="1" applyProtection="1">
      <alignment horizontal="left"/>
      <protection/>
    </xf>
    <xf numFmtId="169" fontId="0" fillId="0" borderId="35" xfId="15" applyNumberFormat="1" applyBorder="1" applyAlignment="1" applyProtection="1">
      <alignment horizontal="right"/>
      <protection/>
    </xf>
    <xf numFmtId="168" fontId="0" fillId="0" borderId="36" xfId="17" applyNumberFormat="1" applyBorder="1" applyAlignment="1" applyProtection="1">
      <alignment horizontal="right"/>
      <protection/>
    </xf>
    <xf numFmtId="169" fontId="0" fillId="0" borderId="0" xfId="15" applyNumberFormat="1" applyAlignment="1">
      <alignment/>
    </xf>
    <xf numFmtId="1" fontId="0" fillId="0" borderId="0" xfId="0" applyNumberFormat="1" applyFont="1" applyBorder="1" applyAlignment="1">
      <alignment/>
    </xf>
    <xf numFmtId="9" fontId="0" fillId="0" borderId="3" xfId="30" applyFont="1" applyFill="1" applyBorder="1" applyAlignment="1">
      <alignment/>
    </xf>
    <xf numFmtId="0" fontId="17" fillId="0" borderId="30" xfId="24" applyFont="1" applyBorder="1" applyAlignment="1">
      <alignment horizontal="right"/>
      <protection/>
    </xf>
    <xf numFmtId="9" fontId="0" fillId="0" borderId="31" xfId="30" applyFont="1" applyBorder="1" applyAlignment="1">
      <alignment/>
    </xf>
    <xf numFmtId="9" fontId="17" fillId="11" borderId="32" xfId="30" applyFont="1" applyFill="1" applyBorder="1" applyAlignment="1">
      <alignment/>
    </xf>
    <xf numFmtId="0" fontId="17" fillId="0" borderId="24" xfId="24" applyFont="1" applyBorder="1" applyAlignment="1">
      <alignment horizontal="right"/>
      <protection/>
    </xf>
    <xf numFmtId="9" fontId="17" fillId="11" borderId="33" xfId="30" applyFont="1" applyFill="1" applyBorder="1" applyAlignment="1">
      <alignment/>
    </xf>
    <xf numFmtId="0" fontId="17" fillId="0" borderId="24" xfId="0" applyFont="1" applyBorder="1" applyAlignment="1">
      <alignment horizontal="right"/>
    </xf>
    <xf numFmtId="0" fontId="17" fillId="0" borderId="24" xfId="24" applyFont="1" applyFill="1" applyBorder="1" applyAlignment="1">
      <alignment horizontal="right"/>
      <protection/>
    </xf>
    <xf numFmtId="0" fontId="17" fillId="0" borderId="37" xfId="24" applyFont="1" applyFill="1" applyBorder="1" applyAlignment="1">
      <alignment horizontal="right"/>
      <protection/>
    </xf>
    <xf numFmtId="9" fontId="0" fillId="0" borderId="4" xfId="30" applyFont="1" applyFill="1" applyBorder="1" applyAlignment="1">
      <alignment/>
    </xf>
    <xf numFmtId="9" fontId="17" fillId="11" borderId="38" xfId="30" applyFont="1" applyFill="1" applyBorder="1" applyAlignment="1">
      <alignment/>
    </xf>
    <xf numFmtId="1" fontId="17" fillId="12" borderId="4" xfId="29" applyNumberFormat="1" applyFont="1" applyFill="1" applyBorder="1" applyAlignment="1">
      <alignment horizontal="centerContinuous"/>
      <protection/>
    </xf>
    <xf numFmtId="1" fontId="17" fillId="12" borderId="4" xfId="29" applyNumberFormat="1" applyFont="1" applyFill="1" applyBorder="1" applyAlignment="1">
      <alignment horizontal="center" wrapText="1"/>
      <protection/>
    </xf>
    <xf numFmtId="1" fontId="0" fillId="0" borderId="24" xfId="0" applyNumberFormat="1" applyFont="1" applyBorder="1" applyAlignment="1">
      <alignment/>
    </xf>
    <xf numFmtId="0" fontId="0" fillId="0" borderId="33" xfId="0" applyFont="1" applyBorder="1" applyAlignment="1">
      <alignment/>
    </xf>
    <xf numFmtId="1" fontId="0" fillId="0" borderId="34" xfId="0" applyNumberFormat="1" applyFont="1" applyBorder="1" applyAlignment="1">
      <alignment/>
    </xf>
    <xf numFmtId="1" fontId="17" fillId="12" borderId="9" xfId="29" applyNumberFormat="1" applyFont="1" applyFill="1" applyBorder="1" applyAlignment="1">
      <alignment horizontal="centerContinuous"/>
      <protection/>
    </xf>
    <xf numFmtId="1" fontId="17" fillId="12" borderId="9" xfId="29" applyNumberFormat="1" applyFont="1" applyFill="1" applyBorder="1" applyAlignment="1">
      <alignment horizontal="center" wrapText="1"/>
      <protection/>
    </xf>
    <xf numFmtId="0" fontId="0" fillId="0" borderId="5" xfId="0" applyFont="1" applyBorder="1" applyAlignment="1">
      <alignment/>
    </xf>
    <xf numFmtId="0" fontId="0" fillId="0" borderId="39" xfId="0" applyFont="1" applyBorder="1" applyAlignment="1">
      <alignment/>
    </xf>
    <xf numFmtId="1" fontId="0" fillId="0" borderId="30" xfId="0" applyNumberFormat="1" applyFont="1" applyBorder="1" applyAlignment="1">
      <alignment/>
    </xf>
    <xf numFmtId="0" fontId="0" fillId="0" borderId="32" xfId="0" applyFont="1" applyBorder="1" applyAlignment="1">
      <alignment/>
    </xf>
    <xf numFmtId="0" fontId="0" fillId="0" borderId="36" xfId="0" applyFont="1" applyBorder="1" applyAlignment="1">
      <alignment/>
    </xf>
    <xf numFmtId="9" fontId="17" fillId="0" borderId="16" xfId="30" applyFont="1" applyBorder="1" applyAlignment="1">
      <alignment horizontal="center"/>
    </xf>
    <xf numFmtId="9" fontId="17" fillId="0" borderId="27" xfId="30" applyFont="1" applyBorder="1" applyAlignment="1">
      <alignment horizontal="center"/>
    </xf>
    <xf numFmtId="9" fontId="17" fillId="0" borderId="29" xfId="0" applyNumberFormat="1" applyFont="1" applyBorder="1" applyAlignment="1">
      <alignment horizontal="center"/>
    </xf>
    <xf numFmtId="0" fontId="17" fillId="0" borderId="40" xfId="24" applyFont="1" applyBorder="1" applyAlignment="1">
      <alignment horizontal="left"/>
      <protection/>
    </xf>
    <xf numFmtId="9" fontId="0" fillId="0" borderId="40" xfId="30" applyFont="1" applyBorder="1" applyAlignment="1">
      <alignment/>
    </xf>
    <xf numFmtId="9" fontId="17" fillId="11" borderId="40" xfId="30" applyFont="1" applyFill="1" applyBorder="1" applyAlignment="1">
      <alignment/>
    </xf>
    <xf numFmtId="0" fontId="17" fillId="3" borderId="16" xfId="27" applyFont="1" applyFill="1" applyBorder="1">
      <alignment/>
      <protection/>
    </xf>
    <xf numFmtId="9" fontId="17" fillId="3" borderId="29" xfId="30" applyFont="1" applyFill="1" applyBorder="1" applyAlignment="1">
      <alignment/>
    </xf>
    <xf numFmtId="9" fontId="17" fillId="3" borderId="27" xfId="30" applyFont="1" applyFill="1" applyBorder="1" applyAlignment="1">
      <alignment/>
    </xf>
    <xf numFmtId="0" fontId="0" fillId="0" borderId="34" xfId="0" applyFont="1" applyFill="1" applyBorder="1" applyAlignment="1">
      <alignment horizontal="right"/>
    </xf>
    <xf numFmtId="0" fontId="0" fillId="0" borderId="35" xfId="0" applyBorder="1" applyAlignment="1">
      <alignment/>
    </xf>
    <xf numFmtId="0" fontId="0" fillId="0" borderId="36" xfId="0" applyBorder="1" applyAlignment="1">
      <alignment/>
    </xf>
    <xf numFmtId="0" fontId="17" fillId="0" borderId="1" xfId="0" applyFont="1" applyBorder="1" applyAlignment="1">
      <alignment horizontal="right"/>
    </xf>
    <xf numFmtId="0" fontId="17" fillId="11" borderId="16" xfId="27" applyFont="1" applyFill="1" applyBorder="1">
      <alignment/>
      <protection/>
    </xf>
    <xf numFmtId="0" fontId="17" fillId="11" borderId="27" xfId="27" applyFont="1" applyFill="1" applyBorder="1" applyAlignment="1">
      <alignment horizontal="center"/>
      <protection/>
    </xf>
    <xf numFmtId="0" fontId="0" fillId="11" borderId="29" xfId="0" applyFont="1" applyFill="1" applyBorder="1" applyAlignment="1">
      <alignment/>
    </xf>
    <xf numFmtId="0" fontId="0" fillId="0" borderId="41" xfId="0" applyFont="1" applyBorder="1" applyAlignment="1">
      <alignment/>
    </xf>
    <xf numFmtId="168" fontId="0" fillId="0" borderId="30" xfId="17" applyNumberFormat="1" applyFont="1" applyBorder="1" applyAlignment="1">
      <alignment/>
    </xf>
    <xf numFmtId="168" fontId="0" fillId="0" borderId="24" xfId="17" applyNumberFormat="1" applyFont="1" applyBorder="1" applyAlignment="1">
      <alignment/>
    </xf>
    <xf numFmtId="168" fontId="0" fillId="0" borderId="34" xfId="17" applyNumberFormat="1" applyFont="1" applyBorder="1" applyAlignment="1">
      <alignment/>
    </xf>
    <xf numFmtId="1" fontId="17" fillId="14" borderId="13" xfId="29" applyNumberFormat="1" applyFont="1" applyFill="1" applyBorder="1" applyAlignment="1">
      <alignment horizontal="left" wrapText="1"/>
      <protection/>
    </xf>
    <xf numFmtId="1" fontId="17" fillId="12" borderId="8" xfId="29" applyNumberFormat="1" applyFont="1" applyFill="1" applyBorder="1" applyAlignment="1">
      <alignment horizontal="left" wrapText="1"/>
      <protection/>
    </xf>
    <xf numFmtId="0" fontId="17" fillId="12" borderId="42" xfId="29" applyFont="1" applyFill="1" applyBorder="1" applyAlignment="1">
      <alignment horizontal="center"/>
      <protection/>
    </xf>
    <xf numFmtId="1" fontId="17" fillId="12" borderId="24" xfId="29" applyNumberFormat="1" applyFont="1" applyFill="1" applyBorder="1" applyAlignment="1">
      <alignment horizontal="left" wrapText="1"/>
      <protection/>
    </xf>
    <xf numFmtId="169" fontId="17" fillId="13" borderId="33" xfId="15" applyNumberFormat="1" applyFont="1" applyFill="1" applyBorder="1" applyAlignment="1">
      <alignment/>
    </xf>
    <xf numFmtId="1" fontId="17" fillId="12" borderId="34" xfId="29" applyNumberFormat="1" applyFont="1" applyFill="1" applyBorder="1" applyAlignment="1">
      <alignment horizontal="left" wrapText="1"/>
      <protection/>
    </xf>
    <xf numFmtId="169" fontId="17" fillId="13" borderId="35" xfId="15" applyNumberFormat="1" applyFont="1" applyFill="1" applyBorder="1" applyAlignment="1">
      <alignment/>
    </xf>
    <xf numFmtId="169" fontId="17" fillId="13" borderId="39" xfId="15" applyNumberFormat="1" applyFont="1" applyFill="1" applyBorder="1" applyAlignment="1">
      <alignment/>
    </xf>
    <xf numFmtId="169" fontId="17" fillId="13" borderId="36" xfId="15" applyNumberFormat="1" applyFont="1" applyFill="1" applyBorder="1" applyAlignment="1">
      <alignment/>
    </xf>
    <xf numFmtId="169" fontId="0" fillId="0" borderId="9" xfId="0" applyNumberFormat="1" applyBorder="1" applyAlignment="1">
      <alignment/>
    </xf>
    <xf numFmtId="169" fontId="0" fillId="0" borderId="8" xfId="0" applyNumberFormat="1" applyBorder="1" applyAlignment="1">
      <alignment/>
    </xf>
    <xf numFmtId="0" fontId="0" fillId="11" borderId="43" xfId="0" applyFill="1" applyBorder="1" applyAlignment="1">
      <alignment/>
    </xf>
    <xf numFmtId="0" fontId="0" fillId="11" borderId="44" xfId="0" applyFill="1" applyBorder="1" applyAlignment="1">
      <alignment/>
    </xf>
    <xf numFmtId="0" fontId="0" fillId="11" borderId="45" xfId="0" applyFill="1" applyBorder="1" applyAlignment="1">
      <alignment/>
    </xf>
    <xf numFmtId="9" fontId="25" fillId="0" borderId="3" xfId="30" applyFont="1" applyBorder="1" applyAlignment="1">
      <alignment/>
    </xf>
    <xf numFmtId="0" fontId="23" fillId="0" borderId="3" xfId="26" applyBorder="1">
      <alignment/>
      <protection/>
    </xf>
    <xf numFmtId="0" fontId="25" fillId="0" borderId="3" xfId="26" applyFont="1" applyBorder="1">
      <alignment/>
      <protection/>
    </xf>
    <xf numFmtId="1" fontId="25" fillId="13" borderId="3" xfId="26" applyNumberFormat="1" applyFont="1" applyFill="1" applyBorder="1">
      <alignment/>
      <protection/>
    </xf>
    <xf numFmtId="166" fontId="25" fillId="13" borderId="3" xfId="26" applyNumberFormat="1" applyFont="1" applyFill="1" applyBorder="1">
      <alignment/>
      <protection/>
    </xf>
    <xf numFmtId="1" fontId="17" fillId="12" borderId="30" xfId="29" applyNumberFormat="1" applyFont="1" applyFill="1" applyBorder="1" applyAlignment="1" quotePrefix="1">
      <alignment horizontal="left" wrapText="1"/>
      <protection/>
    </xf>
    <xf numFmtId="169" fontId="17" fillId="13" borderId="31" xfId="15" applyNumberFormat="1" applyFont="1" applyFill="1" applyBorder="1" applyAlignment="1">
      <alignment/>
    </xf>
    <xf numFmtId="169" fontId="17" fillId="13" borderId="41" xfId="15" applyNumberFormat="1" applyFont="1" applyFill="1" applyBorder="1" applyAlignment="1">
      <alignment/>
    </xf>
    <xf numFmtId="169" fontId="17" fillId="13" borderId="32" xfId="15" applyNumberFormat="1" applyFont="1" applyFill="1" applyBorder="1" applyAlignment="1">
      <alignment/>
    </xf>
    <xf numFmtId="168" fontId="0" fillId="13" borderId="46" xfId="17" applyNumberFormat="1" applyFill="1" applyBorder="1" applyAlignment="1">
      <alignment/>
    </xf>
    <xf numFmtId="0" fontId="0" fillId="0" borderId="3" xfId="0" applyBorder="1" applyAlignment="1">
      <alignment/>
    </xf>
    <xf numFmtId="0" fontId="0" fillId="13" borderId="46" xfId="0" applyFill="1" applyBorder="1" applyAlignment="1">
      <alignment/>
    </xf>
    <xf numFmtId="169" fontId="0" fillId="13" borderId="46" xfId="0" applyNumberFormat="1" applyFill="1" applyBorder="1" applyAlignment="1">
      <alignment/>
    </xf>
    <xf numFmtId="168" fontId="0" fillId="0" borderId="47" xfId="17" applyNumberFormat="1" applyBorder="1" applyAlignment="1">
      <alignment/>
    </xf>
    <xf numFmtId="168" fontId="0" fillId="0" borderId="33" xfId="17" applyNumberFormat="1" applyBorder="1" applyAlignment="1">
      <alignment/>
    </xf>
    <xf numFmtId="168" fontId="0" fillId="0" borderId="33" xfId="17" applyNumberFormat="1" applyFont="1" applyBorder="1" applyAlignment="1">
      <alignment/>
    </xf>
    <xf numFmtId="0" fontId="0" fillId="0" borderId="34" xfId="0" applyBorder="1" applyAlignment="1">
      <alignment/>
    </xf>
    <xf numFmtId="169" fontId="0" fillId="0" borderId="35" xfId="0" applyNumberFormat="1" applyBorder="1" applyAlignment="1">
      <alignment/>
    </xf>
    <xf numFmtId="169" fontId="0" fillId="0" borderId="39" xfId="0" applyNumberFormat="1" applyBorder="1" applyAlignment="1">
      <alignment/>
    </xf>
    <xf numFmtId="168" fontId="0" fillId="0" borderId="36" xfId="17" applyNumberFormat="1" applyBorder="1" applyAlignment="1">
      <alignment/>
    </xf>
    <xf numFmtId="0" fontId="25" fillId="0" borderId="4" xfId="26" applyFont="1" applyBorder="1">
      <alignment/>
      <protection/>
    </xf>
    <xf numFmtId="1" fontId="25" fillId="13" borderId="4" xfId="26" applyNumberFormat="1" applyFont="1" applyFill="1" applyBorder="1">
      <alignment/>
      <protection/>
    </xf>
    <xf numFmtId="0" fontId="17" fillId="0" borderId="3" xfId="23" applyFont="1" applyBorder="1" applyAlignment="1">
      <alignment horizontal="center"/>
      <protection/>
    </xf>
    <xf numFmtId="0" fontId="23" fillId="0" borderId="3" xfId="26" applyFont="1" applyBorder="1">
      <alignment/>
      <protection/>
    </xf>
    <xf numFmtId="5" fontId="23" fillId="0" borderId="3" xfId="17" applyNumberFormat="1" applyBorder="1" applyAlignment="1">
      <alignment/>
    </xf>
    <xf numFmtId="0" fontId="0" fillId="0" borderId="3" xfId="26" applyFont="1" applyBorder="1" applyAlignment="1" applyProtection="1" quotePrefix="1">
      <alignment horizontal="left"/>
      <protection/>
    </xf>
    <xf numFmtId="178" fontId="0" fillId="0" borderId="3" xfId="26" applyNumberFormat="1" applyFont="1" applyBorder="1" applyProtection="1">
      <alignment/>
      <protection/>
    </xf>
    <xf numFmtId="0" fontId="27" fillId="0" borderId="3" xfId="26" applyFont="1" applyBorder="1" applyAlignment="1">
      <alignment horizontal="centerContinuous"/>
      <protection/>
    </xf>
    <xf numFmtId="0" fontId="27" fillId="0" borderId="3" xfId="26" applyFont="1" applyBorder="1" applyAlignment="1">
      <alignment horizontal="center"/>
      <protection/>
    </xf>
    <xf numFmtId="1" fontId="23" fillId="0" borderId="3" xfId="26" applyNumberFormat="1" applyBorder="1">
      <alignment/>
      <protection/>
    </xf>
    <xf numFmtId="7" fontId="23" fillId="0" borderId="3" xfId="26" applyNumberFormat="1" applyBorder="1">
      <alignment/>
      <protection/>
    </xf>
    <xf numFmtId="178" fontId="0" fillId="0" borderId="3" xfId="26" applyNumberFormat="1" applyFont="1" applyBorder="1">
      <alignment/>
      <protection/>
    </xf>
    <xf numFmtId="0" fontId="0" fillId="0" borderId="3" xfId="26" applyFont="1" applyBorder="1">
      <alignment/>
      <protection/>
    </xf>
    <xf numFmtId="0" fontId="0" fillId="0" borderId="3" xfId="26" applyFont="1" applyBorder="1" applyAlignment="1" quotePrefix="1">
      <alignment horizontal="left"/>
      <protection/>
    </xf>
    <xf numFmtId="1" fontId="27" fillId="0" borderId="3" xfId="26" applyNumberFormat="1" applyFont="1" applyBorder="1" applyAlignment="1">
      <alignment horizontal="centerContinuous"/>
      <protection/>
    </xf>
    <xf numFmtId="1" fontId="27" fillId="0" borderId="3" xfId="26" applyNumberFormat="1" applyFont="1" applyBorder="1" applyAlignment="1">
      <alignment horizontal="center"/>
      <protection/>
    </xf>
    <xf numFmtId="166" fontId="0" fillId="0" borderId="3" xfId="26" applyNumberFormat="1" applyFont="1" applyBorder="1" applyAlignment="1" applyProtection="1" quotePrefix="1">
      <alignment horizontal="left"/>
      <protection/>
    </xf>
    <xf numFmtId="2" fontId="23" fillId="0" borderId="3" xfId="26" applyNumberFormat="1" applyBorder="1">
      <alignment/>
      <protection/>
    </xf>
    <xf numFmtId="168" fontId="23" fillId="0" borderId="3" xfId="17" applyNumberFormat="1" applyBorder="1" applyAlignment="1">
      <alignment/>
    </xf>
    <xf numFmtId="0" fontId="25" fillId="0" borderId="0" xfId="26" applyFont="1" applyBorder="1">
      <alignment/>
      <protection/>
    </xf>
    <xf numFmtId="5" fontId="23" fillId="0" borderId="0" xfId="17" applyNumberFormat="1" applyBorder="1" applyAlignment="1">
      <alignment/>
    </xf>
    <xf numFmtId="0" fontId="0" fillId="0" borderId="0" xfId="0" applyAlignment="1">
      <alignment wrapText="1"/>
    </xf>
    <xf numFmtId="0" fontId="0" fillId="0" borderId="3" xfId="0" applyBorder="1" applyAlignment="1">
      <alignment wrapText="1"/>
    </xf>
    <xf numFmtId="169" fontId="0" fillId="0" borderId="3" xfId="15" applyNumberFormat="1" applyFont="1" applyBorder="1" applyAlignment="1">
      <alignment/>
    </xf>
    <xf numFmtId="1" fontId="0" fillId="0" borderId="3" xfId="0" applyNumberFormat="1" applyFont="1" applyBorder="1" applyAlignment="1">
      <alignment/>
    </xf>
    <xf numFmtId="43" fontId="23" fillId="0" borderId="0" xfId="15" applyAlignment="1">
      <alignment/>
    </xf>
    <xf numFmtId="43" fontId="0" fillId="0" borderId="0" xfId="15" applyAlignment="1">
      <alignment/>
    </xf>
    <xf numFmtId="5" fontId="23" fillId="13" borderId="3" xfId="17" applyNumberFormat="1" applyFill="1" applyBorder="1" applyAlignment="1">
      <alignment/>
    </xf>
    <xf numFmtId="165" fontId="25" fillId="0" borderId="3" xfId="26" applyNumberFormat="1" applyFont="1" applyBorder="1">
      <alignment/>
      <protection/>
    </xf>
    <xf numFmtId="0" fontId="25" fillId="0" borderId="24" xfId="26" applyFont="1" applyBorder="1" applyAlignment="1">
      <alignment horizontal="right"/>
      <protection/>
    </xf>
    <xf numFmtId="1" fontId="23" fillId="0" borderId="33" xfId="26" applyNumberFormat="1" applyBorder="1">
      <alignment/>
      <protection/>
    </xf>
    <xf numFmtId="0" fontId="25" fillId="0" borderId="34" xfId="26" applyFont="1" applyBorder="1" applyAlignment="1">
      <alignment horizontal="right"/>
      <protection/>
    </xf>
    <xf numFmtId="165" fontId="25" fillId="0" borderId="35" xfId="26" applyNumberFormat="1" applyFont="1" applyBorder="1">
      <alignment/>
      <protection/>
    </xf>
    <xf numFmtId="9" fontId="25" fillId="0" borderId="35" xfId="30" applyFont="1" applyBorder="1" applyAlignment="1">
      <alignment/>
    </xf>
    <xf numFmtId="1" fontId="23" fillId="0" borderId="35" xfId="26" applyNumberFormat="1" applyBorder="1">
      <alignment/>
      <protection/>
    </xf>
    <xf numFmtId="1" fontId="23" fillId="0" borderId="36" xfId="26" applyNumberFormat="1" applyBorder="1">
      <alignment/>
      <protection/>
    </xf>
    <xf numFmtId="0" fontId="25" fillId="3" borderId="30" xfId="26" applyFont="1" applyFill="1" applyBorder="1" applyAlignment="1">
      <alignment horizontal="left" wrapText="1"/>
      <protection/>
    </xf>
    <xf numFmtId="0" fontId="25" fillId="3" borderId="31" xfId="26" applyFont="1" applyFill="1" applyBorder="1" applyAlignment="1">
      <alignment horizontal="left" wrapText="1"/>
      <protection/>
    </xf>
    <xf numFmtId="5" fontId="25" fillId="3" borderId="31" xfId="26" applyNumberFormat="1" applyFont="1" applyFill="1" applyBorder="1" applyAlignment="1">
      <alignment horizontal="left" wrapText="1"/>
      <protection/>
    </xf>
    <xf numFmtId="5" fontId="25" fillId="3" borderId="32" xfId="26" applyNumberFormat="1" applyFont="1" applyFill="1" applyBorder="1" applyAlignment="1">
      <alignment horizontal="left" wrapText="1"/>
      <protection/>
    </xf>
    <xf numFmtId="169" fontId="25" fillId="0" borderId="3" xfId="15" applyNumberFormat="1" applyFont="1" applyBorder="1" applyAlignment="1">
      <alignment/>
    </xf>
    <xf numFmtId="169" fontId="25" fillId="0" borderId="35" xfId="15" applyNumberFormat="1" applyFont="1" applyBorder="1" applyAlignment="1">
      <alignment/>
    </xf>
    <xf numFmtId="1" fontId="12" fillId="0" borderId="7" xfId="0" applyNumberFormat="1" applyFont="1" applyFill="1" applyBorder="1" applyAlignment="1">
      <alignment horizontal="center" wrapText="1"/>
    </xf>
    <xf numFmtId="165" fontId="12" fillId="11" borderId="30" xfId="0" applyNumberFormat="1" applyFont="1" applyFill="1" applyBorder="1" applyAlignment="1">
      <alignment horizontal="center" wrapText="1"/>
    </xf>
    <xf numFmtId="165" fontId="12" fillId="11" borderId="48" xfId="0" applyNumberFormat="1" applyFont="1" applyFill="1" applyBorder="1" applyAlignment="1">
      <alignment horizontal="center" wrapText="1"/>
    </xf>
    <xf numFmtId="165" fontId="12" fillId="11" borderId="45" xfId="0" applyNumberFormat="1" applyFont="1" applyFill="1" applyBorder="1" applyAlignment="1">
      <alignment horizontal="center" wrapText="1"/>
    </xf>
    <xf numFmtId="1" fontId="12" fillId="0" borderId="24" xfId="0" applyNumberFormat="1" applyFont="1" applyFill="1" applyBorder="1" applyAlignment="1">
      <alignment horizontal="center" wrapText="1"/>
    </xf>
    <xf numFmtId="1" fontId="12" fillId="0" borderId="49" xfId="0" applyNumberFormat="1" applyFont="1" applyFill="1" applyBorder="1" applyAlignment="1">
      <alignment horizontal="center" wrapText="1"/>
    </xf>
    <xf numFmtId="1" fontId="12" fillId="0" borderId="34" xfId="0" applyNumberFormat="1" applyFont="1" applyFill="1" applyBorder="1" applyAlignment="1">
      <alignment horizontal="center" wrapText="1"/>
    </xf>
    <xf numFmtId="1" fontId="12" fillId="0" borderId="50" xfId="0" applyNumberFormat="1" applyFont="1" applyFill="1" applyBorder="1" applyAlignment="1">
      <alignment horizontal="center" wrapText="1"/>
    </xf>
    <xf numFmtId="1" fontId="12" fillId="0" borderId="51" xfId="0" applyNumberFormat="1" applyFont="1" applyFill="1" applyBorder="1" applyAlignment="1">
      <alignment horizontal="center" wrapText="1"/>
    </xf>
    <xf numFmtId="165" fontId="12" fillId="11" borderId="3" xfId="0" applyNumberFormat="1" applyFont="1" applyFill="1" applyBorder="1" applyAlignment="1">
      <alignment horizontal="center" wrapText="1"/>
    </xf>
    <xf numFmtId="1" fontId="12" fillId="0" borderId="3" xfId="0" applyNumberFormat="1" applyFont="1" applyFill="1" applyBorder="1" applyAlignment="1">
      <alignment horizontal="center" wrapText="1"/>
    </xf>
    <xf numFmtId="165" fontId="12" fillId="11" borderId="0" xfId="0" applyNumberFormat="1" applyFont="1" applyFill="1" applyBorder="1" applyAlignment="1">
      <alignment horizontal="center" wrapText="1"/>
    </xf>
    <xf numFmtId="43" fontId="0" fillId="0" borderId="0" xfId="0" applyNumberFormat="1" applyFont="1" applyAlignment="1">
      <alignment/>
    </xf>
    <xf numFmtId="1" fontId="0" fillId="0" borderId="3" xfId="0" applyNumberFormat="1" applyBorder="1" applyAlignment="1">
      <alignment/>
    </xf>
    <xf numFmtId="1" fontId="0" fillId="0" borderId="3" xfId="15" applyNumberFormat="1" applyFont="1" applyBorder="1" applyAlignment="1">
      <alignment/>
    </xf>
    <xf numFmtId="1" fontId="29" fillId="11" borderId="3" xfId="0" applyNumberFormat="1" applyFont="1" applyFill="1" applyBorder="1" applyAlignment="1">
      <alignment horizontal="center" wrapText="1"/>
    </xf>
    <xf numFmtId="1" fontId="17" fillId="0" borderId="3" xfId="0" applyNumberFormat="1" applyFont="1" applyBorder="1" applyAlignment="1">
      <alignment/>
    </xf>
    <xf numFmtId="0" fontId="0" fillId="11" borderId="3" xfId="0" applyFill="1" applyBorder="1" applyAlignment="1">
      <alignment wrapText="1"/>
    </xf>
    <xf numFmtId="43" fontId="0" fillId="0" borderId="3" xfId="15" applyNumberFormat="1" applyBorder="1" applyAlignment="1">
      <alignment/>
    </xf>
    <xf numFmtId="0" fontId="0" fillId="0" borderId="3" xfId="0" applyFill="1" applyBorder="1" applyAlignment="1">
      <alignment/>
    </xf>
    <xf numFmtId="166" fontId="0" fillId="0" borderId="3" xfId="0" applyNumberFormat="1" applyFill="1" applyBorder="1" applyAlignment="1">
      <alignment/>
    </xf>
    <xf numFmtId="2" fontId="0" fillId="0" borderId="3" xfId="0" applyNumberFormat="1" applyFill="1" applyBorder="1" applyAlignment="1">
      <alignment horizontal="right"/>
    </xf>
    <xf numFmtId="169" fontId="0" fillId="0" borderId="3" xfId="15" applyNumberFormat="1" applyFill="1" applyBorder="1" applyAlignment="1">
      <alignment/>
    </xf>
    <xf numFmtId="43" fontId="0" fillId="0" borderId="3" xfId="15" applyNumberFormat="1" applyFont="1" applyBorder="1" applyAlignment="1">
      <alignment/>
    </xf>
    <xf numFmtId="0" fontId="0" fillId="11" borderId="0" xfId="0" applyFill="1" applyBorder="1" applyAlignment="1">
      <alignment wrapText="1"/>
    </xf>
    <xf numFmtId="0" fontId="0" fillId="11" borderId="3" xfId="0" applyFill="1" applyBorder="1" applyAlignment="1">
      <alignment/>
    </xf>
    <xf numFmtId="0" fontId="0" fillId="11" borderId="0" xfId="0" applyFill="1" applyAlignment="1">
      <alignment/>
    </xf>
    <xf numFmtId="1" fontId="0" fillId="0" borderId="3" xfId="0" applyNumberFormat="1" applyFill="1" applyBorder="1" applyAlignment="1">
      <alignment/>
    </xf>
    <xf numFmtId="179" fontId="0" fillId="0" borderId="3" xfId="15" applyNumberFormat="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2"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11" borderId="53" xfId="0" applyFill="1" applyBorder="1" applyAlignment="1">
      <alignment wrapText="1"/>
    </xf>
    <xf numFmtId="0" fontId="0" fillId="13" borderId="54" xfId="0" applyFont="1" applyFill="1" applyBorder="1" applyAlignment="1">
      <alignment horizontal="center"/>
    </xf>
    <xf numFmtId="0" fontId="0" fillId="13" borderId="15" xfId="0" applyFont="1" applyFill="1" applyBorder="1" applyAlignment="1">
      <alignment horizontal="center"/>
    </xf>
    <xf numFmtId="1" fontId="17" fillId="13" borderId="54" xfId="29" applyNumberFormat="1" applyFont="1" applyFill="1" applyBorder="1" applyAlignment="1">
      <alignment horizontal="center"/>
      <protection/>
    </xf>
    <xf numFmtId="1" fontId="17" fillId="13" borderId="15" xfId="29" applyNumberFormat="1" applyFont="1" applyFill="1" applyBorder="1" applyAlignment="1">
      <alignment horizontal="center"/>
      <protection/>
    </xf>
    <xf numFmtId="0" fontId="17" fillId="11" borderId="12" xfId="24" applyFont="1" applyFill="1" applyBorder="1" applyAlignment="1">
      <alignment horizontal="left" wrapText="1"/>
      <protection/>
    </xf>
    <xf numFmtId="0" fontId="17" fillId="11" borderId="10" xfId="24" applyFont="1" applyFill="1" applyBorder="1" applyAlignment="1">
      <alignment horizontal="left" wrapText="1"/>
      <protection/>
    </xf>
    <xf numFmtId="0" fontId="17" fillId="11" borderId="11" xfId="24" applyFont="1" applyFill="1" applyBorder="1" applyAlignment="1">
      <alignment horizontal="left" wrapText="1"/>
      <protection/>
    </xf>
    <xf numFmtId="0" fontId="0" fillId="11" borderId="12" xfId="0" applyFont="1" applyFill="1" applyBorder="1" applyAlignment="1">
      <alignment horizontal="center"/>
    </xf>
    <xf numFmtId="0" fontId="0" fillId="11" borderId="10" xfId="0" applyFont="1" applyFill="1" applyBorder="1" applyAlignment="1">
      <alignment horizontal="center"/>
    </xf>
    <xf numFmtId="0" fontId="0" fillId="11" borderId="11" xfId="0" applyFont="1" applyFill="1" applyBorder="1" applyAlignment="1">
      <alignment horizontal="center"/>
    </xf>
    <xf numFmtId="0" fontId="17" fillId="15" borderId="12" xfId="0" applyFont="1" applyFill="1" applyBorder="1" applyAlignment="1">
      <alignment horizontal="center"/>
    </xf>
    <xf numFmtId="0" fontId="17" fillId="15" borderId="11" xfId="0" applyFont="1" applyFill="1" applyBorder="1" applyAlignment="1">
      <alignment horizontal="center"/>
    </xf>
    <xf numFmtId="0" fontId="17" fillId="13" borderId="12" xfId="0" applyFont="1" applyFill="1" applyBorder="1" applyAlignment="1">
      <alignment horizontal="center"/>
    </xf>
    <xf numFmtId="0" fontId="17" fillId="13" borderId="11" xfId="0" applyFont="1" applyFill="1" applyBorder="1" applyAlignment="1">
      <alignment horizontal="center"/>
    </xf>
  </cellXfs>
  <cellStyles count="17">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ConMeasMultiFamily (2)" xfId="23"/>
    <cellStyle name="Normal_ConMeasSingleFamily" xfId="24"/>
    <cellStyle name="Normal_Multifamily Use" xfId="25"/>
    <cellStyle name="Normal_New Mobile Home" xfId="26"/>
    <cellStyle name="Normal_New Single Family" xfId="27"/>
    <cellStyle name="Normal_ProCost Template" xfId="28"/>
    <cellStyle name="Normal_T_Energy Use and Savings"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0.emf" /><Relationship Id="rId3" Type="http://schemas.openxmlformats.org/officeDocument/2006/relationships/image" Target="../media/image13.emf" /><Relationship Id="rId4" Type="http://schemas.openxmlformats.org/officeDocument/2006/relationships/image" Target="../media/image2.emf" /><Relationship Id="rId5" Type="http://schemas.openxmlformats.org/officeDocument/2006/relationships/image" Target="../media/image11.emf" /><Relationship Id="rId6" Type="http://schemas.openxmlformats.org/officeDocument/2006/relationships/image" Target="../media/image15.emf" /><Relationship Id="rId7" Type="http://schemas.openxmlformats.org/officeDocument/2006/relationships/image" Target="../media/image14.emf" /><Relationship Id="rId8" Type="http://schemas.openxmlformats.org/officeDocument/2006/relationships/image" Target="../media/image3.emf" /><Relationship Id="rId9" Type="http://schemas.openxmlformats.org/officeDocument/2006/relationships/image" Target="../media/image1.emf" /><Relationship Id="rId10" Type="http://schemas.openxmlformats.org/officeDocument/2006/relationships/image" Target="../media/image8.emf" /><Relationship Id="rId11" Type="http://schemas.openxmlformats.org/officeDocument/2006/relationships/image" Target="../media/image12.emf" /><Relationship Id="rId12" Type="http://schemas.openxmlformats.org/officeDocument/2006/relationships/image" Target="../media/image4.emf" /><Relationship Id="rId13" Type="http://schemas.openxmlformats.org/officeDocument/2006/relationships/image" Target="../media/image7.emf" /><Relationship Id="rId14" Type="http://schemas.openxmlformats.org/officeDocument/2006/relationships/image" Target="../media/image9.emf" /><Relationship Id="rId1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2:AL11"/>
  <sheetViews>
    <sheetView tabSelected="1" workbookViewId="0" topLeftCell="A1">
      <selection activeCell="A1" sqref="A1"/>
    </sheetView>
  </sheetViews>
  <sheetFormatPr defaultColWidth="9.140625" defaultRowHeight="12.75"/>
  <cols>
    <col min="1" max="1" width="26.7109375" style="0" customWidth="1"/>
    <col min="2" max="2" width="16.8515625" style="0" customWidth="1"/>
    <col min="3" max="3" width="16.7109375" style="0" customWidth="1"/>
    <col min="4" max="4" width="8.28125" style="0" customWidth="1"/>
    <col min="5" max="5" width="10.140625" style="0" customWidth="1"/>
    <col min="6" max="6" width="10.8515625" style="0" customWidth="1"/>
    <col min="7" max="7" width="12.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4.4218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00390625" style="0" customWidth="1"/>
  </cols>
  <sheetData>
    <row r="1" ht="13.5" thickBot="1"/>
    <row r="2" spans="1:36" s="76" customFormat="1" ht="33" customHeight="1" thickBot="1">
      <c r="A2" s="344" t="s">
        <v>111</v>
      </c>
      <c r="B2" s="345"/>
      <c r="C2" s="345"/>
      <c r="D2" s="345"/>
      <c r="E2" s="345"/>
      <c r="F2" s="345"/>
      <c r="G2" s="345"/>
      <c r="H2" s="345"/>
      <c r="I2" s="345"/>
      <c r="J2" s="345"/>
      <c r="K2" s="345"/>
      <c r="L2" s="345"/>
      <c r="M2" s="345"/>
      <c r="N2" s="345"/>
      <c r="O2" s="345"/>
      <c r="P2" s="345"/>
      <c r="Q2" s="345"/>
      <c r="R2" s="345"/>
      <c r="S2" s="345"/>
      <c r="T2" s="345"/>
      <c r="U2" s="345"/>
      <c r="V2" s="345"/>
      <c r="W2" s="346"/>
      <c r="X2" s="344" t="s">
        <v>112</v>
      </c>
      <c r="Y2" s="345"/>
      <c r="Z2" s="346"/>
      <c r="AA2" s="345" t="s">
        <v>113</v>
      </c>
      <c r="AB2" s="345"/>
      <c r="AC2" s="345"/>
      <c r="AD2" s="348"/>
      <c r="AE2" s="347" t="s">
        <v>114</v>
      </c>
      <c r="AF2" s="345"/>
      <c r="AG2" s="345"/>
      <c r="AH2" s="348"/>
      <c r="AI2" s="74"/>
      <c r="AJ2" s="75"/>
    </row>
    <row r="3" spans="1:38" s="80" customFormat="1" ht="79.5" thickBot="1">
      <c r="A3" s="77" t="s">
        <v>115</v>
      </c>
      <c r="B3" s="78" t="s">
        <v>116</v>
      </c>
      <c r="C3" s="78" t="s">
        <v>117</v>
      </c>
      <c r="D3" s="78" t="s">
        <v>118</v>
      </c>
      <c r="E3" s="78" t="s">
        <v>151</v>
      </c>
      <c r="F3" s="78" t="s">
        <v>152</v>
      </c>
      <c r="G3" s="78" t="s">
        <v>153</v>
      </c>
      <c r="H3" s="78" t="s">
        <v>119</v>
      </c>
      <c r="I3" s="78" t="s">
        <v>154</v>
      </c>
      <c r="J3" s="78" t="s">
        <v>120</v>
      </c>
      <c r="K3" s="78" t="s">
        <v>121</v>
      </c>
      <c r="L3" s="78" t="s">
        <v>122</v>
      </c>
      <c r="M3" s="78" t="s">
        <v>123</v>
      </c>
      <c r="N3" s="78" t="s">
        <v>155</v>
      </c>
      <c r="O3" s="78" t="s">
        <v>124</v>
      </c>
      <c r="P3" s="78" t="s">
        <v>156</v>
      </c>
      <c r="Q3" s="78" t="s">
        <v>125</v>
      </c>
      <c r="R3" s="78" t="s">
        <v>126</v>
      </c>
      <c r="S3" s="78" t="s">
        <v>133</v>
      </c>
      <c r="T3" s="78" t="s">
        <v>134</v>
      </c>
      <c r="U3" s="78" t="s">
        <v>135</v>
      </c>
      <c r="V3" s="78" t="s">
        <v>136</v>
      </c>
      <c r="W3" s="78" t="s">
        <v>137</v>
      </c>
      <c r="X3" s="77" t="s">
        <v>138</v>
      </c>
      <c r="Y3" s="77" t="s">
        <v>139</v>
      </c>
      <c r="Z3" s="78" t="s">
        <v>140</v>
      </c>
      <c r="AA3" s="78" t="s">
        <v>141</v>
      </c>
      <c r="AB3" s="78" t="s">
        <v>142</v>
      </c>
      <c r="AC3" s="78" t="s">
        <v>143</v>
      </c>
      <c r="AD3" s="78" t="s">
        <v>144</v>
      </c>
      <c r="AE3" s="78" t="s">
        <v>145</v>
      </c>
      <c r="AF3" s="78" t="s">
        <v>146</v>
      </c>
      <c r="AG3" s="78" t="s">
        <v>147</v>
      </c>
      <c r="AH3" s="79" t="s">
        <v>137</v>
      </c>
      <c r="AI3" s="95" t="s">
        <v>148</v>
      </c>
      <c r="AJ3" s="95" t="s">
        <v>149</v>
      </c>
      <c r="AK3" s="95" t="s">
        <v>61</v>
      </c>
      <c r="AL3" s="76"/>
    </row>
    <row r="4" spans="1:38" ht="67.5">
      <c r="A4" s="88" t="str">
        <f>MHSGC!B23</f>
        <v>SGC - Manufactured Homes - Heating Zone 3</v>
      </c>
      <c r="B4" s="81" t="str">
        <f>VLOOKUP($A4,'Lookup Table'!$A$4:$D$7,2,0)</f>
        <v>Certified Super Good Cents under Northwest Energy Efficient Manufactured Home Program</v>
      </c>
      <c r="C4" s="81" t="str">
        <f>VLOOKUP($A4,'Lookup Table'!$A$4:$D$7,3,0)</f>
        <v>New manufactured homes built under HUD standards w/Electric Heat</v>
      </c>
      <c r="D4" s="81" t="str">
        <f>VLOOKUP($A4,'Lookup Table'!$A$4:$D$7,4,0)</f>
        <v>Heating Zone 3</v>
      </c>
      <c r="E4" s="82">
        <f>MHSGC!E23</f>
        <v>1496.83</v>
      </c>
      <c r="F4" s="82">
        <f>MHSGC!F23</f>
        <v>0</v>
      </c>
      <c r="G4" s="82">
        <f>MHSGC!G23</f>
        <v>0</v>
      </c>
      <c r="H4" s="83">
        <f>MHSGC!C23</f>
        <v>45</v>
      </c>
      <c r="I4" s="83" t="s">
        <v>162</v>
      </c>
      <c r="J4" s="96">
        <f>MHSGC!D23</f>
        <v>4520.304058472586</v>
      </c>
      <c r="K4" s="96">
        <f>MHSGC!K23</f>
        <v>4864.977242931121</v>
      </c>
      <c r="L4" s="85">
        <f>MHSGC!J23</f>
        <v>0.3659999966621399</v>
      </c>
      <c r="M4" s="90">
        <f>MHSGC!L23</f>
        <v>1.141925539142538</v>
      </c>
      <c r="N4" s="89">
        <f>MHSGC!N23/MHSGC!K23</f>
        <v>0.30767410506813775</v>
      </c>
      <c r="O4" s="89">
        <f>MHSGC!O23/MHSGC!$K23</f>
        <v>0</v>
      </c>
      <c r="P4" s="89">
        <f>MHSGC!P23/MHSGC!$K23</f>
        <v>0</v>
      </c>
      <c r="Q4" s="89">
        <f>SUM(N4:O4)</f>
        <v>0.30767410506813775</v>
      </c>
      <c r="R4" s="84">
        <f>MHSGC!S23/MHSGC!K23</f>
        <v>0.4153299011418743</v>
      </c>
      <c r="S4" s="84">
        <f>MHSGC!T23/MHSGC!$K23</f>
        <v>0.012987892708342396</v>
      </c>
      <c r="T4" s="84">
        <f>MHSGC!U23/MHSGC!$K23</f>
        <v>0.06535748496335873</v>
      </c>
      <c r="U4" s="84">
        <f>SUM(R4:T4)</f>
        <v>0.4936752788135754</v>
      </c>
      <c r="V4" s="84">
        <f>U4-Q4</f>
        <v>0.18600117374543768</v>
      </c>
      <c r="W4" s="85">
        <f>U4/Q4</f>
        <v>1.604539578344579</v>
      </c>
      <c r="X4" s="85">
        <f>MHSGC!I23</f>
        <v>0.178</v>
      </c>
      <c r="Y4" s="90">
        <f>MHSGC!M23</f>
        <v>3.1200151443481445</v>
      </c>
      <c r="Z4" s="85">
        <f>MHSGC!Y23/MHSGC!K23</f>
        <v>0.23657367334691765</v>
      </c>
      <c r="AA4" s="84"/>
      <c r="AB4" s="91"/>
      <c r="AC4" s="84">
        <f>MHSGC!Z23/MHSGC!$K23</f>
        <v>0</v>
      </c>
      <c r="AD4" s="84">
        <f>MHSGC!AA23/MHSGC!$K23</f>
        <v>0</v>
      </c>
      <c r="AE4" s="84">
        <f>MHSGC!AC23/MHSGC!$K23</f>
        <v>0.3076741040923364</v>
      </c>
      <c r="AF4" s="84">
        <f>MHSGC!AB23/MHSGC!$K23</f>
        <v>0.7296600003695554</v>
      </c>
      <c r="AG4" s="84">
        <f>AF4-AE4</f>
        <v>0.42198589627721894</v>
      </c>
      <c r="AH4" s="85">
        <f>AF4/AE4</f>
        <v>2.371535305261103</v>
      </c>
      <c r="AI4" s="97" t="s">
        <v>265</v>
      </c>
      <c r="AJ4" s="97" t="s">
        <v>163</v>
      </c>
      <c r="AK4" s="343">
        <f>VLOOKUP(A4,MHSGC!$B$23:$R$26,17,0)</f>
        <v>16.681322541187875</v>
      </c>
      <c r="AL4" s="76"/>
    </row>
    <row r="5" spans="1:37" ht="67.5">
      <c r="A5" s="88" t="str">
        <f>MHSGC!B24</f>
        <v>SGC - Manufactured Homes - Heating Zone 2</v>
      </c>
      <c r="B5" s="81" t="str">
        <f>VLOOKUP($A5,'Lookup Table'!$A$4:$D$7,2,0)</f>
        <v>Certified Super Good Cents under Northwest Energy Efficient Manufactured Home Program</v>
      </c>
      <c r="C5" s="81" t="str">
        <f>VLOOKUP($A5,'Lookup Table'!$A$4:$D$7,3,0)</f>
        <v>New manufactured homes built under HUD standards w/Electric Heat</v>
      </c>
      <c r="D5" s="81" t="str">
        <f>VLOOKUP($A5,'Lookup Table'!$A$4:$D$7,4,0)</f>
        <v>Heating Zone 2</v>
      </c>
      <c r="E5" s="82">
        <f>MHSGC!E24</f>
        <v>1424.98</v>
      </c>
      <c r="F5" s="82">
        <f>MHSGC!F24</f>
        <v>0</v>
      </c>
      <c r="G5" s="82">
        <f>MHSGC!G24</f>
        <v>0</v>
      </c>
      <c r="H5" s="83">
        <f>MHSGC!C24</f>
        <v>45</v>
      </c>
      <c r="I5" s="83" t="s">
        <v>162</v>
      </c>
      <c r="J5" s="96">
        <f>MHSGC!D24</f>
        <v>3759.6353362722493</v>
      </c>
      <c r="K5" s="96">
        <f>MHSGC!K24</f>
        <v>4046.307530663008</v>
      </c>
      <c r="L5" s="85">
        <f>MHSGC!J24</f>
        <v>0.3659999966621399</v>
      </c>
      <c r="M5" s="90">
        <f>MHSGC!L24</f>
        <v>0.9497643416940207</v>
      </c>
      <c r="N5" s="89">
        <f>MHSGC!N24/MHSGC!K24</f>
        <v>0.35216732620189006</v>
      </c>
      <c r="O5" s="89">
        <f>MHSGC!O24/MHSGC!$K24</f>
        <v>0</v>
      </c>
      <c r="P5" s="89">
        <f>MHSGC!P24/MHSGC!$K24</f>
        <v>0</v>
      </c>
      <c r="Q5" s="89">
        <f>SUM(N5:O5)</f>
        <v>0.35216732620189006</v>
      </c>
      <c r="R5" s="84">
        <f>MHSGC!S24/MHSGC!K24</f>
        <v>0.41532990114187396</v>
      </c>
      <c r="S5" s="84">
        <f>MHSGC!T24/MHSGC!$K24</f>
        <v>0.012987892945594288</v>
      </c>
      <c r="T5" s="84">
        <f>MHSGC!U24/MHSGC!$K24</f>
        <v>0.06535747701131434</v>
      </c>
      <c r="U5" s="84">
        <f>SUM(R5:T5)</f>
        <v>0.49367527109878256</v>
      </c>
      <c r="V5" s="84">
        <f>U5-Q5</f>
        <v>0.1415079448968925</v>
      </c>
      <c r="W5" s="85">
        <f>U5/Q5</f>
        <v>1.4018201984353569</v>
      </c>
      <c r="X5" s="85">
        <f>MHSGC!I24</f>
        <v>0.178</v>
      </c>
      <c r="Y5" s="90">
        <f>MHSGC!M24</f>
        <v>2.594984531402588</v>
      </c>
      <c r="Z5" s="85">
        <f>MHSGC!Y24/MHSGC!K24</f>
        <v>0.23657365353604864</v>
      </c>
      <c r="AA5" s="84"/>
      <c r="AB5" s="91"/>
      <c r="AC5" s="84">
        <f>MHSGC!Z24/MHSGC!$K24</f>
        <v>0</v>
      </c>
      <c r="AD5" s="84">
        <f>MHSGC!AA24/MHSGC!$K24</f>
        <v>0</v>
      </c>
      <c r="AE5" s="84">
        <f>MHSGC!AC24/MHSGC!$K24</f>
        <v>0.35216732394247485</v>
      </c>
      <c r="AF5" s="84">
        <f>MHSGC!AB24/MHSGC!$K24</f>
        <v>0.7296599896483226</v>
      </c>
      <c r="AG5" s="84">
        <f>AF5-AE5</f>
        <v>0.3774926657058477</v>
      </c>
      <c r="AH5" s="85">
        <f>AF5/AE5</f>
        <v>2.07191280974015</v>
      </c>
      <c r="AI5" s="97" t="s">
        <v>265</v>
      </c>
      <c r="AJ5" s="97" t="s">
        <v>163</v>
      </c>
      <c r="AK5" s="343">
        <f>VLOOKUP(A5,MHSGC!$B$23:$R$26,17,0)</f>
        <v>19.093633534020743</v>
      </c>
    </row>
    <row r="6" spans="1:37" ht="67.5">
      <c r="A6" s="88" t="str">
        <f>MHSGC!B25</f>
        <v>SGC - Manufactured Homes - PNW Average Climate</v>
      </c>
      <c r="B6" s="81" t="str">
        <f>VLOOKUP($A6,'Lookup Table'!$A$4:$D$7,2,0)</f>
        <v>Certified Super Good Cents under Northwest Energy Efficient Manufactured Home Program</v>
      </c>
      <c r="C6" s="81" t="str">
        <f>VLOOKUP($A6,'Lookup Table'!$A$4:$D$7,3,0)</f>
        <v>New manufactured homes built under HUD standards w/Electric Heat</v>
      </c>
      <c r="D6" s="81" t="str">
        <f>VLOOKUP($A6,'Lookup Table'!$A$4:$D$7,4,0)</f>
        <v>PNW Average Climate</v>
      </c>
      <c r="E6" s="82">
        <f>MHSGC!E25</f>
        <v>1424.98</v>
      </c>
      <c r="F6" s="82">
        <f>MHSGC!F25</f>
        <v>0</v>
      </c>
      <c r="G6" s="82">
        <f>MHSGC!G25</f>
        <v>0</v>
      </c>
      <c r="H6" s="83">
        <f>MHSGC!C25</f>
        <v>45</v>
      </c>
      <c r="I6" s="83" t="s">
        <v>162</v>
      </c>
      <c r="J6" s="96">
        <f>MHSGC!D25</f>
        <v>3103.7085702248633</v>
      </c>
      <c r="K6" s="96">
        <f>MHSGC!K25</f>
        <v>3340.3663487045087</v>
      </c>
      <c r="L6" s="85">
        <f>MHSGC!J25</f>
        <v>0.3659999668598175</v>
      </c>
      <c r="M6" s="90">
        <f>MHSGC!L25</f>
        <v>0.7840632038352154</v>
      </c>
      <c r="N6" s="89">
        <f>MHSGC!N25/MHSGC!K25</f>
        <v>0.42659312042728825</v>
      </c>
      <c r="O6" s="89">
        <f>MHSGC!O25/MHSGC!$K25</f>
        <v>0</v>
      </c>
      <c r="P6" s="89">
        <f>MHSGC!P25/MHSGC!$K25</f>
        <v>0</v>
      </c>
      <c r="Q6" s="89">
        <f>SUM(N6:O6)</f>
        <v>0.42659312042728825</v>
      </c>
      <c r="R6" s="84">
        <f>MHSGC!S25/MHSGC!K25</f>
        <v>0.41532990114187485</v>
      </c>
      <c r="S6" s="84">
        <f>MHSGC!T25/MHSGC!$K25</f>
        <v>0.01298789257718562</v>
      </c>
      <c r="T6" s="84">
        <f>MHSGC!U25/MHSGC!$K25</f>
        <v>0.06535748615488399</v>
      </c>
      <c r="U6" s="84">
        <f>SUM(R6:T6)</f>
        <v>0.49367527987394444</v>
      </c>
      <c r="V6" s="84">
        <f>U6-Q6</f>
        <v>0.06708215944665619</v>
      </c>
      <c r="W6" s="85">
        <f>U6/Q6</f>
        <v>1.157250917172468</v>
      </c>
      <c r="X6" s="85">
        <f>MHSGC!I25</f>
        <v>0.17799999999999996</v>
      </c>
      <c r="Y6" s="90">
        <f>MHSGC!M25</f>
        <v>2.14224910736084</v>
      </c>
      <c r="Z6" s="85">
        <f>MHSGC!Y25/MHSGC!K25</f>
        <v>0.23657372797697898</v>
      </c>
      <c r="AA6" s="84"/>
      <c r="AB6" s="91"/>
      <c r="AC6" s="84">
        <f>MHSGC!Z25/MHSGC!$K25</f>
        <v>0</v>
      </c>
      <c r="AD6" s="84">
        <f>MHSGC!AA25/MHSGC!$K25</f>
        <v>0</v>
      </c>
      <c r="AE6" s="84">
        <f>MHSGC!AC25/MHSGC!$K25</f>
        <v>0.4265931176903763</v>
      </c>
      <c r="AF6" s="84">
        <f>MHSGC!AB25/MHSGC!$K25</f>
        <v>0.7296600961733638</v>
      </c>
      <c r="AG6" s="84">
        <f>AF6-AE6</f>
        <v>0.3030669784829875</v>
      </c>
      <c r="AH6" s="85">
        <f>AF6/AE6</f>
        <v>1.7104356960183198</v>
      </c>
      <c r="AI6" s="97" t="s">
        <v>265</v>
      </c>
      <c r="AJ6" s="97" t="s">
        <v>163</v>
      </c>
      <c r="AK6" s="343">
        <f>VLOOKUP(A6,MHSGC!$B$23:$R$26,17,0)</f>
        <v>23.128814354865913</v>
      </c>
    </row>
    <row r="7" spans="1:37" ht="67.5">
      <c r="A7" s="88" t="str">
        <f>MHSGC!B26</f>
        <v>SGC - Manufactured Homes - Heating Zone 1</v>
      </c>
      <c r="B7" s="81" t="str">
        <f>VLOOKUP($A7,'Lookup Table'!$A$4:$D$7,2,0)</f>
        <v>Certified Super Good Cents under Northwest Energy Efficient Manufactured Home Program</v>
      </c>
      <c r="C7" s="81" t="str">
        <f>VLOOKUP($A7,'Lookup Table'!$A$4:$D$7,3,0)</f>
        <v>New manufactured homes built under HUD standards w/Electric Heat</v>
      </c>
      <c r="D7" s="81" t="str">
        <f>VLOOKUP($A7,'Lookup Table'!$A$4:$D$7,4,0)</f>
        <v>Heating Zone 1</v>
      </c>
      <c r="E7" s="82">
        <f>MHSGC!E26</f>
        <v>1389.12</v>
      </c>
      <c r="F7" s="82">
        <f>MHSGC!F26</f>
        <v>0</v>
      </c>
      <c r="G7" s="82">
        <f>MHSGC!G26</f>
        <v>0</v>
      </c>
      <c r="H7" s="83">
        <f>MHSGC!C26</f>
        <v>45</v>
      </c>
      <c r="I7" s="83" t="s">
        <v>162</v>
      </c>
      <c r="J7" s="96">
        <f>MHSGC!D26</f>
        <v>2817.281395514231</v>
      </c>
      <c r="K7" s="96">
        <f>MHSGC!K26</f>
        <v>3032.099101922191</v>
      </c>
      <c r="L7" s="85">
        <f>MHSGC!J26</f>
        <v>0.3659999966621399</v>
      </c>
      <c r="M7" s="90">
        <f>MHSGC!L26</f>
        <v>0.7117055699956386</v>
      </c>
      <c r="N7" s="89">
        <f>MHSGC!N26/MHSGC!K26</f>
        <v>0.45813908111806073</v>
      </c>
      <c r="O7" s="89">
        <f>MHSGC!O26/MHSGC!$K26</f>
        <v>0</v>
      </c>
      <c r="P7" s="89">
        <f>MHSGC!P26/MHSGC!$K26</f>
        <v>0</v>
      </c>
      <c r="Q7" s="89">
        <f>SUM(N7:O7)</f>
        <v>0.45813908111806073</v>
      </c>
      <c r="R7" s="84">
        <f>MHSGC!S26/MHSGC!K26</f>
        <v>0.41532990114187296</v>
      </c>
      <c r="S7" s="84">
        <f>MHSGC!T26/MHSGC!$K26</f>
        <v>0.012987892467774926</v>
      </c>
      <c r="T7" s="84">
        <f>MHSGC!U26/MHSGC!$K26</f>
        <v>0.06535747759545991</v>
      </c>
      <c r="U7" s="84">
        <f>SUM(R7:T7)</f>
        <v>0.4936752712051078</v>
      </c>
      <c r="V7" s="84">
        <f>U7-Q7</f>
        <v>0.03553619008704706</v>
      </c>
      <c r="W7" s="85">
        <f>U7/Q7</f>
        <v>1.0775663800615376</v>
      </c>
      <c r="X7" s="85">
        <f>MHSGC!I26</f>
        <v>0.178</v>
      </c>
      <c r="Y7" s="90">
        <f>MHSGC!M26</f>
        <v>1.9445507526397705</v>
      </c>
      <c r="Z7" s="85">
        <f>MHSGC!Y26/MHSGC!K26</f>
        <v>0.23657361191648685</v>
      </c>
      <c r="AA7" s="84"/>
      <c r="AB7" s="91"/>
      <c r="AC7" s="84">
        <f>MHSGC!Z26/MHSGC!$K26</f>
        <v>0</v>
      </c>
      <c r="AD7" s="84">
        <f>MHSGC!AA26/MHSGC!$K26</f>
        <v>0</v>
      </c>
      <c r="AE7" s="84">
        <f>MHSGC!AC26/MHSGC!$K26</f>
        <v>0.4581390647800295</v>
      </c>
      <c r="AF7" s="84">
        <f>MHSGC!AB26/MHSGC!$K26</f>
        <v>0.7296599790504718</v>
      </c>
      <c r="AG7" s="84">
        <f>AF7-AE7</f>
        <v>0.2715209142704422</v>
      </c>
      <c r="AH7" s="85">
        <f>AF7/AE7</f>
        <v>1.592660471773587</v>
      </c>
      <c r="AI7" s="97" t="s">
        <v>265</v>
      </c>
      <c r="AJ7" s="97" t="s">
        <v>163</v>
      </c>
      <c r="AK7" s="343">
        <f>VLOOKUP(A7,MHSGC!$B$23:$R$26,17,0)</f>
        <v>24.83915683370147</v>
      </c>
    </row>
    <row r="9" ht="12.75">
      <c r="I9" s="94"/>
    </row>
    <row r="10" ht="12.75">
      <c r="I10" s="94"/>
    </row>
    <row r="11" ht="12.75">
      <c r="I11" s="94"/>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45</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157</v>
      </c>
      <c r="E8" s="31" t="b">
        <v>0</v>
      </c>
      <c r="F8" s="16"/>
      <c r="G8" s="5"/>
      <c r="H8" s="5"/>
      <c r="I8"/>
      <c r="J8"/>
      <c r="K8"/>
    </row>
    <row r="9" spans="1:11" ht="15" customHeight="1">
      <c r="A9" s="17" t="s">
        <v>24</v>
      </c>
      <c r="B9" s="21">
        <v>1</v>
      </c>
      <c r="C9" s="4"/>
      <c r="D9" s="92" t="s">
        <v>260</v>
      </c>
      <c r="E9" s="31" t="b">
        <v>1</v>
      </c>
      <c r="F9"/>
      <c r="G9" s="5"/>
      <c r="H9" s="5"/>
      <c r="I9"/>
      <c r="J9"/>
      <c r="K9"/>
    </row>
    <row r="10" spans="1:10" ht="15" customHeight="1">
      <c r="A10" s="17" t="s">
        <v>25</v>
      </c>
      <c r="B10" s="21">
        <v>0</v>
      </c>
      <c r="C10" s="4"/>
      <c r="D10" s="30" t="s">
        <v>261</v>
      </c>
      <c r="E10" s="32" t="b">
        <v>1</v>
      </c>
      <c r="F10" s="8"/>
      <c r="G10" s="9"/>
      <c r="H10" s="5"/>
      <c r="I10"/>
      <c r="J10"/>
    </row>
    <row r="11" spans="1:11" s="10" customFormat="1" ht="15" customHeight="1">
      <c r="A11" s="87" t="s">
        <v>26</v>
      </c>
      <c r="B11" s="21">
        <v>0</v>
      </c>
      <c r="C11" s="4"/>
      <c r="D11" s="30" t="s">
        <v>262</v>
      </c>
      <c r="E11" s="32" t="b">
        <v>1</v>
      </c>
      <c r="F11" s="5"/>
      <c r="G11" s="5"/>
      <c r="H11" s="5"/>
      <c r="I11"/>
      <c r="J11"/>
      <c r="K11" s="3"/>
    </row>
    <row r="12" spans="1:10" ht="15" customHeight="1">
      <c r="A12" s="17" t="s">
        <v>27</v>
      </c>
      <c r="B12" s="18">
        <v>45</v>
      </c>
      <c r="C12" s="4"/>
      <c r="D12" s="30" t="s">
        <v>273</v>
      </c>
      <c r="E12" s="32" t="b">
        <v>1</v>
      </c>
      <c r="F12" s="4"/>
      <c r="G12" s="5"/>
      <c r="H12" s="5"/>
      <c r="I12"/>
      <c r="J12" s="11"/>
    </row>
    <row r="13" spans="1:9" ht="15" customHeight="1">
      <c r="A13" s="34" t="s">
        <v>29</v>
      </c>
      <c r="B13" s="20">
        <v>0.025</v>
      </c>
      <c r="C13" s="4"/>
      <c r="D13" s="17" t="s">
        <v>263</v>
      </c>
      <c r="E13" s="33" t="b">
        <v>0</v>
      </c>
      <c r="F13" s="4"/>
      <c r="G13" s="5"/>
      <c r="H13" s="5"/>
      <c r="I13"/>
    </row>
    <row r="14" spans="1:9" ht="15" customHeight="1">
      <c r="A14" s="34" t="s">
        <v>28</v>
      </c>
      <c r="B14" s="22">
        <v>3</v>
      </c>
      <c r="C14" s="4"/>
      <c r="D14" s="17" t="s">
        <v>286</v>
      </c>
      <c r="E14" s="33" t="b">
        <v>0</v>
      </c>
      <c r="F14" s="5"/>
      <c r="G14" s="5"/>
      <c r="H14" s="5"/>
      <c r="I14"/>
    </row>
    <row r="15" spans="1:9" ht="14.25">
      <c r="A15" s="34" t="s">
        <v>30</v>
      </c>
      <c r="B15" s="20">
        <v>0.05</v>
      </c>
      <c r="C15" s="4"/>
      <c r="D15" s="17" t="s">
        <v>264</v>
      </c>
      <c r="E15" s="33" t="b">
        <v>0</v>
      </c>
      <c r="F15" s="5"/>
      <c r="G15" s="13"/>
      <c r="H15" s="5"/>
      <c r="I15"/>
    </row>
    <row r="16" spans="1:9" ht="14.25">
      <c r="A16" s="34" t="s">
        <v>31</v>
      </c>
      <c r="B16" s="22">
        <v>20</v>
      </c>
      <c r="C16" s="4"/>
      <c r="D16" s="17"/>
      <c r="E16" s="33" t="b">
        <v>0</v>
      </c>
      <c r="F16" s="4"/>
      <c r="G16" s="5"/>
      <c r="H16" s="5"/>
      <c r="I16" s="5"/>
    </row>
    <row r="17" spans="1:9" ht="14.25">
      <c r="A17" s="17" t="s">
        <v>14</v>
      </c>
      <c r="B17" s="23">
        <v>0</v>
      </c>
      <c r="C17" s="4"/>
      <c r="D17" s="17"/>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349" t="s">
        <v>267</v>
      </c>
      <c r="C21" s="350"/>
      <c r="D21" s="351"/>
      <c r="E21" s="12"/>
      <c r="F21" s="5"/>
      <c r="G21" s="5"/>
      <c r="H21" s="14"/>
      <c r="I21" s="5"/>
    </row>
    <row r="22" spans="1:9" ht="14.25">
      <c r="A22" s="34" t="s">
        <v>0</v>
      </c>
      <c r="B22" s="7" t="s">
        <v>268</v>
      </c>
      <c r="C22" s="4"/>
      <c r="D22" s="4"/>
      <c r="E22" s="4"/>
      <c r="F22" s="5"/>
      <c r="G22" s="5"/>
      <c r="H22" s="5"/>
      <c r="I22" s="5"/>
    </row>
    <row r="23" spans="1:9" ht="14.25">
      <c r="A23" s="17" t="s">
        <v>19</v>
      </c>
      <c r="B23" s="7" t="s">
        <v>158</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O514"/>
  <sheetViews>
    <sheetView workbookViewId="0" topLeftCell="A1">
      <selection activeCell="K41" sqref="K41"/>
    </sheetView>
  </sheetViews>
  <sheetFormatPr defaultColWidth="9.140625" defaultRowHeight="12.75"/>
  <cols>
    <col min="1" max="1" width="46.8515625" style="37" customWidth="1"/>
    <col min="2" max="2" width="26.421875" style="37" customWidth="1"/>
    <col min="3" max="3" width="8.8515625" style="37" customWidth="1"/>
    <col min="4" max="4" width="8.57421875" style="37" customWidth="1"/>
    <col min="5" max="5" width="8.421875" style="37" customWidth="1"/>
    <col min="6" max="6" width="9.00390625" style="37" customWidth="1"/>
    <col min="7" max="7" width="12.71093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166</v>
      </c>
    </row>
    <row r="4" spans="1:23" ht="12.75">
      <c r="A4" s="40" t="s">
        <v>32</v>
      </c>
      <c r="B4" s="41"/>
      <c r="C4" s="42"/>
      <c r="D4" s="42"/>
      <c r="E4" s="42"/>
      <c r="F4" s="42"/>
      <c r="G4" s="42"/>
      <c r="H4" s="43"/>
      <c r="I4" s="44" t="s">
        <v>33</v>
      </c>
      <c r="J4" s="45"/>
      <c r="K4" s="45"/>
      <c r="L4" s="45"/>
      <c r="M4" s="45"/>
      <c r="N4" s="45"/>
      <c r="O4"/>
      <c r="P4"/>
      <c r="Q4"/>
      <c r="R4"/>
      <c r="S4"/>
      <c r="T4"/>
      <c r="U4"/>
      <c r="V4"/>
      <c r="W4"/>
    </row>
    <row r="5" spans="1:25" s="98" customFormat="1" ht="26.25" customHeight="1">
      <c r="A5" s="46" t="s">
        <v>34</v>
      </c>
      <c r="B5" s="46" t="s">
        <v>35</v>
      </c>
      <c r="C5" s="46" t="s">
        <v>128</v>
      </c>
      <c r="D5" s="46" t="s">
        <v>129</v>
      </c>
      <c r="E5" s="46" t="s">
        <v>36</v>
      </c>
      <c r="F5" s="46" t="s">
        <v>37</v>
      </c>
      <c r="G5" s="47" t="s">
        <v>38</v>
      </c>
      <c r="H5" s="47" t="s">
        <v>130</v>
      </c>
      <c r="I5" s="47" t="s">
        <v>39</v>
      </c>
      <c r="J5" s="47" t="s">
        <v>40</v>
      </c>
      <c r="K5" s="47" t="s">
        <v>41</v>
      </c>
      <c r="L5" s="47" t="s">
        <v>42</v>
      </c>
      <c r="M5" s="47" t="s">
        <v>43</v>
      </c>
      <c r="N5" s="47" t="s">
        <v>44</v>
      </c>
      <c r="O5"/>
      <c r="P5"/>
      <c r="Q5"/>
      <c r="R5"/>
      <c r="S5"/>
      <c r="T5"/>
      <c r="U5"/>
      <c r="V5"/>
      <c r="W5"/>
      <c r="X5"/>
      <c r="Y5"/>
    </row>
    <row r="6" spans="1:23" ht="12.75">
      <c r="A6" s="99" t="s">
        <v>167</v>
      </c>
      <c r="B6" s="99" t="s">
        <v>168</v>
      </c>
      <c r="C6" s="100">
        <f>'Cost-Effectiveness'!N4</f>
        <v>2817.281395514231</v>
      </c>
      <c r="D6" s="101">
        <v>45</v>
      </c>
      <c r="E6" s="102">
        <f>'Cost-Effectiveness'!O4</f>
        <v>1389.122808</v>
      </c>
      <c r="F6" s="101">
        <v>0</v>
      </c>
      <c r="G6" s="99" t="s">
        <v>169</v>
      </c>
      <c r="H6"/>
      <c r="I6"/>
      <c r="J6"/>
      <c r="K6"/>
      <c r="L6"/>
      <c r="M6"/>
      <c r="N6"/>
      <c r="O6"/>
      <c r="P6"/>
      <c r="Q6"/>
      <c r="R6"/>
      <c r="S6"/>
      <c r="T6"/>
      <c r="U6"/>
      <c r="V6"/>
      <c r="W6"/>
    </row>
    <row r="7" spans="1:23" ht="12.75">
      <c r="A7" s="99" t="s">
        <v>170</v>
      </c>
      <c r="B7" s="99" t="s">
        <v>171</v>
      </c>
      <c r="C7" s="100">
        <f>'Cost-Effectiveness'!N5</f>
        <v>3759.6353362722493</v>
      </c>
      <c r="D7" s="101">
        <v>45</v>
      </c>
      <c r="E7" s="102">
        <f>'Cost-Effectiveness'!O5</f>
        <v>1424.976972</v>
      </c>
      <c r="F7" s="101">
        <v>0</v>
      </c>
      <c r="G7" s="99" t="s">
        <v>169</v>
      </c>
      <c r="H7"/>
      <c r="I7"/>
      <c r="J7"/>
      <c r="K7"/>
      <c r="L7"/>
      <c r="M7"/>
      <c r="N7"/>
      <c r="O7"/>
      <c r="P7"/>
      <c r="Q7"/>
      <c r="R7"/>
      <c r="S7"/>
      <c r="T7"/>
      <c r="U7"/>
      <c r="V7"/>
      <c r="W7"/>
    </row>
    <row r="8" spans="1:7" ht="12.75" customHeight="1">
      <c r="A8" s="99" t="s">
        <v>172</v>
      </c>
      <c r="B8" s="99" t="s">
        <v>173</v>
      </c>
      <c r="C8" s="100">
        <f>'Cost-Effectiveness'!N6</f>
        <v>4520.304058472586</v>
      </c>
      <c r="D8" s="101">
        <v>45</v>
      </c>
      <c r="E8" s="102">
        <f>'Cost-Effectiveness'!O6</f>
        <v>1496.8272120000001</v>
      </c>
      <c r="F8" s="101">
        <v>0</v>
      </c>
      <c r="G8" s="99" t="s">
        <v>169</v>
      </c>
    </row>
    <row r="9" spans="1:7" ht="12.75" customHeight="1">
      <c r="A9" s="99" t="s">
        <v>284</v>
      </c>
      <c r="B9" s="99" t="s">
        <v>283</v>
      </c>
      <c r="C9" s="100">
        <f>'Cost-Effectiveness'!N7</f>
        <v>3103.7085702248633</v>
      </c>
      <c r="D9" s="101">
        <v>45</v>
      </c>
      <c r="E9" s="102">
        <f>'Cost-Effectiveness'!O7</f>
        <v>1424.976972</v>
      </c>
      <c r="F9" s="101">
        <v>0</v>
      </c>
      <c r="G9" s="99" t="s">
        <v>169</v>
      </c>
    </row>
    <row r="10" spans="1:41" ht="12.75" customHeight="1">
      <c r="A10"/>
      <c r="B10"/>
      <c r="C10"/>
      <c r="D10"/>
      <c r="E10"/>
      <c r="F10"/>
      <c r="G10"/>
      <c r="H10"/>
      <c r="I10"/>
      <c r="J10"/>
      <c r="K10"/>
      <c r="L10"/>
      <c r="M10"/>
      <c r="N10"/>
      <c r="O10"/>
      <c r="P10"/>
      <c r="Q10"/>
      <c r="R10"/>
      <c r="S10"/>
      <c r="T10"/>
      <c r="U10"/>
      <c r="V10"/>
      <c r="W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Z11"/>
      <c r="AA11"/>
      <c r="AB11"/>
      <c r="AC11"/>
      <c r="AD11"/>
      <c r="AE11"/>
      <c r="AF11"/>
      <c r="AG11"/>
      <c r="AH11"/>
      <c r="AI11"/>
      <c r="AJ11"/>
      <c r="AK11"/>
      <c r="AL11"/>
      <c r="AM11"/>
      <c r="AN11"/>
      <c r="AO11"/>
    </row>
    <row r="12" spans="1:41" ht="12.75" customHeight="1" thickBot="1">
      <c r="A12" s="86" t="s">
        <v>300</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131</v>
      </c>
      <c r="B13" s="53"/>
      <c r="C13" s="54" t="s">
        <v>78</v>
      </c>
      <c r="D13" s="56"/>
      <c r="E13" s="56"/>
      <c r="F13" s="56"/>
      <c r="G13" s="56"/>
      <c r="H13" s="56"/>
      <c r="I13" s="56"/>
      <c r="J13" s="55"/>
      <c r="K13" s="54" t="s">
        <v>45</v>
      </c>
      <c r="L13" s="56"/>
      <c r="M13" s="55"/>
      <c r="N13" s="54" t="s">
        <v>46</v>
      </c>
      <c r="O13" s="56"/>
      <c r="P13" s="56"/>
      <c r="Q13" s="55"/>
      <c r="R13" s="54" t="s">
        <v>47</v>
      </c>
      <c r="S13" s="55"/>
      <c r="T13" s="54" t="s">
        <v>48</v>
      </c>
      <c r="U13" s="56"/>
      <c r="V13" s="56"/>
      <c r="W13" s="56"/>
      <c r="X13" s="55"/>
      <c r="Y13" s="54" t="s">
        <v>49</v>
      </c>
      <c r="Z13" s="56"/>
      <c r="AA13" s="56"/>
      <c r="AB13" s="56"/>
      <c r="AC13" s="55"/>
      <c r="AD13" s="54" t="s">
        <v>79</v>
      </c>
      <c r="AE13" s="56"/>
      <c r="AF13" s="56"/>
      <c r="AG13" s="56"/>
      <c r="AH13" s="56"/>
      <c r="AI13" s="55"/>
      <c r="AJ13" s="54" t="s">
        <v>80</v>
      </c>
      <c r="AK13" s="56"/>
      <c r="AL13" s="56"/>
      <c r="AM13" s="56"/>
      <c r="AN13" s="56"/>
      <c r="AO13" s="55"/>
    </row>
    <row r="14" spans="1:41" ht="51">
      <c r="A14" s="57" t="s">
        <v>51</v>
      </c>
      <c r="B14" s="58" t="s">
        <v>52</v>
      </c>
      <c r="C14" s="59" t="s">
        <v>81</v>
      </c>
      <c r="D14" s="59" t="s">
        <v>82</v>
      </c>
      <c r="E14" s="59" t="s">
        <v>83</v>
      </c>
      <c r="F14" s="59" t="s">
        <v>84</v>
      </c>
      <c r="G14" s="59" t="s">
        <v>150</v>
      </c>
      <c r="H14" s="59" t="s">
        <v>86</v>
      </c>
      <c r="I14" s="59" t="s">
        <v>87</v>
      </c>
      <c r="J14" s="59" t="s">
        <v>88</v>
      </c>
      <c r="K14" s="59" t="s">
        <v>89</v>
      </c>
      <c r="L14" s="59" t="s">
        <v>90</v>
      </c>
      <c r="M14" s="59" t="s">
        <v>91</v>
      </c>
      <c r="N14" s="59" t="s">
        <v>20</v>
      </c>
      <c r="O14" s="59" t="s">
        <v>21</v>
      </c>
      <c r="P14" s="59" t="s">
        <v>22</v>
      </c>
      <c r="Q14" s="59" t="s">
        <v>4</v>
      </c>
      <c r="R14" s="59" t="s">
        <v>53</v>
      </c>
      <c r="S14" s="59" t="s">
        <v>4</v>
      </c>
      <c r="T14" s="59" t="s">
        <v>20</v>
      </c>
      <c r="U14" s="59" t="s">
        <v>21</v>
      </c>
      <c r="V14" s="59" t="s">
        <v>22</v>
      </c>
      <c r="W14" s="59" t="s">
        <v>4</v>
      </c>
      <c r="X14" s="59" t="s">
        <v>57</v>
      </c>
      <c r="Y14" s="59" t="s">
        <v>20</v>
      </c>
      <c r="Z14" s="59" t="s">
        <v>21</v>
      </c>
      <c r="AA14" s="59" t="s">
        <v>22</v>
      </c>
      <c r="AB14" s="59" t="s">
        <v>4</v>
      </c>
      <c r="AC14" s="59" t="s">
        <v>57</v>
      </c>
      <c r="AD14" s="59" t="s">
        <v>92</v>
      </c>
      <c r="AE14" s="59" t="s">
        <v>93</v>
      </c>
      <c r="AF14" s="59" t="s">
        <v>56</v>
      </c>
      <c r="AG14" s="59" t="s">
        <v>94</v>
      </c>
      <c r="AH14" s="59" t="s">
        <v>95</v>
      </c>
      <c r="AI14" s="59" t="s">
        <v>96</v>
      </c>
      <c r="AJ14" s="59" t="s">
        <v>97</v>
      </c>
      <c r="AK14" s="59" t="s">
        <v>54</v>
      </c>
      <c r="AL14" s="59" t="s">
        <v>55</v>
      </c>
      <c r="AM14" s="59" t="s">
        <v>98</v>
      </c>
      <c r="AN14" s="59" t="s">
        <v>99</v>
      </c>
      <c r="AO14" s="59" t="s">
        <v>100</v>
      </c>
    </row>
    <row r="15" spans="1:41" ht="12.75" customHeight="1">
      <c r="A15" t="s">
        <v>167</v>
      </c>
      <c r="B15" t="s">
        <v>168</v>
      </c>
      <c r="C15" s="49">
        <v>45</v>
      </c>
      <c r="D15" s="49">
        <v>2817.281395514231</v>
      </c>
      <c r="E15" s="49">
        <v>1389.12</v>
      </c>
      <c r="F15" s="49">
        <v>0</v>
      </c>
      <c r="G15" s="49">
        <v>0</v>
      </c>
      <c r="H15" s="49" t="s">
        <v>169</v>
      </c>
      <c r="I15" s="49">
        <v>0.178</v>
      </c>
      <c r="J15" s="49">
        <v>0.3659999966621399</v>
      </c>
      <c r="K15" s="49">
        <v>3032.099101922191</v>
      </c>
      <c r="L15" s="60">
        <v>0.7117055699956386</v>
      </c>
      <c r="M15" s="49">
        <v>1.9445507554269863</v>
      </c>
      <c r="N15" s="49"/>
      <c r="O15" s="49"/>
      <c r="P15" s="49">
        <v>1389.1230964135298</v>
      </c>
      <c r="Q15" s="49">
        <v>0</v>
      </c>
      <c r="R15" s="49">
        <v>0</v>
      </c>
      <c r="S15" s="49">
        <v>0</v>
      </c>
      <c r="T15" s="49">
        <v>0</v>
      </c>
      <c r="U15" s="49">
        <v>0</v>
      </c>
      <c r="V15" s="49">
        <v>1389.1230964135298</v>
      </c>
      <c r="W15" s="49">
        <v>0</v>
      </c>
      <c r="X15" s="49">
        <v>1389.1230964135298</v>
      </c>
      <c r="Y15" s="49">
        <v>0</v>
      </c>
      <c r="Z15" s="49">
        <v>0</v>
      </c>
      <c r="AA15" s="49">
        <v>24.83915901184082</v>
      </c>
      <c r="AB15" s="49">
        <v>0</v>
      </c>
      <c r="AC15" s="49">
        <v>24.83915855768904</v>
      </c>
      <c r="AD15" s="49">
        <v>1259.3214202537054</v>
      </c>
      <c r="AE15" s="49">
        <v>39.38057764507179</v>
      </c>
      <c r="AF15" s="49">
        <v>198.17034912109375</v>
      </c>
      <c r="AG15" s="49">
        <v>1495.0865923889028</v>
      </c>
      <c r="AH15" s="49">
        <v>1389.1230964135298</v>
      </c>
      <c r="AI15" s="48">
        <v>1.0762808539062896</v>
      </c>
      <c r="AJ15" s="49">
        <v>717.3146362304688</v>
      </c>
      <c r="AK15" s="49">
        <v>0</v>
      </c>
      <c r="AL15" s="49">
        <v>0</v>
      </c>
      <c r="AM15" s="49">
        <v>2212.401123046875</v>
      </c>
      <c r="AN15" s="49">
        <v>1389.1230964135298</v>
      </c>
      <c r="AO15" s="48">
        <v>1.5926601886749268</v>
      </c>
    </row>
    <row r="16" spans="1:41" ht="12.75" customHeight="1">
      <c r="A16" t="s">
        <v>170</v>
      </c>
      <c r="B16" t="s">
        <v>171</v>
      </c>
      <c r="C16" s="49">
        <v>45</v>
      </c>
      <c r="D16" s="49">
        <v>3759.6353362722493</v>
      </c>
      <c r="E16" s="49">
        <v>1424.98</v>
      </c>
      <c r="F16" s="49">
        <v>0</v>
      </c>
      <c r="G16" s="49">
        <v>0</v>
      </c>
      <c r="H16" s="49" t="s">
        <v>169</v>
      </c>
      <c r="I16" s="49">
        <v>0.178</v>
      </c>
      <c r="J16" s="49">
        <v>0.3659999966621399</v>
      </c>
      <c r="K16" s="49">
        <v>4046.307530663008</v>
      </c>
      <c r="L16" s="60">
        <v>0.9497643416940207</v>
      </c>
      <c r="M16" s="49">
        <v>2.594984563813432</v>
      </c>
      <c r="N16" s="49"/>
      <c r="O16" s="49"/>
      <c r="P16" s="49">
        <v>1424.9773040641637</v>
      </c>
      <c r="Q16" s="49">
        <v>0</v>
      </c>
      <c r="R16" s="49">
        <v>0</v>
      </c>
      <c r="S16" s="49">
        <v>0</v>
      </c>
      <c r="T16" s="49">
        <v>0</v>
      </c>
      <c r="U16" s="49">
        <v>0</v>
      </c>
      <c r="V16" s="49">
        <v>1424.9773040641637</v>
      </c>
      <c r="W16" s="49">
        <v>0</v>
      </c>
      <c r="X16" s="49">
        <v>1424.9773040641637</v>
      </c>
      <c r="Y16" s="49">
        <v>0</v>
      </c>
      <c r="Z16" s="49">
        <v>0</v>
      </c>
      <c r="AA16" s="49">
        <v>19.0936336517334</v>
      </c>
      <c r="AB16" s="49">
        <v>0</v>
      </c>
      <c r="AC16" s="49">
        <v>19.093634258440257</v>
      </c>
      <c r="AD16" s="49">
        <v>1680.5525066998873</v>
      </c>
      <c r="AE16" s="49">
        <v>52.553007844003616</v>
      </c>
      <c r="AF16" s="49">
        <v>264.4564514160156</v>
      </c>
      <c r="AG16" s="49">
        <v>1995.1788933200241</v>
      </c>
      <c r="AH16" s="49">
        <v>1424.9773040641637</v>
      </c>
      <c r="AI16" s="48">
        <v>1.4001478392881024</v>
      </c>
      <c r="AJ16" s="49">
        <v>957.249755859375</v>
      </c>
      <c r="AK16" s="49">
        <v>0</v>
      </c>
      <c r="AL16" s="49">
        <v>0</v>
      </c>
      <c r="AM16" s="49">
        <v>2952.4287109375</v>
      </c>
      <c r="AN16" s="49">
        <v>1424.9773040641637</v>
      </c>
      <c r="AO16" s="48">
        <v>2.0719127655029297</v>
      </c>
    </row>
    <row r="17" spans="1:41" ht="12.75" customHeight="1">
      <c r="A17" t="s">
        <v>172</v>
      </c>
      <c r="B17" t="s">
        <v>173</v>
      </c>
      <c r="C17" s="49">
        <v>45</v>
      </c>
      <c r="D17" s="49">
        <v>4520.304058472586</v>
      </c>
      <c r="E17" s="49">
        <v>1496.83</v>
      </c>
      <c r="F17" s="49">
        <v>0</v>
      </c>
      <c r="G17" s="49">
        <v>0</v>
      </c>
      <c r="H17" s="49" t="s">
        <v>169</v>
      </c>
      <c r="I17" s="49">
        <v>0.178</v>
      </c>
      <c r="J17" s="49">
        <v>0.3659999966621399</v>
      </c>
      <c r="K17" s="49">
        <v>4864.977242931121</v>
      </c>
      <c r="L17" s="60">
        <v>1.141925539142538</v>
      </c>
      <c r="M17" s="49">
        <v>3.1200151627232575</v>
      </c>
      <c r="N17" s="49"/>
      <c r="O17" s="49"/>
      <c r="P17" s="49">
        <v>1496.8275193956888</v>
      </c>
      <c r="Q17" s="49">
        <v>0</v>
      </c>
      <c r="R17" s="49">
        <v>0</v>
      </c>
      <c r="S17" s="49">
        <v>0</v>
      </c>
      <c r="T17" s="49">
        <v>0</v>
      </c>
      <c r="U17" s="49">
        <v>0</v>
      </c>
      <c r="V17" s="49">
        <v>1496.8275193956888</v>
      </c>
      <c r="W17" s="49">
        <v>0</v>
      </c>
      <c r="X17" s="49">
        <v>1496.8275193956888</v>
      </c>
      <c r="Y17" s="49">
        <v>0</v>
      </c>
      <c r="Z17" s="49">
        <v>0</v>
      </c>
      <c r="AA17" s="49">
        <v>16.68132209777832</v>
      </c>
      <c r="AB17" s="49">
        <v>0</v>
      </c>
      <c r="AC17" s="49">
        <v>16.6813227573422</v>
      </c>
      <c r="AD17" s="49">
        <v>2020.5705173640504</v>
      </c>
      <c r="AE17" s="49">
        <v>63.18580218413742</v>
      </c>
      <c r="AF17" s="49">
        <v>317.9626770019531</v>
      </c>
      <c r="AG17" s="49">
        <v>2398.8537684196976</v>
      </c>
      <c r="AH17" s="49">
        <v>1496.8275193956888</v>
      </c>
      <c r="AI17" s="48">
        <v>1.6026253775639976</v>
      </c>
      <c r="AJ17" s="49">
        <v>1150.925537109375</v>
      </c>
      <c r="AK17" s="49">
        <v>0</v>
      </c>
      <c r="AL17" s="49">
        <v>0</v>
      </c>
      <c r="AM17" s="49">
        <v>3549.779296875</v>
      </c>
      <c r="AN17" s="49">
        <v>1496.8275193956888</v>
      </c>
      <c r="AO17" s="48">
        <v>2.371535301208496</v>
      </c>
    </row>
    <row r="18" spans="1:41" ht="12.75" customHeight="1">
      <c r="A18" t="s">
        <v>284</v>
      </c>
      <c r="B18" t="s">
        <v>283</v>
      </c>
      <c r="C18" s="49">
        <v>45</v>
      </c>
      <c r="D18" s="49">
        <v>3103.7085702248633</v>
      </c>
      <c r="E18" s="49">
        <v>1424.98</v>
      </c>
      <c r="F18" s="49">
        <v>0</v>
      </c>
      <c r="G18" s="49">
        <v>0</v>
      </c>
      <c r="H18" s="49" t="s">
        <v>169</v>
      </c>
      <c r="I18" s="49">
        <v>0.178</v>
      </c>
      <c r="J18" s="49">
        <v>0.3659999966621399</v>
      </c>
      <c r="K18" s="49">
        <v>3340.3663487045087</v>
      </c>
      <c r="L18" s="60">
        <v>0.7840632038352154</v>
      </c>
      <c r="M18" s="49">
        <v>2.1422492103435617</v>
      </c>
      <c r="N18" s="49"/>
      <c r="O18" s="49"/>
      <c r="P18" s="49">
        <v>1424.9773040641637</v>
      </c>
      <c r="Q18" s="49">
        <v>0</v>
      </c>
      <c r="R18" s="49">
        <v>0</v>
      </c>
      <c r="S18" s="49">
        <v>0</v>
      </c>
      <c r="T18" s="49">
        <v>0</v>
      </c>
      <c r="U18" s="49">
        <v>0</v>
      </c>
      <c r="V18" s="49">
        <v>1424.9773040641637</v>
      </c>
      <c r="W18" s="49">
        <v>0</v>
      </c>
      <c r="X18" s="49">
        <v>1424.9773040641637</v>
      </c>
      <c r="Y18" s="49">
        <v>0</v>
      </c>
      <c r="Z18" s="49">
        <v>0</v>
      </c>
      <c r="AA18" s="49">
        <v>23.128814697265625</v>
      </c>
      <c r="AB18" s="49">
        <v>0</v>
      </c>
      <c r="AC18" s="49">
        <v>23.12881523238168</v>
      </c>
      <c r="AD18" s="49">
        <v>1387.354025385089</v>
      </c>
      <c r="AE18" s="49">
        <v>43.38431955431466</v>
      </c>
      <c r="AF18" s="49">
        <v>218.3179473876953</v>
      </c>
      <c r="AG18" s="49">
        <v>1647.0889837148745</v>
      </c>
      <c r="AH18" s="49">
        <v>1424.9773040641637</v>
      </c>
      <c r="AI18" s="48">
        <v>1.1558703279113487</v>
      </c>
      <c r="AJ18" s="49">
        <v>790.242919921875</v>
      </c>
      <c r="AK18" s="49">
        <v>0</v>
      </c>
      <c r="AL18" s="49">
        <v>0</v>
      </c>
      <c r="AM18" s="49">
        <v>2437.331787109375</v>
      </c>
      <c r="AN18" s="49">
        <v>1424.9773040641637</v>
      </c>
      <c r="AO18" s="48">
        <v>1.7104355096817017</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132</v>
      </c>
      <c r="B21" s="71"/>
      <c r="C21" s="72" t="s">
        <v>101</v>
      </c>
      <c r="D21" s="63"/>
      <c r="E21" s="63"/>
      <c r="F21" s="63"/>
      <c r="G21" s="63"/>
      <c r="H21" s="63"/>
      <c r="I21" s="63"/>
      <c r="J21" s="64"/>
      <c r="K21" s="72" t="s">
        <v>45</v>
      </c>
      <c r="L21" s="63"/>
      <c r="M21" s="64"/>
      <c r="N21" s="72" t="s">
        <v>102</v>
      </c>
      <c r="O21" s="63"/>
      <c r="P21" s="63"/>
      <c r="Q21" s="63"/>
      <c r="R21" s="73" t="s">
        <v>103</v>
      </c>
      <c r="S21" s="72" t="s">
        <v>79</v>
      </c>
      <c r="T21" s="63"/>
      <c r="U21" s="63"/>
      <c r="V21" s="63"/>
      <c r="W21" s="63"/>
      <c r="X21" s="64"/>
      <c r="Y21" s="72" t="s">
        <v>80</v>
      </c>
      <c r="Z21" s="63"/>
      <c r="AA21" s="63"/>
      <c r="AB21" s="63"/>
      <c r="AC21" s="63"/>
      <c r="AD21" s="64"/>
      <c r="AE21" s="49"/>
      <c r="AF21" s="49"/>
      <c r="AG21" s="49"/>
      <c r="AH21" s="49"/>
      <c r="AI21" s="49"/>
      <c r="AJ21" s="49"/>
      <c r="AK21" s="49"/>
      <c r="AL21" s="49"/>
      <c r="AM21" s="49"/>
      <c r="AN21" s="49"/>
      <c r="AO21" s="49"/>
    </row>
    <row r="22" spans="1:41" ht="51">
      <c r="A22" s="57"/>
      <c r="B22" s="58" t="s">
        <v>51</v>
      </c>
      <c r="C22" s="59" t="s">
        <v>104</v>
      </c>
      <c r="D22" s="59" t="s">
        <v>82</v>
      </c>
      <c r="E22" s="59" t="s">
        <v>83</v>
      </c>
      <c r="F22" s="59" t="s">
        <v>84</v>
      </c>
      <c r="G22" s="59" t="s">
        <v>85</v>
      </c>
      <c r="H22" s="59" t="s">
        <v>86</v>
      </c>
      <c r="I22" s="59" t="s">
        <v>105</v>
      </c>
      <c r="J22" s="59" t="s">
        <v>106</v>
      </c>
      <c r="K22" s="59" t="s">
        <v>89</v>
      </c>
      <c r="L22" s="59" t="s">
        <v>90</v>
      </c>
      <c r="M22" s="59" t="s">
        <v>91</v>
      </c>
      <c r="N22" s="59" t="s">
        <v>46</v>
      </c>
      <c r="O22" s="59" t="s">
        <v>107</v>
      </c>
      <c r="P22" s="59" t="s">
        <v>108</v>
      </c>
      <c r="Q22" s="59" t="s">
        <v>109</v>
      </c>
      <c r="R22" s="59" t="s">
        <v>110</v>
      </c>
      <c r="S22" s="59" t="s">
        <v>92</v>
      </c>
      <c r="T22" s="59" t="s">
        <v>93</v>
      </c>
      <c r="U22" s="59" t="s">
        <v>56</v>
      </c>
      <c r="V22" s="59" t="s">
        <v>94</v>
      </c>
      <c r="W22" s="59" t="s">
        <v>95</v>
      </c>
      <c r="X22" s="59" t="s">
        <v>96</v>
      </c>
      <c r="Y22" s="59" t="s">
        <v>97</v>
      </c>
      <c r="Z22" s="59" t="s">
        <v>54</v>
      </c>
      <c r="AA22" s="59" t="s">
        <v>55</v>
      </c>
      <c r="AB22" s="59" t="s">
        <v>98</v>
      </c>
      <c r="AC22" s="59" t="s">
        <v>99</v>
      </c>
      <c r="AD22" s="59" t="s">
        <v>100</v>
      </c>
      <c r="AE22" s="49"/>
      <c r="AF22" s="49"/>
      <c r="AG22" s="49"/>
      <c r="AH22" s="49"/>
      <c r="AI22" s="49"/>
      <c r="AJ22" s="49"/>
      <c r="AK22" s="49"/>
      <c r="AL22" s="49"/>
      <c r="AM22" s="49"/>
      <c r="AN22" s="49"/>
      <c r="AO22" s="49"/>
    </row>
    <row r="23" spans="1:41" ht="12.75" customHeight="1">
      <c r="A23"/>
      <c r="B23" t="s">
        <v>172</v>
      </c>
      <c r="C23" s="49">
        <v>45</v>
      </c>
      <c r="D23" s="49">
        <v>4520.304058472586</v>
      </c>
      <c r="E23" s="49">
        <v>1496.83</v>
      </c>
      <c r="F23" s="49">
        <v>0</v>
      </c>
      <c r="G23" s="49">
        <v>0</v>
      </c>
      <c r="H23" s="49"/>
      <c r="I23" s="49">
        <v>0.178</v>
      </c>
      <c r="J23" s="49">
        <v>0.3659999966621399</v>
      </c>
      <c r="K23" s="49">
        <v>4864.977242931121</v>
      </c>
      <c r="L23" s="49">
        <v>1.141925539142538</v>
      </c>
      <c r="M23" s="49">
        <v>3.1200151443481445</v>
      </c>
      <c r="N23" s="49">
        <v>1496.8275193956888</v>
      </c>
      <c r="O23" s="49">
        <v>0</v>
      </c>
      <c r="P23" s="49">
        <v>0</v>
      </c>
      <c r="Q23" s="49">
        <v>1496.8275146484375</v>
      </c>
      <c r="R23" s="49">
        <v>16.681322541187875</v>
      </c>
      <c r="S23" s="49">
        <v>2020.5705173640504</v>
      </c>
      <c r="T23" s="49">
        <v>63.1858024597168</v>
      </c>
      <c r="U23" s="49">
        <v>317.9626770019531</v>
      </c>
      <c r="V23" s="49">
        <v>2398.8537684196976</v>
      </c>
      <c r="W23" s="49">
        <v>1496.8275193956888</v>
      </c>
      <c r="X23" s="48">
        <v>1.6026253775639976</v>
      </c>
      <c r="Y23" s="60">
        <v>1150.925537109375</v>
      </c>
      <c r="Z23" s="60">
        <v>0</v>
      </c>
      <c r="AA23" s="60">
        <v>0</v>
      </c>
      <c r="AB23" s="60">
        <v>3549.779296875</v>
      </c>
      <c r="AC23" s="60">
        <v>1496.8275146484375</v>
      </c>
      <c r="AD23" s="48">
        <v>2.371535301208496</v>
      </c>
      <c r="AE23" s="60"/>
      <c r="AF23" s="60"/>
      <c r="AG23" s="60"/>
      <c r="AH23" s="60"/>
      <c r="AI23" s="60"/>
      <c r="AJ23" s="60"/>
      <c r="AK23" s="60"/>
      <c r="AL23" s="49"/>
      <c r="AM23" s="49"/>
      <c r="AN23" s="49"/>
      <c r="AO23" s="49"/>
    </row>
    <row r="24" spans="1:41" ht="12.75" customHeight="1">
      <c r="A24"/>
      <c r="B24" t="s">
        <v>170</v>
      </c>
      <c r="C24" s="49">
        <v>45</v>
      </c>
      <c r="D24" s="49">
        <v>3759.6353362722493</v>
      </c>
      <c r="E24" s="49">
        <v>1424.98</v>
      </c>
      <c r="F24" s="49">
        <v>0</v>
      </c>
      <c r="G24" s="49">
        <v>0</v>
      </c>
      <c r="H24" s="49"/>
      <c r="I24" s="49">
        <v>0.178</v>
      </c>
      <c r="J24" s="49">
        <v>0.3659999966621399</v>
      </c>
      <c r="K24" s="49">
        <v>4046.307530663008</v>
      </c>
      <c r="L24" s="49">
        <v>0.9497643416940207</v>
      </c>
      <c r="M24" s="49">
        <v>2.594984531402588</v>
      </c>
      <c r="N24" s="49">
        <v>1424.9773040641637</v>
      </c>
      <c r="O24" s="49">
        <v>0</v>
      </c>
      <c r="P24" s="49">
        <v>0</v>
      </c>
      <c r="Q24" s="49">
        <v>1424.977294921875</v>
      </c>
      <c r="R24" s="49">
        <v>19.093633534020743</v>
      </c>
      <c r="S24" s="49">
        <v>1680.5525066998873</v>
      </c>
      <c r="T24" s="49">
        <v>52.553009033203125</v>
      </c>
      <c r="U24" s="49">
        <v>264.4564514160156</v>
      </c>
      <c r="V24" s="49">
        <v>1995.1788933200241</v>
      </c>
      <c r="W24" s="49">
        <v>1424.9773040641637</v>
      </c>
      <c r="X24" s="48">
        <v>1.4001478392881024</v>
      </c>
      <c r="Y24" s="60">
        <v>957.249755859375</v>
      </c>
      <c r="Z24" s="60">
        <v>0</v>
      </c>
      <c r="AA24" s="60">
        <v>0</v>
      </c>
      <c r="AB24" s="60">
        <v>2952.4287109375</v>
      </c>
      <c r="AC24" s="60">
        <v>1424.977294921875</v>
      </c>
      <c r="AD24" s="48">
        <v>2.0719127655029297</v>
      </c>
      <c r="AE24" s="60"/>
      <c r="AF24" s="60"/>
      <c r="AG24" s="60"/>
      <c r="AH24" s="60"/>
      <c r="AI24" s="60"/>
      <c r="AJ24" s="60"/>
      <c r="AK24" s="60"/>
      <c r="AL24" s="49"/>
      <c r="AM24" s="49"/>
      <c r="AN24" s="49"/>
      <c r="AO24" s="49"/>
    </row>
    <row r="25" spans="1:41" ht="12.75" customHeight="1">
      <c r="A25"/>
      <c r="B25" t="s">
        <v>284</v>
      </c>
      <c r="C25" s="49">
        <v>45</v>
      </c>
      <c r="D25" s="49">
        <v>3103.7085702248633</v>
      </c>
      <c r="E25" s="49">
        <v>1424.98</v>
      </c>
      <c r="F25" s="49">
        <v>0</v>
      </c>
      <c r="G25" s="49">
        <v>0</v>
      </c>
      <c r="H25" s="49"/>
      <c r="I25" s="49">
        <v>0.17799999999999996</v>
      </c>
      <c r="J25" s="49">
        <v>0.3659999668598175</v>
      </c>
      <c r="K25" s="49">
        <v>3340.3663487045087</v>
      </c>
      <c r="L25" s="49">
        <v>0.7840632038352154</v>
      </c>
      <c r="M25" s="49">
        <v>2.14224910736084</v>
      </c>
      <c r="N25" s="49">
        <v>1424.9773040641637</v>
      </c>
      <c r="O25" s="49">
        <v>0</v>
      </c>
      <c r="P25" s="49">
        <v>0</v>
      </c>
      <c r="Q25" s="49">
        <v>1424.977294921875</v>
      </c>
      <c r="R25" s="49">
        <v>23.128814354865913</v>
      </c>
      <c r="S25" s="49">
        <v>1387.354025385089</v>
      </c>
      <c r="T25" s="49">
        <v>43.38431930541992</v>
      </c>
      <c r="U25" s="49">
        <v>218.3179473876953</v>
      </c>
      <c r="V25" s="49">
        <v>1647.0889837148745</v>
      </c>
      <c r="W25" s="49">
        <v>1424.9773040641637</v>
      </c>
      <c r="X25" s="48">
        <v>1.1558703279113487</v>
      </c>
      <c r="Y25" s="60">
        <v>790.242919921875</v>
      </c>
      <c r="Z25" s="60">
        <v>0</v>
      </c>
      <c r="AA25" s="60">
        <v>0</v>
      </c>
      <c r="AB25" s="60">
        <v>2437.33203125</v>
      </c>
      <c r="AC25" s="60">
        <v>1424.977294921875</v>
      </c>
      <c r="AD25" s="48">
        <v>1.7104357481002808</v>
      </c>
      <c r="AE25" s="60"/>
      <c r="AF25" s="60"/>
      <c r="AG25" s="60"/>
      <c r="AH25" s="60"/>
      <c r="AI25" s="60"/>
      <c r="AJ25" s="60"/>
      <c r="AK25" s="60"/>
      <c r="AL25" s="49"/>
      <c r="AM25" s="49"/>
      <c r="AN25" s="49"/>
      <c r="AO25" s="49"/>
    </row>
    <row r="26" spans="1:41" ht="12.75" customHeight="1">
      <c r="A26"/>
      <c r="B26" t="s">
        <v>167</v>
      </c>
      <c r="C26" s="49">
        <v>45</v>
      </c>
      <c r="D26" s="49">
        <v>2817.281395514231</v>
      </c>
      <c r="E26" s="49">
        <v>1389.12</v>
      </c>
      <c r="F26" s="49">
        <v>0</v>
      </c>
      <c r="G26" s="49">
        <v>0</v>
      </c>
      <c r="H26" s="49"/>
      <c r="I26" s="49">
        <v>0.178</v>
      </c>
      <c r="J26" s="49">
        <v>0.3659999966621399</v>
      </c>
      <c r="K26" s="49">
        <v>3032.099101922191</v>
      </c>
      <c r="L26" s="49">
        <v>0.7117055699956386</v>
      </c>
      <c r="M26" s="49">
        <v>1.9445507526397705</v>
      </c>
      <c r="N26" s="49">
        <v>1389.1230964135298</v>
      </c>
      <c r="O26" s="49">
        <v>0</v>
      </c>
      <c r="P26" s="49">
        <v>0</v>
      </c>
      <c r="Q26" s="49">
        <v>1389.123046875</v>
      </c>
      <c r="R26" s="49">
        <v>24.83915683370147</v>
      </c>
      <c r="S26" s="49">
        <v>1259.3214202537054</v>
      </c>
      <c r="T26" s="49">
        <v>39.380577087402344</v>
      </c>
      <c r="U26" s="49">
        <v>198.17034912109375</v>
      </c>
      <c r="V26" s="49">
        <v>1495.0865923889028</v>
      </c>
      <c r="W26" s="49">
        <v>1389.1230964135298</v>
      </c>
      <c r="X26" s="48">
        <v>1.0762808539062896</v>
      </c>
      <c r="Y26" s="60">
        <v>717.3146362304688</v>
      </c>
      <c r="Z26" s="60">
        <v>0</v>
      </c>
      <c r="AA26" s="60">
        <v>0</v>
      </c>
      <c r="AB26" s="60">
        <v>2212.4013671875</v>
      </c>
      <c r="AC26" s="60">
        <v>1389.123046875</v>
      </c>
      <c r="AD26" s="48">
        <v>1.5926604270935059</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62</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63</v>
      </c>
      <c r="C30" s="59" t="s">
        <v>59</v>
      </c>
      <c r="D30" s="59" t="s">
        <v>60</v>
      </c>
      <c r="E30" s="59" t="s">
        <v>64</v>
      </c>
      <c r="F30" s="59" t="s">
        <v>65</v>
      </c>
      <c r="G30" s="59" t="s">
        <v>66</v>
      </c>
      <c r="H30" s="59" t="s">
        <v>67</v>
      </c>
      <c r="I30" s="59" t="s">
        <v>61</v>
      </c>
      <c r="J30" s="59" t="s">
        <v>50</v>
      </c>
      <c r="K30" s="59" t="s">
        <v>58</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68</v>
      </c>
      <c r="C31" s="49">
        <v>8911.284773594129</v>
      </c>
      <c r="D31" s="49">
        <v>2921.8048234598527</v>
      </c>
      <c r="E31" s="49">
        <v>2921.8</v>
      </c>
      <c r="F31" s="49">
        <v>584.36084</v>
      </c>
      <c r="G31" s="49">
        <v>3506.165663459853</v>
      </c>
      <c r="H31" s="49">
        <v>3446.642333984375</v>
      </c>
      <c r="I31" s="49">
        <v>21.332003643709765</v>
      </c>
      <c r="J31" s="49">
        <v>3701.123024063938</v>
      </c>
      <c r="K31" s="48">
        <v>1.0556041497513562</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69</v>
      </c>
      <c r="C32" s="49">
        <v>0</v>
      </c>
      <c r="D32" s="49">
        <v>0</v>
      </c>
      <c r="E32" s="49">
        <v>0</v>
      </c>
      <c r="F32" s="49">
        <v>0</v>
      </c>
      <c r="G32" s="49">
        <v>0</v>
      </c>
      <c r="H32" s="49">
        <v>0</v>
      </c>
      <c r="I32" s="49">
        <v>0</v>
      </c>
      <c r="J32" s="49">
        <v>6347.798469702732</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70</v>
      </c>
      <c r="C33" s="49">
        <v>10164.87611504934</v>
      </c>
      <c r="D33" s="49">
        <v>4854.7265625</v>
      </c>
      <c r="E33" s="49">
        <v>4854.725465554763</v>
      </c>
      <c r="F33" s="49">
        <v>970.9450931109527</v>
      </c>
      <c r="G33" s="49">
        <v>5825.671655610953</v>
      </c>
      <c r="H33" s="49">
        <v>5020.51220703125</v>
      </c>
      <c r="I33" s="49">
        <v>31.07301915290443</v>
      </c>
      <c r="J33" s="49">
        <v>4221.776991982839</v>
      </c>
      <c r="K33" s="69">
        <v>0.7246850220122971</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71</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72</v>
      </c>
      <c r="C35" s="49">
        <v>0</v>
      </c>
      <c r="D35" s="49">
        <v>0</v>
      </c>
      <c r="E35" s="49">
        <v>0</v>
      </c>
      <c r="F35" s="49">
        <v>0</v>
      </c>
      <c r="G35" s="49">
        <v>0</v>
      </c>
      <c r="H35" s="49">
        <v>0</v>
      </c>
      <c r="I35" s="49">
        <v>0</v>
      </c>
      <c r="J35" s="49">
        <v>0</v>
      </c>
      <c r="K35" s="70">
        <v>0</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73</v>
      </c>
      <c r="C36" s="49">
        <v>15283.750224220828</v>
      </c>
      <c r="D36" s="49">
        <v>5735.905223937546</v>
      </c>
      <c r="E36" s="49">
        <v>5735.9</v>
      </c>
      <c r="F36" s="49">
        <v>1147.1808</v>
      </c>
      <c r="G36" s="49">
        <v>6883.086023937546</v>
      </c>
      <c r="H36" s="49">
        <v>3945.09423828125</v>
      </c>
      <c r="I36" s="49">
        <v>24.417028216626612</v>
      </c>
      <c r="J36" s="49">
        <v>6347.798469702732</v>
      </c>
      <c r="K36" s="70">
        <v>0.9222314594974949</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74</v>
      </c>
      <c r="C37" s="49">
        <v>0</v>
      </c>
      <c r="D37" s="49">
        <v>0</v>
      </c>
      <c r="E37" s="49">
        <v>0</v>
      </c>
      <c r="F37" s="49">
        <v>0</v>
      </c>
      <c r="G37" s="49">
        <v>0</v>
      </c>
      <c r="H37" s="49">
        <v>0</v>
      </c>
      <c r="I37" s="49">
        <v>0</v>
      </c>
      <c r="J37" s="49">
        <v>0</v>
      </c>
      <c r="K37" s="70">
        <v>0</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75</v>
      </c>
      <c r="C38" s="49">
        <v>0</v>
      </c>
      <c r="D38" s="49">
        <v>0</v>
      </c>
      <c r="E38" s="49">
        <v>0</v>
      </c>
      <c r="F38" s="49">
        <v>0</v>
      </c>
      <c r="G38" s="49">
        <v>0</v>
      </c>
      <c r="H38" s="49">
        <v>0</v>
      </c>
      <c r="I38" s="49">
        <v>0</v>
      </c>
      <c r="J38" s="49">
        <v>0</v>
      </c>
      <c r="K38" s="70">
        <v>0</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76</v>
      </c>
      <c r="C39" s="49">
        <v>0</v>
      </c>
      <c r="D39" s="49">
        <v>0</v>
      </c>
      <c r="E39" s="49">
        <v>0</v>
      </c>
      <c r="F39" s="49">
        <v>0</v>
      </c>
      <c r="G39" s="49">
        <v>0</v>
      </c>
      <c r="H39" s="49">
        <v>0</v>
      </c>
      <c r="I39" s="49">
        <v>0</v>
      </c>
      <c r="J39" s="49">
        <v>0</v>
      </c>
      <c r="K39" s="70">
        <v>0</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77</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 r="C511" s="39"/>
      <c r="D511" s="39"/>
      <c r="E511" s="39"/>
      <c r="F511" s="39"/>
      <c r="G511" s="39"/>
      <c r="H511" s="39"/>
      <c r="I511" s="104"/>
      <c r="J511" s="104"/>
      <c r="K511" s="104"/>
      <c r="L511" s="104"/>
      <c r="M511" s="104"/>
      <c r="S511" s="39"/>
      <c r="T511" s="39"/>
      <c r="U511" s="39"/>
      <c r="X511" s="49"/>
      <c r="Y511" s="49"/>
      <c r="Z511" s="39"/>
      <c r="AA511" s="39"/>
      <c r="AB511" s="39"/>
      <c r="AC511" s="39"/>
      <c r="AD511" s="39"/>
      <c r="AE511" s="39"/>
      <c r="AF511" s="39"/>
      <c r="AG511" s="39"/>
      <c r="AH511" s="39"/>
      <c r="AI511" s="39"/>
      <c r="AJ511" s="39"/>
      <c r="AK511" s="39"/>
      <c r="AL511" s="39"/>
      <c r="AM511" s="39"/>
      <c r="AN511" s="39"/>
      <c r="AO511" s="39"/>
    </row>
    <row r="512" spans="3:41" ht="12.75">
      <c r="C512" s="39"/>
      <c r="D512" s="39"/>
      <c r="E512" s="39"/>
      <c r="F512" s="39"/>
      <c r="G512" s="39"/>
      <c r="H512" s="39"/>
      <c r="I512" s="104"/>
      <c r="J512" s="104"/>
      <c r="K512" s="104"/>
      <c r="L512" s="104"/>
      <c r="M512" s="104"/>
      <c r="S512" s="39"/>
      <c r="T512" s="39"/>
      <c r="U512" s="39"/>
      <c r="X512" s="49"/>
      <c r="Y512" s="49"/>
      <c r="Z512" s="39"/>
      <c r="AA512" s="39"/>
      <c r="AB512" s="39"/>
      <c r="AC512" s="39"/>
      <c r="AD512" s="39"/>
      <c r="AE512" s="39"/>
      <c r="AF512" s="39"/>
      <c r="AG512" s="39"/>
      <c r="AH512" s="39"/>
      <c r="AI512" s="39"/>
      <c r="AJ512" s="39"/>
      <c r="AK512" s="39"/>
      <c r="AL512" s="39"/>
      <c r="AM512" s="39"/>
      <c r="AN512" s="39"/>
      <c r="AO512" s="39"/>
    </row>
    <row r="513" spans="3:41" ht="12.75">
      <c r="C513" s="39"/>
      <c r="D513" s="39"/>
      <c r="E513" s="39"/>
      <c r="F513" s="39"/>
      <c r="G513" s="39"/>
      <c r="H513" s="39"/>
      <c r="I513" s="104"/>
      <c r="J513" s="104"/>
      <c r="K513" s="104"/>
      <c r="L513" s="104"/>
      <c r="M513" s="104"/>
      <c r="S513" s="39"/>
      <c r="T513" s="39"/>
      <c r="U513" s="39"/>
      <c r="X513" s="49"/>
      <c r="Y513" s="49"/>
      <c r="Z513" s="39"/>
      <c r="AA513" s="39"/>
      <c r="AB513" s="39"/>
      <c r="AC513" s="39"/>
      <c r="AD513" s="39"/>
      <c r="AE513" s="39"/>
      <c r="AF513" s="39"/>
      <c r="AG513" s="39"/>
      <c r="AH513" s="39"/>
      <c r="AI513" s="39"/>
      <c r="AJ513" s="39"/>
      <c r="AK513" s="39"/>
      <c r="AL513" s="39"/>
      <c r="AM513" s="39"/>
      <c r="AN513" s="39"/>
      <c r="AO513" s="39"/>
    </row>
    <row r="514" spans="3:41" ht="12.75">
      <c r="C514" s="39"/>
      <c r="D514" s="39"/>
      <c r="E514" s="39"/>
      <c r="F514" s="39"/>
      <c r="G514" s="39"/>
      <c r="H514" s="39"/>
      <c r="I514" s="104"/>
      <c r="J514" s="104"/>
      <c r="K514" s="104"/>
      <c r="L514" s="104"/>
      <c r="M514" s="104"/>
      <c r="S514" s="39"/>
      <c r="T514" s="39"/>
      <c r="U514" s="39"/>
      <c r="X514" s="49"/>
      <c r="Y514" s="49"/>
      <c r="Z514" s="39"/>
      <c r="AA514" s="39"/>
      <c r="AB514" s="39"/>
      <c r="AC514" s="39"/>
      <c r="AD514" s="39"/>
      <c r="AE514" s="39"/>
      <c r="AF514" s="39"/>
      <c r="AG514" s="39"/>
      <c r="AH514" s="39"/>
      <c r="AI514" s="39"/>
      <c r="AJ514" s="39"/>
      <c r="AK514" s="39"/>
      <c r="AL514" s="39"/>
      <c r="AM514" s="39"/>
      <c r="AN514" s="39"/>
      <c r="AO514"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AO524"/>
  <sheetViews>
    <sheetView workbookViewId="0" topLeftCell="A31">
      <pane xSplit="2" topLeftCell="AA1" activePane="topRight" state="frozen"/>
      <selection pane="topLeft" activeCell="A32" sqref="A32"/>
      <selection pane="topRight" activeCell="K65" sqref="K65"/>
    </sheetView>
  </sheetViews>
  <sheetFormatPr defaultColWidth="9.140625" defaultRowHeight="12.75"/>
  <cols>
    <col min="1" max="1" width="18.28125" style="37" customWidth="1"/>
    <col min="2" max="2" width="26.57421875" style="37" customWidth="1"/>
    <col min="3" max="3" width="8.8515625" style="37" customWidth="1"/>
    <col min="4" max="4" width="8.7109375" style="37" customWidth="1"/>
    <col min="5" max="5" width="8.421875" style="37" customWidth="1"/>
    <col min="6" max="6" width="9.00390625" style="37" customWidth="1"/>
    <col min="7" max="7" width="12.851562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9.140625" style="37" customWidth="1"/>
  </cols>
  <sheetData>
    <row r="1" ht="14.25">
      <c r="A1" s="36" t="s">
        <v>127</v>
      </c>
    </row>
    <row r="2" ht="12.75">
      <c r="A2" s="105">
        <v>924</v>
      </c>
    </row>
    <row r="4" spans="1:23" ht="12.75">
      <c r="A4" s="40" t="s">
        <v>32</v>
      </c>
      <c r="B4" s="41"/>
      <c r="C4" s="42"/>
      <c r="D4" s="42"/>
      <c r="E4" s="42"/>
      <c r="F4" s="42"/>
      <c r="G4" s="42"/>
      <c r="H4" s="43"/>
      <c r="I4" s="44" t="s">
        <v>33</v>
      </c>
      <c r="J4" s="45"/>
      <c r="K4" s="45"/>
      <c r="L4" s="45"/>
      <c r="M4" s="45"/>
      <c r="N4" s="45"/>
      <c r="O4"/>
      <c r="P4"/>
      <c r="Q4"/>
      <c r="R4"/>
      <c r="S4"/>
      <c r="T4"/>
      <c r="U4"/>
      <c r="V4"/>
      <c r="W4"/>
    </row>
    <row r="5" spans="1:25" s="98" customFormat="1" ht="26.25" customHeight="1">
      <c r="A5" s="46" t="s">
        <v>34</v>
      </c>
      <c r="B5" s="46" t="s">
        <v>35</v>
      </c>
      <c r="C5" s="46" t="s">
        <v>128</v>
      </c>
      <c r="D5" s="46" t="s">
        <v>129</v>
      </c>
      <c r="E5" s="46" t="s">
        <v>36</v>
      </c>
      <c r="F5" s="46" t="s">
        <v>37</v>
      </c>
      <c r="G5" s="47" t="s">
        <v>38</v>
      </c>
      <c r="H5" s="47" t="s">
        <v>130</v>
      </c>
      <c r="I5" s="47" t="s">
        <v>39</v>
      </c>
      <c r="J5" s="47" t="s">
        <v>40</v>
      </c>
      <c r="K5" s="47" t="s">
        <v>41</v>
      </c>
      <c r="L5" s="47" t="s">
        <v>42</v>
      </c>
      <c r="M5" s="47" t="s">
        <v>43</v>
      </c>
      <c r="N5" s="47" t="s">
        <v>44</v>
      </c>
      <c r="O5"/>
      <c r="P5"/>
      <c r="Q5"/>
      <c r="R5"/>
      <c r="S5"/>
      <c r="T5"/>
      <c r="U5"/>
      <c r="V5"/>
      <c r="W5"/>
      <c r="X5"/>
      <c r="Y5"/>
    </row>
    <row r="6" spans="1:23" ht="12.75">
      <c r="A6" s="106" t="str">
        <f aca="true" t="shared" si="0" ref="A6:A17">B6</f>
        <v>FLOOR R33 </v>
      </c>
      <c r="B6" s="106" t="str">
        <f>UAOptimizer!$S36</f>
        <v>FLOOR R33 </v>
      </c>
      <c r="C6" s="108">
        <f>UAOptimizer!$X36</f>
        <v>439.18783673495454</v>
      </c>
      <c r="D6" s="108">
        <v>45</v>
      </c>
      <c r="E6" s="109">
        <f>UAOptimizer!$U36</f>
        <v>139.7088</v>
      </c>
      <c r="F6" s="107">
        <v>0</v>
      </c>
      <c r="G6" s="110" t="s">
        <v>169</v>
      </c>
      <c r="H6"/>
      <c r="I6"/>
      <c r="J6"/>
      <c r="K6"/>
      <c r="L6"/>
      <c r="M6"/>
      <c r="N6"/>
      <c r="O6"/>
      <c r="P6"/>
      <c r="Q6"/>
      <c r="R6"/>
      <c r="S6"/>
      <c r="T6"/>
      <c r="U6"/>
      <c r="V6"/>
      <c r="W6"/>
    </row>
    <row r="7" spans="1:23" ht="12.75">
      <c r="A7" s="106" t="str">
        <f t="shared" si="0"/>
        <v>ATTIC R25</v>
      </c>
      <c r="B7" s="106" t="str">
        <f>UAOptimizer!$S37</f>
        <v>ATTIC R25</v>
      </c>
      <c r="C7" s="108">
        <f>UAOptimizer!$X37</f>
        <v>125.23636232400531</v>
      </c>
      <c r="D7" s="108">
        <v>45</v>
      </c>
      <c r="E7" s="109">
        <f>UAOptimizer!$U37</f>
        <v>43.2</v>
      </c>
      <c r="F7" s="107">
        <v>0</v>
      </c>
      <c r="G7" s="110" t="s">
        <v>169</v>
      </c>
      <c r="H7"/>
      <c r="I7"/>
      <c r="J7"/>
      <c r="K7"/>
      <c r="L7"/>
      <c r="M7"/>
      <c r="N7"/>
      <c r="O7"/>
      <c r="P7"/>
      <c r="Q7"/>
      <c r="R7"/>
      <c r="S7"/>
      <c r="T7"/>
      <c r="U7"/>
      <c r="V7"/>
      <c r="W7"/>
    </row>
    <row r="8" spans="1:7" ht="12.75" customHeight="1">
      <c r="A8" s="106" t="str">
        <f t="shared" si="0"/>
        <v>VAULT R25</v>
      </c>
      <c r="B8" s="106" t="str">
        <f>UAOptimizer!$S38</f>
        <v>VAULT R25</v>
      </c>
      <c r="C8" s="108">
        <f>UAOptimizer!$X38</f>
        <v>163.36380276107775</v>
      </c>
      <c r="D8" s="108">
        <v>45</v>
      </c>
      <c r="E8" s="109">
        <f>UAOptimizer!$U38</f>
        <v>56.592000000000006</v>
      </c>
      <c r="F8" s="107">
        <v>0</v>
      </c>
      <c r="G8" s="110" t="s">
        <v>169</v>
      </c>
    </row>
    <row r="9" spans="1:23" ht="12.75">
      <c r="A9" s="106" t="str">
        <f t="shared" si="0"/>
        <v>ATTIC R30 </v>
      </c>
      <c r="B9" s="106" t="str">
        <f>UAOptimizer!$S39</f>
        <v>ATTIC R30 </v>
      </c>
      <c r="C9" s="108">
        <f>UAOptimizer!$X39</f>
        <v>77.94074559211549</v>
      </c>
      <c r="D9" s="108">
        <v>45</v>
      </c>
      <c r="E9" s="109">
        <f>UAOptimizer!$U39</f>
        <v>34.56</v>
      </c>
      <c r="F9" s="107">
        <v>0</v>
      </c>
      <c r="G9" s="110" t="s">
        <v>169</v>
      </c>
      <c r="H9"/>
      <c r="I9"/>
      <c r="J9"/>
      <c r="K9"/>
      <c r="L9"/>
      <c r="M9"/>
      <c r="N9"/>
      <c r="O9"/>
      <c r="P9"/>
      <c r="Q9"/>
      <c r="R9"/>
      <c r="S9"/>
      <c r="T9"/>
      <c r="U9"/>
      <c r="V9"/>
      <c r="W9"/>
    </row>
    <row r="10" spans="1:23" ht="12.75">
      <c r="A10" s="106" t="str">
        <f t="shared" si="0"/>
        <v>VAULT R30</v>
      </c>
      <c r="B10" s="106" t="str">
        <f>UAOptimizer!$S40</f>
        <v>VAULT R30</v>
      </c>
      <c r="C10" s="108">
        <f>UAOptimizer!$X40</f>
        <v>101.46134356870789</v>
      </c>
      <c r="D10" s="108">
        <v>45</v>
      </c>
      <c r="E10" s="109">
        <f>UAOptimizer!$U40</f>
        <v>45.2736</v>
      </c>
      <c r="F10" s="107">
        <v>0</v>
      </c>
      <c r="G10" s="110" t="s">
        <v>169</v>
      </c>
      <c r="H10"/>
      <c r="I10"/>
      <c r="J10"/>
      <c r="K10"/>
      <c r="L10"/>
      <c r="M10"/>
      <c r="N10"/>
      <c r="O10"/>
      <c r="P10"/>
      <c r="Q10"/>
      <c r="R10"/>
      <c r="S10"/>
      <c r="T10"/>
      <c r="U10"/>
      <c r="V10"/>
      <c r="W10"/>
    </row>
    <row r="11" spans="1:7" ht="12.75" customHeight="1">
      <c r="A11" s="106" t="str">
        <f t="shared" si="0"/>
        <v>WINDOW CL40</v>
      </c>
      <c r="B11" s="106" t="str">
        <f>UAOptimizer!$S41</f>
        <v>WINDOW CL40</v>
      </c>
      <c r="C11" s="108">
        <f>UAOptimizer!$X41</f>
        <v>408.25571436549944</v>
      </c>
      <c r="D11" s="108">
        <v>45</v>
      </c>
      <c r="E11" s="109">
        <f>UAOptimizer!$U41</f>
        <v>221.56</v>
      </c>
      <c r="F11" s="107">
        <v>0</v>
      </c>
      <c r="G11" s="110" t="s">
        <v>169</v>
      </c>
    </row>
    <row r="12" spans="1:7" ht="12.75" customHeight="1">
      <c r="A12" s="106" t="str">
        <f t="shared" si="0"/>
        <v>WINDOW CL35</v>
      </c>
      <c r="B12" s="106" t="str">
        <f>UAOptimizer!$S42</f>
        <v>WINDOW CL35</v>
      </c>
      <c r="C12" s="108">
        <f>UAOptimizer!$X42</f>
        <v>210.46043880661273</v>
      </c>
      <c r="D12" s="108">
        <v>45</v>
      </c>
      <c r="E12" s="109">
        <f>UAOptimizer!$U42</f>
        <v>116</v>
      </c>
      <c r="F12" s="107">
        <v>0</v>
      </c>
      <c r="G12" s="110" t="s">
        <v>169</v>
      </c>
    </row>
    <row r="13" spans="1:26" ht="12.75" customHeight="1">
      <c r="A13" s="106" t="str">
        <f t="shared" si="0"/>
        <v>WALL R21 ADV</v>
      </c>
      <c r="B13" s="106" t="str">
        <f>UAOptimizer!$S43</f>
        <v>WALL R21 ADV</v>
      </c>
      <c r="C13" s="108">
        <f>UAOptimizer!$X43</f>
        <v>235.757250292153</v>
      </c>
      <c r="D13" s="108">
        <v>45</v>
      </c>
      <c r="E13" s="109">
        <f>UAOptimizer!$U43</f>
        <v>155.62800000000001</v>
      </c>
      <c r="F13" s="107">
        <v>0</v>
      </c>
      <c r="G13" s="110" t="s">
        <v>169</v>
      </c>
      <c r="H13" s="49"/>
      <c r="I13" s="49"/>
      <c r="J13" s="49"/>
      <c r="K13" s="49"/>
      <c r="L13" s="49"/>
      <c r="M13" s="49"/>
      <c r="N13" s="49"/>
      <c r="O13" s="49"/>
      <c r="P13" s="49"/>
      <c r="Q13" s="49"/>
      <c r="R13" s="49"/>
      <c r="S13" s="49"/>
      <c r="T13" s="49"/>
      <c r="U13" s="49"/>
      <c r="V13" s="49"/>
      <c r="W13" s="49"/>
      <c r="X13" s="49"/>
      <c r="Y13" s="49"/>
      <c r="Z13" s="49"/>
    </row>
    <row r="14" spans="1:26" ht="12.75" customHeight="1">
      <c r="A14" s="106" t="str">
        <f t="shared" si="0"/>
        <v>ATTIC R38 </v>
      </c>
      <c r="B14" s="106" t="str">
        <f>UAOptimizer!$S44</f>
        <v>ATTIC R38 </v>
      </c>
      <c r="C14" s="108">
        <f>UAOptimizer!$X44</f>
        <v>74.51474466140553</v>
      </c>
      <c r="D14" s="108">
        <v>45</v>
      </c>
      <c r="E14" s="109">
        <f>UAOptimizer!$U44</f>
        <v>51.84</v>
      </c>
      <c r="F14" s="107">
        <v>0</v>
      </c>
      <c r="G14" s="110" t="s">
        <v>169</v>
      </c>
      <c r="H14" s="49"/>
      <c r="I14" s="49"/>
      <c r="J14" s="49"/>
      <c r="K14" s="49"/>
      <c r="L14" s="49"/>
      <c r="M14" s="49"/>
      <c r="N14" s="49"/>
      <c r="O14" s="49"/>
      <c r="P14" s="49"/>
      <c r="Q14" s="49"/>
      <c r="R14" s="49"/>
      <c r="S14" s="49"/>
      <c r="T14" s="49"/>
      <c r="U14" s="49"/>
      <c r="V14" s="49"/>
      <c r="W14" s="49"/>
      <c r="X14" s="49"/>
      <c r="Y14" s="49"/>
      <c r="Z14" s="49"/>
    </row>
    <row r="15" spans="1:26" ht="12.75" customHeight="1">
      <c r="A15" s="106" t="str">
        <f t="shared" si="0"/>
        <v>VAULT  R38 </v>
      </c>
      <c r="B15" s="106" t="str">
        <f>UAOptimizer!$S45</f>
        <v>VAULT  R38 </v>
      </c>
      <c r="C15" s="108">
        <f>UAOptimizer!$X45</f>
        <v>58.56858930386534</v>
      </c>
      <c r="D15" s="108">
        <v>45</v>
      </c>
      <c r="E15" s="109">
        <f>UAOptimizer!$U45</f>
        <v>67.91040000000001</v>
      </c>
      <c r="F15" s="107">
        <v>0</v>
      </c>
      <c r="G15" s="110" t="s">
        <v>169</v>
      </c>
      <c r="H15" s="49"/>
      <c r="I15" s="49"/>
      <c r="J15" s="49"/>
      <c r="K15" s="49"/>
      <c r="L15" s="49"/>
      <c r="M15" s="49"/>
      <c r="N15" s="49"/>
      <c r="O15" s="49"/>
      <c r="P15" s="49"/>
      <c r="Q15" s="49"/>
      <c r="R15" s="49"/>
      <c r="S15" s="49"/>
      <c r="T15" s="49"/>
      <c r="U15" s="49"/>
      <c r="V15" s="49"/>
      <c r="W15" s="49"/>
      <c r="X15" s="49"/>
      <c r="Y15" s="49"/>
      <c r="Z15" s="49"/>
    </row>
    <row r="16" spans="1:30" ht="12.75" customHeight="1">
      <c r="A16" s="106" t="str">
        <f t="shared" si="0"/>
        <v>ATTIC R49 </v>
      </c>
      <c r="B16" s="106" t="str">
        <f>UAOptimizer!$S46</f>
        <v>ATTIC R49 </v>
      </c>
      <c r="C16" s="108">
        <f>UAOptimizer!$X46</f>
        <v>59.611795729123514</v>
      </c>
      <c r="D16" s="108">
        <v>45</v>
      </c>
      <c r="E16" s="109">
        <f>UAOptimizer!$U46</f>
        <v>77.76</v>
      </c>
      <c r="F16" s="107">
        <v>0</v>
      </c>
      <c r="G16" s="110" t="s">
        <v>169</v>
      </c>
      <c r="H16"/>
      <c r="I16"/>
      <c r="J16"/>
      <c r="K16"/>
      <c r="L16"/>
      <c r="M16"/>
      <c r="N16"/>
      <c r="O16"/>
      <c r="P16"/>
      <c r="Q16"/>
      <c r="R16"/>
      <c r="S16"/>
      <c r="T16"/>
      <c r="U16"/>
      <c r="V16"/>
      <c r="W16"/>
      <c r="Z16"/>
      <c r="AA16"/>
      <c r="AB16"/>
      <c r="AC16"/>
      <c r="AD16"/>
    </row>
    <row r="17" spans="1:30" ht="12.75" customHeight="1">
      <c r="A17" s="106" t="str">
        <f t="shared" si="0"/>
        <v>FLOOR R44</v>
      </c>
      <c r="B17" s="106" t="str">
        <f>UAOptimizer!$S47</f>
        <v>FLOOR R44</v>
      </c>
      <c r="C17" s="108">
        <f>UAOptimizer!$X47</f>
        <v>68.57616006622447</v>
      </c>
      <c r="D17" s="108">
        <v>45</v>
      </c>
      <c r="E17" s="109">
        <f>UAOptimizer!$U47</f>
        <v>139.7088</v>
      </c>
      <c r="F17" s="107">
        <v>0</v>
      </c>
      <c r="G17" s="110" t="s">
        <v>169</v>
      </c>
      <c r="H17"/>
      <c r="I17"/>
      <c r="J17"/>
      <c r="K17"/>
      <c r="L17"/>
      <c r="M17"/>
      <c r="N17"/>
      <c r="O17"/>
      <c r="P17"/>
      <c r="Q17"/>
      <c r="R17"/>
      <c r="S17"/>
      <c r="T17"/>
      <c r="U17"/>
      <c r="V17"/>
      <c r="W17"/>
      <c r="Z17"/>
      <c r="AA17"/>
      <c r="AB17"/>
      <c r="AC17"/>
      <c r="AD17"/>
    </row>
    <row r="18" spans="1:41" ht="12.75" customHeight="1">
      <c r="A18"/>
      <c r="B18"/>
      <c r="C18"/>
      <c r="D18"/>
      <c r="E18"/>
      <c r="F18"/>
      <c r="G18"/>
      <c r="H18"/>
      <c r="I18"/>
      <c r="J18"/>
      <c r="K18"/>
      <c r="L18"/>
      <c r="M18"/>
      <c r="N18"/>
      <c r="O18"/>
      <c r="P18"/>
      <c r="Q18"/>
      <c r="R18"/>
      <c r="S18"/>
      <c r="T18"/>
      <c r="U18"/>
      <c r="V18"/>
      <c r="W18"/>
      <c r="Z18"/>
      <c r="AA18"/>
      <c r="AB18"/>
      <c r="AC18"/>
      <c r="AD18"/>
      <c r="AE18"/>
      <c r="AF18"/>
      <c r="AG18"/>
      <c r="AH18"/>
      <c r="AI18"/>
      <c r="AJ18"/>
      <c r="AK18"/>
      <c r="AL18"/>
      <c r="AM18"/>
      <c r="AN18"/>
      <c r="AO18"/>
    </row>
    <row r="19" spans="1:41" ht="12.75" customHeight="1" thickBot="1">
      <c r="A19"/>
      <c r="B19"/>
      <c r="C19"/>
      <c r="D19"/>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1" ht="12.75" customHeight="1" thickBot="1">
      <c r="A20" s="86" t="s">
        <v>300</v>
      </c>
      <c r="B20" s="50"/>
      <c r="C20" s="50"/>
      <c r="D20" s="51"/>
      <c r="E20"/>
      <c r="F20"/>
      <c r="G20"/>
      <c r="H20"/>
      <c r="I20"/>
      <c r="J20"/>
      <c r="K20"/>
      <c r="L20"/>
      <c r="M20"/>
      <c r="N20"/>
      <c r="O20"/>
      <c r="P20"/>
      <c r="Q20"/>
      <c r="R20"/>
      <c r="S20"/>
      <c r="T20"/>
      <c r="U20"/>
      <c r="V20"/>
      <c r="W20"/>
      <c r="Z20"/>
      <c r="AA20"/>
      <c r="AB20"/>
      <c r="AC20"/>
      <c r="AD20"/>
      <c r="AE20"/>
      <c r="AF20"/>
      <c r="AG20"/>
      <c r="AH20"/>
      <c r="AI20"/>
      <c r="AJ20"/>
      <c r="AK20"/>
      <c r="AL20"/>
      <c r="AM20"/>
      <c r="AN20"/>
      <c r="AO20"/>
    </row>
    <row r="21" spans="1:41" ht="12.75" customHeight="1" thickBot="1">
      <c r="A21" s="52" t="s">
        <v>131</v>
      </c>
      <c r="B21" s="53"/>
      <c r="C21" s="54" t="s">
        <v>78</v>
      </c>
      <c r="D21" s="56"/>
      <c r="E21" s="56"/>
      <c r="F21" s="56"/>
      <c r="G21" s="56"/>
      <c r="H21" s="56"/>
      <c r="I21" s="56"/>
      <c r="J21" s="55"/>
      <c r="K21" s="54" t="s">
        <v>45</v>
      </c>
      <c r="L21" s="56"/>
      <c r="M21" s="55"/>
      <c r="N21" s="54" t="s">
        <v>46</v>
      </c>
      <c r="O21" s="56"/>
      <c r="P21" s="56"/>
      <c r="Q21" s="55"/>
      <c r="R21" s="54" t="s">
        <v>47</v>
      </c>
      <c r="S21" s="55"/>
      <c r="T21" s="54" t="s">
        <v>48</v>
      </c>
      <c r="U21" s="56"/>
      <c r="V21" s="56"/>
      <c r="W21" s="56"/>
      <c r="X21" s="55"/>
      <c r="Y21" s="54" t="s">
        <v>49</v>
      </c>
      <c r="Z21" s="56"/>
      <c r="AA21" s="56"/>
      <c r="AB21" s="56"/>
      <c r="AC21" s="55"/>
      <c r="AD21" s="54" t="s">
        <v>79</v>
      </c>
      <c r="AE21" s="56"/>
      <c r="AF21" s="56"/>
      <c r="AG21" s="56"/>
      <c r="AH21" s="56"/>
      <c r="AI21" s="55"/>
      <c r="AJ21" s="54" t="s">
        <v>80</v>
      </c>
      <c r="AK21" s="56"/>
      <c r="AL21" s="56"/>
      <c r="AM21" s="56"/>
      <c r="AN21" s="56"/>
      <c r="AO21" s="55"/>
    </row>
    <row r="22" spans="1:41" ht="51">
      <c r="A22" s="57" t="s">
        <v>51</v>
      </c>
      <c r="B22" s="58" t="s">
        <v>52</v>
      </c>
      <c r="C22" s="59" t="s">
        <v>81</v>
      </c>
      <c r="D22" s="59" t="s">
        <v>82</v>
      </c>
      <c r="E22" s="59" t="s">
        <v>83</v>
      </c>
      <c r="F22" s="59" t="s">
        <v>84</v>
      </c>
      <c r="G22" s="59" t="s">
        <v>150</v>
      </c>
      <c r="H22" s="59" t="s">
        <v>86</v>
      </c>
      <c r="I22" s="59" t="s">
        <v>87</v>
      </c>
      <c r="J22" s="59" t="s">
        <v>88</v>
      </c>
      <c r="K22" s="59" t="s">
        <v>89</v>
      </c>
      <c r="L22" s="59" t="s">
        <v>90</v>
      </c>
      <c r="M22" s="59" t="s">
        <v>91</v>
      </c>
      <c r="N22" s="59" t="s">
        <v>20</v>
      </c>
      <c r="O22" s="59" t="s">
        <v>21</v>
      </c>
      <c r="P22" s="59" t="s">
        <v>22</v>
      </c>
      <c r="Q22" s="59" t="s">
        <v>4</v>
      </c>
      <c r="R22" s="59" t="s">
        <v>53</v>
      </c>
      <c r="S22" s="59" t="s">
        <v>4</v>
      </c>
      <c r="T22" s="59" t="s">
        <v>20</v>
      </c>
      <c r="U22" s="59" t="s">
        <v>21</v>
      </c>
      <c r="V22" s="59" t="s">
        <v>22</v>
      </c>
      <c r="W22" s="59" t="s">
        <v>4</v>
      </c>
      <c r="X22" s="59" t="s">
        <v>57</v>
      </c>
      <c r="Y22" s="59" t="s">
        <v>20</v>
      </c>
      <c r="Z22" s="59" t="s">
        <v>21</v>
      </c>
      <c r="AA22" s="59" t="s">
        <v>22</v>
      </c>
      <c r="AB22" s="59" t="s">
        <v>4</v>
      </c>
      <c r="AC22" s="59" t="s">
        <v>57</v>
      </c>
      <c r="AD22" s="59" t="s">
        <v>92</v>
      </c>
      <c r="AE22" s="59" t="s">
        <v>93</v>
      </c>
      <c r="AF22" s="59" t="s">
        <v>56</v>
      </c>
      <c r="AG22" s="59" t="s">
        <v>94</v>
      </c>
      <c r="AH22" s="59" t="s">
        <v>95</v>
      </c>
      <c r="AI22" s="59" t="s">
        <v>96</v>
      </c>
      <c r="AJ22" s="59" t="s">
        <v>97</v>
      </c>
      <c r="AK22" s="59" t="s">
        <v>54</v>
      </c>
      <c r="AL22" s="59" t="s">
        <v>55</v>
      </c>
      <c r="AM22" s="59" t="s">
        <v>98</v>
      </c>
      <c r="AN22" s="59" t="s">
        <v>99</v>
      </c>
      <c r="AO22" s="59" t="s">
        <v>100</v>
      </c>
    </row>
    <row r="23" spans="1:41" ht="12.75" customHeight="1">
      <c r="A23" t="s">
        <v>174</v>
      </c>
      <c r="B23" t="s">
        <v>175</v>
      </c>
      <c r="C23" s="49">
        <v>45</v>
      </c>
      <c r="D23" s="49">
        <v>439.18783673495454</v>
      </c>
      <c r="E23" s="49">
        <v>139.71</v>
      </c>
      <c r="F23" s="49">
        <v>0</v>
      </c>
      <c r="G23" s="49">
        <v>0</v>
      </c>
      <c r="H23" s="49" t="s">
        <v>169</v>
      </c>
      <c r="I23" s="49">
        <v>0.178</v>
      </c>
      <c r="J23" s="49">
        <v>0.3659999966621399</v>
      </c>
      <c r="K23" s="49">
        <v>472.6759092859948</v>
      </c>
      <c r="L23" s="60">
        <v>0.11094824612702532</v>
      </c>
      <c r="M23" s="49">
        <v>0.3031372872646316</v>
      </c>
      <c r="N23" s="49"/>
      <c r="O23" s="49"/>
      <c r="P23" s="49">
        <v>139.70882981131584</v>
      </c>
      <c r="Q23" s="49">
        <v>0</v>
      </c>
      <c r="R23" s="49">
        <v>0</v>
      </c>
      <c r="S23" s="49">
        <v>0</v>
      </c>
      <c r="T23" s="49">
        <v>0</v>
      </c>
      <c r="U23" s="49">
        <v>0</v>
      </c>
      <c r="V23" s="49">
        <v>139.70882981131584</v>
      </c>
      <c r="W23" s="49">
        <v>0</v>
      </c>
      <c r="X23" s="49">
        <v>139.70882981131584</v>
      </c>
      <c r="Y23" s="49">
        <v>0</v>
      </c>
      <c r="Z23" s="49">
        <v>0</v>
      </c>
      <c r="AA23" s="49">
        <v>16.025070190429688</v>
      </c>
      <c r="AB23" s="49">
        <v>0</v>
      </c>
      <c r="AC23" s="49">
        <v>16.025069660041073</v>
      </c>
      <c r="AD23" s="49">
        <v>196.31643867589784</v>
      </c>
      <c r="AE23" s="49">
        <v>6.139063968849688</v>
      </c>
      <c r="AF23" s="49">
        <v>30.892906188964844</v>
      </c>
      <c r="AG23" s="49">
        <v>233.0700263780006</v>
      </c>
      <c r="AH23" s="49">
        <v>139.70882981131584</v>
      </c>
      <c r="AI23" s="48">
        <v>1.6682555189444646</v>
      </c>
      <c r="AJ23" s="49">
        <v>111.82266235351562</v>
      </c>
      <c r="AK23" s="49">
        <v>0</v>
      </c>
      <c r="AL23" s="49">
        <v>0</v>
      </c>
      <c r="AM23" s="49">
        <v>344.8927001953125</v>
      </c>
      <c r="AN23" s="49">
        <v>139.70882981131584</v>
      </c>
      <c r="AO23" s="48">
        <v>2.468653678894043</v>
      </c>
    </row>
    <row r="24" spans="1:41" ht="12.75" customHeight="1">
      <c r="A24" t="s">
        <v>176</v>
      </c>
      <c r="B24" t="s">
        <v>176</v>
      </c>
      <c r="C24" s="49">
        <v>45</v>
      </c>
      <c r="D24" s="49">
        <v>125.23636232400531</v>
      </c>
      <c r="E24" s="49">
        <v>43.2</v>
      </c>
      <c r="F24" s="49">
        <v>0</v>
      </c>
      <c r="G24" s="49">
        <v>0</v>
      </c>
      <c r="H24" s="49" t="s">
        <v>169</v>
      </c>
      <c r="I24" s="49">
        <v>0.178</v>
      </c>
      <c r="J24" s="49">
        <v>0.3659999966621399</v>
      </c>
      <c r="K24" s="49">
        <v>134.7856349512107</v>
      </c>
      <c r="L24" s="60">
        <v>0.03163738516638931</v>
      </c>
      <c r="M24" s="49">
        <v>0.08644094386589368</v>
      </c>
      <c r="N24" s="49"/>
      <c r="O24" s="49"/>
      <c r="P24" s="49">
        <v>43.20000921809395</v>
      </c>
      <c r="Q24" s="49">
        <v>0</v>
      </c>
      <c r="R24" s="49">
        <v>0</v>
      </c>
      <c r="S24" s="49">
        <v>0</v>
      </c>
      <c r="T24" s="49">
        <v>0</v>
      </c>
      <c r="U24" s="49">
        <v>0</v>
      </c>
      <c r="V24" s="49">
        <v>43.20000921809395</v>
      </c>
      <c r="W24" s="49">
        <v>0</v>
      </c>
      <c r="X24" s="49">
        <v>43.20000921809395</v>
      </c>
      <c r="Y24" s="49">
        <v>0</v>
      </c>
      <c r="Z24" s="49">
        <v>0</v>
      </c>
      <c r="AA24" s="49">
        <v>17.377199172973633</v>
      </c>
      <c r="AB24" s="49">
        <v>0</v>
      </c>
      <c r="AC24" s="49">
        <v>17.377198813849887</v>
      </c>
      <c r="AD24" s="49">
        <v>55.980504439631126</v>
      </c>
      <c r="AE24" s="49">
        <v>1.7505813577371205</v>
      </c>
      <c r="AF24" s="49">
        <v>8.809248924255371</v>
      </c>
      <c r="AG24" s="49">
        <v>66.46095272792508</v>
      </c>
      <c r="AH24" s="49">
        <v>43.20000921809395</v>
      </c>
      <c r="AI24" s="48">
        <v>1.5384476515363446</v>
      </c>
      <c r="AJ24" s="49">
        <v>31.886728286743164</v>
      </c>
      <c r="AK24" s="49">
        <v>0</v>
      </c>
      <c r="AL24" s="49">
        <v>0</v>
      </c>
      <c r="AM24" s="49">
        <v>98.3476791381836</v>
      </c>
      <c r="AN24" s="49">
        <v>43.20000921809395</v>
      </c>
      <c r="AO24" s="48">
        <v>2.27656626701355</v>
      </c>
    </row>
    <row r="25" spans="1:41" ht="12.75" customHeight="1">
      <c r="A25" t="s">
        <v>177</v>
      </c>
      <c r="B25" t="s">
        <v>177</v>
      </c>
      <c r="C25" s="49">
        <v>45</v>
      </c>
      <c r="D25" s="49">
        <v>163.36380276107775</v>
      </c>
      <c r="E25" s="49">
        <v>56.59</v>
      </c>
      <c r="F25" s="49">
        <v>0</v>
      </c>
      <c r="G25" s="49">
        <v>0</v>
      </c>
      <c r="H25" s="49" t="s">
        <v>169</v>
      </c>
      <c r="I25" s="49">
        <v>0.178</v>
      </c>
      <c r="J25" s="49">
        <v>0.3659999966621399</v>
      </c>
      <c r="K25" s="49">
        <v>175.82029272160992</v>
      </c>
      <c r="L25" s="60">
        <v>0.041269192543510906</v>
      </c>
      <c r="M25" s="49">
        <v>0.11275735770458796</v>
      </c>
      <c r="N25" s="49"/>
      <c r="O25" s="49"/>
      <c r="P25" s="49">
        <v>56.592012075703074</v>
      </c>
      <c r="Q25" s="49">
        <v>0</v>
      </c>
      <c r="R25" s="49">
        <v>0</v>
      </c>
      <c r="S25" s="49">
        <v>0</v>
      </c>
      <c r="T25" s="49">
        <v>0</v>
      </c>
      <c r="U25" s="49">
        <v>0</v>
      </c>
      <c r="V25" s="49">
        <v>56.592012075703074</v>
      </c>
      <c r="W25" s="49">
        <v>0</v>
      </c>
      <c r="X25" s="49">
        <v>56.592012075703074</v>
      </c>
      <c r="Y25" s="49">
        <v>0</v>
      </c>
      <c r="Z25" s="49">
        <v>0</v>
      </c>
      <c r="AA25" s="49">
        <v>17.451215744018555</v>
      </c>
      <c r="AB25" s="49">
        <v>0</v>
      </c>
      <c r="AC25" s="49">
        <v>17.451215265315614</v>
      </c>
      <c r="AD25" s="49">
        <v>73.02342479480151</v>
      </c>
      <c r="AE25" s="49">
        <v>2.283535087858183</v>
      </c>
      <c r="AF25" s="49">
        <v>11.491170883178711</v>
      </c>
      <c r="AG25" s="49">
        <v>86.69458141227449</v>
      </c>
      <c r="AH25" s="49">
        <v>56.592012075703074</v>
      </c>
      <c r="AI25" s="48">
        <v>1.531922584698053</v>
      </c>
      <c r="AJ25" s="49">
        <v>41.59444808959961</v>
      </c>
      <c r="AK25" s="49">
        <v>0</v>
      </c>
      <c r="AL25" s="49">
        <v>0</v>
      </c>
      <c r="AM25" s="49">
        <v>128.28903198242188</v>
      </c>
      <c r="AN25" s="49">
        <v>56.592012075703074</v>
      </c>
      <c r="AO25" s="48">
        <v>2.2669105529785156</v>
      </c>
    </row>
    <row r="26" spans="1:41" ht="12.75" customHeight="1">
      <c r="A26" t="s">
        <v>178</v>
      </c>
      <c r="B26" t="s">
        <v>179</v>
      </c>
      <c r="C26" s="49">
        <v>45</v>
      </c>
      <c r="D26" s="49">
        <v>77.94074559211549</v>
      </c>
      <c r="E26" s="49">
        <v>34.56</v>
      </c>
      <c r="F26" s="49">
        <v>0</v>
      </c>
      <c r="G26" s="49">
        <v>0</v>
      </c>
      <c r="H26" s="49" t="s">
        <v>169</v>
      </c>
      <c r="I26" s="49">
        <v>0.178</v>
      </c>
      <c r="J26" s="49">
        <v>0.3659999966621399</v>
      </c>
      <c r="K26" s="49">
        <v>83.8837274435143</v>
      </c>
      <c r="L26" s="60">
        <v>0.0196895002593082</v>
      </c>
      <c r="M26" s="49">
        <v>0.05379644928653886</v>
      </c>
      <c r="N26" s="49"/>
      <c r="O26" s="49"/>
      <c r="P26" s="49">
        <v>34.56000737447516</v>
      </c>
      <c r="Q26" s="49">
        <v>0</v>
      </c>
      <c r="R26" s="49">
        <v>0</v>
      </c>
      <c r="S26" s="49">
        <v>0</v>
      </c>
      <c r="T26" s="49">
        <v>0</v>
      </c>
      <c r="U26" s="49">
        <v>0</v>
      </c>
      <c r="V26" s="49">
        <v>34.56000737447516</v>
      </c>
      <c r="W26" s="49">
        <v>0</v>
      </c>
      <c r="X26" s="49">
        <v>34.56000737447516</v>
      </c>
      <c r="Y26" s="49">
        <v>0</v>
      </c>
      <c r="Z26" s="49">
        <v>0</v>
      </c>
      <c r="AA26" s="49">
        <v>22.337554931640625</v>
      </c>
      <c r="AB26" s="49">
        <v>0</v>
      </c>
      <c r="AC26" s="49">
        <v>22.337555539604487</v>
      </c>
      <c r="AD26" s="49">
        <v>34.839420226526705</v>
      </c>
      <c r="AE26" s="49">
        <v>1.0894728472605593</v>
      </c>
      <c r="AF26" s="49">
        <v>5.482429027557373</v>
      </c>
      <c r="AG26" s="49">
        <v>41.3619187838046</v>
      </c>
      <c r="AH26" s="49">
        <v>34.56000737447516</v>
      </c>
      <c r="AI26" s="48">
        <v>1.1968145242455328</v>
      </c>
      <c r="AJ26" s="49">
        <v>19.84467887878418</v>
      </c>
      <c r="AK26" s="49">
        <v>0</v>
      </c>
      <c r="AL26" s="49">
        <v>0</v>
      </c>
      <c r="AM26" s="49">
        <v>61.20659637451172</v>
      </c>
      <c r="AN26" s="49">
        <v>34.56000737447516</v>
      </c>
      <c r="AO26" s="48">
        <v>1.7710238695144653</v>
      </c>
    </row>
    <row r="27" spans="1:41" ht="12.75" customHeight="1">
      <c r="A27" t="s">
        <v>180</v>
      </c>
      <c r="B27" t="s">
        <v>180</v>
      </c>
      <c r="C27" s="49">
        <v>45</v>
      </c>
      <c r="D27" s="49">
        <v>101.46134356870789</v>
      </c>
      <c r="E27" s="49">
        <v>45.27</v>
      </c>
      <c r="F27" s="49">
        <v>0</v>
      </c>
      <c r="G27" s="49">
        <v>0</v>
      </c>
      <c r="H27" s="49" t="s">
        <v>169</v>
      </c>
      <c r="I27" s="49">
        <v>0.178</v>
      </c>
      <c r="J27" s="49">
        <v>0.3659999966621399</v>
      </c>
      <c r="K27" s="49">
        <v>109.19777101582186</v>
      </c>
      <c r="L27" s="60">
        <v>0.025631306646211018</v>
      </c>
      <c r="M27" s="49">
        <v>0.07003089311465667</v>
      </c>
      <c r="N27" s="49"/>
      <c r="O27" s="49"/>
      <c r="P27" s="49">
        <v>45.273609660562464</v>
      </c>
      <c r="Q27" s="49">
        <v>0</v>
      </c>
      <c r="R27" s="49">
        <v>0</v>
      </c>
      <c r="S27" s="49">
        <v>0</v>
      </c>
      <c r="T27" s="49">
        <v>0</v>
      </c>
      <c r="U27" s="49">
        <v>0</v>
      </c>
      <c r="V27" s="49">
        <v>45.273609660562464</v>
      </c>
      <c r="W27" s="49">
        <v>0</v>
      </c>
      <c r="X27" s="49">
        <v>45.273609660562464</v>
      </c>
      <c r="Y27" s="49">
        <v>0</v>
      </c>
      <c r="Z27" s="49">
        <v>0</v>
      </c>
      <c r="AA27" s="49">
        <v>22.478683471679688</v>
      </c>
      <c r="AB27" s="49">
        <v>0</v>
      </c>
      <c r="AC27" s="49">
        <v>22.478684300990363</v>
      </c>
      <c r="AD27" s="49">
        <v>45.3530994409143</v>
      </c>
      <c r="AE27" s="49">
        <v>1.4182489277580654</v>
      </c>
      <c r="AF27" s="49">
        <v>7.1368913650512695</v>
      </c>
      <c r="AG27" s="49">
        <v>53.843927711349664</v>
      </c>
      <c r="AH27" s="49">
        <v>45.273609660562464</v>
      </c>
      <c r="AI27" s="48">
        <v>1.1893005244124095</v>
      </c>
      <c r="AJ27" s="49">
        <v>25.833316802978516</v>
      </c>
      <c r="AK27" s="49">
        <v>0</v>
      </c>
      <c r="AL27" s="49">
        <v>0</v>
      </c>
      <c r="AM27" s="49">
        <v>79.67724609375</v>
      </c>
      <c r="AN27" s="49">
        <v>45.273609660562464</v>
      </c>
      <c r="AO27" s="48">
        <v>1.7599048614501953</v>
      </c>
    </row>
    <row r="28" spans="1:41" ht="12.75" customHeight="1">
      <c r="A28" t="s">
        <v>218</v>
      </c>
      <c r="B28" t="s">
        <v>218</v>
      </c>
      <c r="C28" s="49">
        <v>45</v>
      </c>
      <c r="D28" s="49">
        <v>408.25571436549944</v>
      </c>
      <c r="E28" s="49">
        <v>221.56</v>
      </c>
      <c r="F28" s="49">
        <v>0</v>
      </c>
      <c r="G28" s="49">
        <v>0</v>
      </c>
      <c r="H28" s="49" t="s">
        <v>169</v>
      </c>
      <c r="I28" s="49">
        <v>0.178</v>
      </c>
      <c r="J28" s="49">
        <v>0.3659999966621399</v>
      </c>
      <c r="K28" s="49">
        <v>439.38521258586877</v>
      </c>
      <c r="L28" s="60">
        <v>0.10313413007273972</v>
      </c>
      <c r="M28" s="49">
        <v>0.28178724320575443</v>
      </c>
      <c r="N28" s="49"/>
      <c r="O28" s="49"/>
      <c r="P28" s="49">
        <v>221.5600472768726</v>
      </c>
      <c r="Q28" s="49">
        <v>0</v>
      </c>
      <c r="R28" s="49">
        <v>0</v>
      </c>
      <c r="S28" s="49">
        <v>0</v>
      </c>
      <c r="T28" s="49">
        <v>0</v>
      </c>
      <c r="U28" s="49">
        <v>0</v>
      </c>
      <c r="V28" s="49">
        <v>221.5600472768726</v>
      </c>
      <c r="W28" s="49">
        <v>0</v>
      </c>
      <c r="X28" s="49">
        <v>221.5600472768726</v>
      </c>
      <c r="Y28" s="49">
        <v>0</v>
      </c>
      <c r="Z28" s="49">
        <v>0</v>
      </c>
      <c r="AA28" s="49">
        <v>27.339183807373047</v>
      </c>
      <c r="AB28" s="49">
        <v>0</v>
      </c>
      <c r="AC28" s="49">
        <v>27.33918423914057</v>
      </c>
      <c r="AD28" s="49">
        <v>182.48981690649018</v>
      </c>
      <c r="AE28" s="49">
        <v>5.706687973808254</v>
      </c>
      <c r="AF28" s="49">
        <v>28.71710968017578</v>
      </c>
      <c r="AG28" s="49">
        <v>216.65483865910056</v>
      </c>
      <c r="AH28" s="49">
        <v>221.5600472768726</v>
      </c>
      <c r="AI28" s="69">
        <v>0.9778605904897545</v>
      </c>
      <c r="AJ28" s="49">
        <v>103.94695281982422</v>
      </c>
      <c r="AK28" s="49">
        <v>0</v>
      </c>
      <c r="AL28" s="49">
        <v>0</v>
      </c>
      <c r="AM28" s="49">
        <v>320.601806640625</v>
      </c>
      <c r="AN28" s="49">
        <v>221.5600472768726</v>
      </c>
      <c r="AO28" s="48">
        <v>1.4470199346542358</v>
      </c>
    </row>
    <row r="29" spans="1:41" ht="12.75" customHeight="1">
      <c r="A29" t="s">
        <v>181</v>
      </c>
      <c r="B29" t="s">
        <v>181</v>
      </c>
      <c r="C29" s="49">
        <v>45</v>
      </c>
      <c r="D29" s="49">
        <v>210.46043880661273</v>
      </c>
      <c r="E29" s="49">
        <v>116</v>
      </c>
      <c r="F29" s="49">
        <v>0</v>
      </c>
      <c r="G29" s="49">
        <v>0</v>
      </c>
      <c r="H29" s="49" t="s">
        <v>169</v>
      </c>
      <c r="I29" s="49">
        <v>0.178</v>
      </c>
      <c r="J29" s="49">
        <v>0.3659999966621399</v>
      </c>
      <c r="K29" s="49">
        <v>226.50804726561694</v>
      </c>
      <c r="L29" s="60">
        <v>0.05316681067105563</v>
      </c>
      <c r="M29" s="49">
        <v>0.1452645113549952</v>
      </c>
      <c r="N29" s="49"/>
      <c r="O29" s="49"/>
      <c r="P29" s="49">
        <v>116.0000247522893</v>
      </c>
      <c r="Q29" s="49">
        <v>0</v>
      </c>
      <c r="R29" s="49">
        <v>0</v>
      </c>
      <c r="S29" s="49">
        <v>0</v>
      </c>
      <c r="T29" s="49">
        <v>0</v>
      </c>
      <c r="U29" s="49">
        <v>0</v>
      </c>
      <c r="V29" s="49">
        <v>116.0000247522893</v>
      </c>
      <c r="W29" s="49">
        <v>0</v>
      </c>
      <c r="X29" s="49">
        <v>116.0000247522893</v>
      </c>
      <c r="Y29" s="49">
        <v>0</v>
      </c>
      <c r="Z29" s="49">
        <v>0</v>
      </c>
      <c r="AA29" s="49">
        <v>27.766042709350586</v>
      </c>
      <c r="AB29" s="49">
        <v>0</v>
      </c>
      <c r="AC29" s="49">
        <v>27.766042571488217</v>
      </c>
      <c r="AD29" s="49">
        <v>94.07556487866763</v>
      </c>
      <c r="AE29" s="49">
        <v>2.9418622026313037</v>
      </c>
      <c r="AF29" s="49">
        <v>14.803995132446289</v>
      </c>
      <c r="AG29" s="49">
        <v>111.68802030940124</v>
      </c>
      <c r="AH29" s="49">
        <v>116.0000247522893</v>
      </c>
      <c r="AI29" s="69">
        <v>0.9628275558380606</v>
      </c>
      <c r="AJ29" s="49">
        <v>53.58583450317383</v>
      </c>
      <c r="AK29" s="49">
        <v>0</v>
      </c>
      <c r="AL29" s="49">
        <v>0</v>
      </c>
      <c r="AM29" s="49">
        <v>165.2738494873047</v>
      </c>
      <c r="AN29" s="49">
        <v>116.0000247522893</v>
      </c>
      <c r="AO29" s="48">
        <v>1.4247742891311646</v>
      </c>
    </row>
    <row r="30" spans="1:41" ht="12.75" customHeight="1">
      <c r="A30" t="s">
        <v>182</v>
      </c>
      <c r="B30" t="s">
        <v>182</v>
      </c>
      <c r="C30" s="49">
        <v>45</v>
      </c>
      <c r="D30" s="49">
        <v>235.757250292153</v>
      </c>
      <c r="E30" s="49">
        <v>155.63</v>
      </c>
      <c r="F30" s="49">
        <v>0</v>
      </c>
      <c r="G30" s="49">
        <v>0</v>
      </c>
      <c r="H30" s="49" t="s">
        <v>169</v>
      </c>
      <c r="I30" s="49">
        <v>0.178</v>
      </c>
      <c r="J30" s="49">
        <v>0.3659999966621399</v>
      </c>
      <c r="K30" s="49">
        <v>253.73374062692966</v>
      </c>
      <c r="L30" s="60">
        <v>0.05955732660107776</v>
      </c>
      <c r="M30" s="49">
        <v>0.16272493755254328</v>
      </c>
      <c r="N30" s="49"/>
      <c r="O30" s="49"/>
      <c r="P30" s="49">
        <v>155.62803320818344</v>
      </c>
      <c r="Q30" s="49">
        <v>0</v>
      </c>
      <c r="R30" s="49">
        <v>0</v>
      </c>
      <c r="S30" s="49">
        <v>0</v>
      </c>
      <c r="T30" s="49">
        <v>0</v>
      </c>
      <c r="U30" s="49">
        <v>0</v>
      </c>
      <c r="V30" s="49">
        <v>155.62803320818344</v>
      </c>
      <c r="W30" s="49">
        <v>0</v>
      </c>
      <c r="X30" s="49">
        <v>155.62803320818344</v>
      </c>
      <c r="Y30" s="49">
        <v>0</v>
      </c>
      <c r="Z30" s="49">
        <v>0</v>
      </c>
      <c r="AA30" s="49">
        <v>33.25440216064453</v>
      </c>
      <c r="AB30" s="49">
        <v>0</v>
      </c>
      <c r="AC30" s="49">
        <v>33.254402287865936</v>
      </c>
      <c r="AD30" s="49">
        <v>105.3832094109407</v>
      </c>
      <c r="AE30" s="49">
        <v>3.295466585376048</v>
      </c>
      <c r="AF30" s="49">
        <v>16.58339500427246</v>
      </c>
      <c r="AG30" s="49">
        <v>125.11263452535323</v>
      </c>
      <c r="AH30" s="49">
        <v>155.62803320818344</v>
      </c>
      <c r="AI30" s="69">
        <v>0.8039209385753157</v>
      </c>
      <c r="AJ30" s="49">
        <v>60.02669143676758</v>
      </c>
      <c r="AK30" s="49">
        <v>0</v>
      </c>
      <c r="AL30" s="49">
        <v>0</v>
      </c>
      <c r="AM30" s="49">
        <v>185.1393280029297</v>
      </c>
      <c r="AN30" s="49">
        <v>155.62803320818344</v>
      </c>
      <c r="AO30" s="48">
        <v>1.1896271705627441</v>
      </c>
    </row>
    <row r="31" spans="1:41" ht="12.75" customHeight="1">
      <c r="A31" t="s">
        <v>183</v>
      </c>
      <c r="B31" t="s">
        <v>184</v>
      </c>
      <c r="C31" s="49">
        <v>45</v>
      </c>
      <c r="D31" s="49">
        <v>74.51474466140553</v>
      </c>
      <c r="E31" s="49">
        <v>51.84</v>
      </c>
      <c r="F31" s="49">
        <v>0</v>
      </c>
      <c r="G31" s="49">
        <v>0</v>
      </c>
      <c r="H31" s="49" t="s">
        <v>169</v>
      </c>
      <c r="I31" s="49">
        <v>0.178</v>
      </c>
      <c r="J31" s="49">
        <v>0.3659999966621399</v>
      </c>
      <c r="K31" s="49">
        <v>80.1964939418377</v>
      </c>
      <c r="L31" s="60">
        <v>0.018824019108196043</v>
      </c>
      <c r="M31" s="49">
        <v>0.05143174666630606</v>
      </c>
      <c r="N31" s="49"/>
      <c r="O31" s="49"/>
      <c r="P31" s="49">
        <v>51.840011061712744</v>
      </c>
      <c r="Q31" s="49">
        <v>0</v>
      </c>
      <c r="R31" s="49">
        <v>0</v>
      </c>
      <c r="S31" s="49">
        <v>0</v>
      </c>
      <c r="T31" s="49">
        <v>0</v>
      </c>
      <c r="U31" s="49">
        <v>0</v>
      </c>
      <c r="V31" s="49">
        <v>51.840011061712744</v>
      </c>
      <c r="W31" s="49">
        <v>0</v>
      </c>
      <c r="X31" s="49">
        <v>51.840011061712744</v>
      </c>
      <c r="Y31" s="49">
        <v>0</v>
      </c>
      <c r="Z31" s="49">
        <v>0</v>
      </c>
      <c r="AA31" s="49">
        <v>35.046871185302734</v>
      </c>
      <c r="AB31" s="49">
        <v>0</v>
      </c>
      <c r="AC31" s="49">
        <v>35.04687041551001</v>
      </c>
      <c r="AD31" s="49">
        <v>33.3080019007883</v>
      </c>
      <c r="AE31" s="49">
        <v>1.0415834543590434</v>
      </c>
      <c r="AF31" s="49">
        <v>5.241440773010254</v>
      </c>
      <c r="AG31" s="49">
        <v>39.543794406624066</v>
      </c>
      <c r="AH31" s="49">
        <v>51.840011061712744</v>
      </c>
      <c r="AI31" s="69">
        <v>0.7628045132851015</v>
      </c>
      <c r="AJ31" s="49">
        <v>18.972375869750977</v>
      </c>
      <c r="AK31" s="49">
        <v>0</v>
      </c>
      <c r="AL31" s="49">
        <v>0</v>
      </c>
      <c r="AM31" s="49">
        <v>58.516170501708984</v>
      </c>
      <c r="AN31" s="49">
        <v>51.840011061712744</v>
      </c>
      <c r="AO31" s="48">
        <v>1.128783941268921</v>
      </c>
    </row>
    <row r="32" spans="1:41" ht="12.75" customHeight="1">
      <c r="A32" t="s">
        <v>185</v>
      </c>
      <c r="B32" t="s">
        <v>186</v>
      </c>
      <c r="C32" s="49">
        <v>45</v>
      </c>
      <c r="D32" s="49">
        <v>58.56858930386534</v>
      </c>
      <c r="E32" s="49">
        <v>67.91</v>
      </c>
      <c r="F32" s="49">
        <v>0</v>
      </c>
      <c r="G32" s="49">
        <v>0</v>
      </c>
      <c r="H32" s="49" t="s">
        <v>169</v>
      </c>
      <c r="I32" s="49">
        <v>0.178</v>
      </c>
      <c r="J32" s="49">
        <v>0.3659999966621399</v>
      </c>
      <c r="K32" s="49">
        <v>63.03444423828507</v>
      </c>
      <c r="L32" s="60">
        <v>0.014795679019042236</v>
      </c>
      <c r="M32" s="49">
        <v>0.040425352879716964</v>
      </c>
      <c r="N32" s="49"/>
      <c r="O32" s="49"/>
      <c r="P32" s="49">
        <v>67.91041449084369</v>
      </c>
      <c r="Q32" s="49">
        <v>0</v>
      </c>
      <c r="R32" s="49">
        <v>0</v>
      </c>
      <c r="S32" s="49">
        <v>0</v>
      </c>
      <c r="T32" s="49">
        <v>0</v>
      </c>
      <c r="U32" s="49">
        <v>0</v>
      </c>
      <c r="V32" s="49">
        <v>67.91041449084369</v>
      </c>
      <c r="W32" s="49">
        <v>0</v>
      </c>
      <c r="X32" s="49">
        <v>67.91041449084369</v>
      </c>
      <c r="Y32" s="49">
        <v>0</v>
      </c>
      <c r="Z32" s="49">
        <v>0</v>
      </c>
      <c r="AA32" s="49">
        <v>58.41144943237305</v>
      </c>
      <c r="AB32" s="49">
        <v>0</v>
      </c>
      <c r="AC32" s="49">
        <v>58.41145069251608</v>
      </c>
      <c r="AD32" s="49">
        <v>26.18008949401989</v>
      </c>
      <c r="AE32" s="49">
        <v>0.8186845951262159</v>
      </c>
      <c r="AF32" s="49">
        <v>4.119772434234619</v>
      </c>
      <c r="AG32" s="49">
        <v>31.08142239025537</v>
      </c>
      <c r="AH32" s="49">
        <v>67.91041449084369</v>
      </c>
      <c r="AI32" s="69">
        <v>0.4576827077744615</v>
      </c>
      <c r="AJ32" s="49">
        <v>14.912286758422852</v>
      </c>
      <c r="AK32" s="49">
        <v>0</v>
      </c>
      <c r="AL32" s="49">
        <v>0</v>
      </c>
      <c r="AM32" s="49">
        <v>45.993709564208984</v>
      </c>
      <c r="AN32" s="49">
        <v>67.91041449084369</v>
      </c>
      <c r="AO32" s="69">
        <v>0.6772703528404236</v>
      </c>
    </row>
    <row r="33" spans="1:41" ht="12.75" customHeight="1">
      <c r="A33" t="s">
        <v>187</v>
      </c>
      <c r="B33" t="s">
        <v>188</v>
      </c>
      <c r="C33" s="49">
        <v>45</v>
      </c>
      <c r="D33" s="49">
        <v>59.611795729123514</v>
      </c>
      <c r="E33" s="49">
        <v>77.76</v>
      </c>
      <c r="F33" s="49">
        <v>0</v>
      </c>
      <c r="G33" s="49">
        <v>0</v>
      </c>
      <c r="H33" s="49" t="s">
        <v>169</v>
      </c>
      <c r="I33" s="49">
        <v>0.178</v>
      </c>
      <c r="J33" s="49">
        <v>0.3659999966621399</v>
      </c>
      <c r="K33" s="49">
        <v>64.15719515346917</v>
      </c>
      <c r="L33" s="60">
        <v>0.0150592152865566</v>
      </c>
      <c r="M33" s="49">
        <v>0.04114539733304421</v>
      </c>
      <c r="N33" s="49"/>
      <c r="O33" s="49"/>
      <c r="P33" s="49">
        <v>77.76001659256912</v>
      </c>
      <c r="Q33" s="49">
        <v>0</v>
      </c>
      <c r="R33" s="49">
        <v>0</v>
      </c>
      <c r="S33" s="49">
        <v>0</v>
      </c>
      <c r="T33" s="49">
        <v>0</v>
      </c>
      <c r="U33" s="49">
        <v>0</v>
      </c>
      <c r="V33" s="49">
        <v>77.76001659256912</v>
      </c>
      <c r="W33" s="49">
        <v>0</v>
      </c>
      <c r="X33" s="49">
        <v>77.76001659256912</v>
      </c>
      <c r="Y33" s="49">
        <v>0</v>
      </c>
      <c r="Z33" s="49">
        <v>0</v>
      </c>
      <c r="AA33" s="49">
        <v>65.71288299560547</v>
      </c>
      <c r="AB33" s="49">
        <v>0</v>
      </c>
      <c r="AC33" s="49">
        <v>65.71288202908225</v>
      </c>
      <c r="AD33" s="49">
        <v>26.6464015206303</v>
      </c>
      <c r="AE33" s="49">
        <v>0.8332667634872217</v>
      </c>
      <c r="AF33" s="49">
        <v>4.19315242767334</v>
      </c>
      <c r="AG33" s="49">
        <v>31.635035334564037</v>
      </c>
      <c r="AH33" s="49">
        <v>77.76001659256912</v>
      </c>
      <c r="AI33" s="69">
        <v>0.40682907129918405</v>
      </c>
      <c r="AJ33" s="49">
        <v>15.177901268005371</v>
      </c>
      <c r="AK33" s="49">
        <v>0</v>
      </c>
      <c r="AL33" s="49">
        <v>0</v>
      </c>
      <c r="AM33" s="49">
        <v>46.81293487548828</v>
      </c>
      <c r="AN33" s="49">
        <v>77.76001659256912</v>
      </c>
      <c r="AO33" s="69">
        <v>0.6020180583000183</v>
      </c>
    </row>
    <row r="34" spans="1:41" ht="12.75" customHeight="1">
      <c r="A34" t="s">
        <v>189</v>
      </c>
      <c r="B34" t="s">
        <v>189</v>
      </c>
      <c r="C34" s="49">
        <v>45</v>
      </c>
      <c r="D34" s="49">
        <v>68.57616006622447</v>
      </c>
      <c r="E34" s="49">
        <v>139.71</v>
      </c>
      <c r="F34" s="49">
        <v>0</v>
      </c>
      <c r="G34" s="49">
        <v>0</v>
      </c>
      <c r="H34" s="49" t="s">
        <v>169</v>
      </c>
      <c r="I34" s="49">
        <v>0.178</v>
      </c>
      <c r="J34" s="49">
        <v>0.3659999966621399</v>
      </c>
      <c r="K34" s="49">
        <v>73.80509227127409</v>
      </c>
      <c r="L34" s="60">
        <v>0.017323805554445158</v>
      </c>
      <c r="M34" s="49">
        <v>0.04733280249299298</v>
      </c>
      <c r="N34" s="49"/>
      <c r="O34" s="49"/>
      <c r="P34" s="49">
        <v>139.70882981131584</v>
      </c>
      <c r="Q34" s="49">
        <v>0</v>
      </c>
      <c r="R34" s="49">
        <v>0</v>
      </c>
      <c r="S34" s="49">
        <v>0</v>
      </c>
      <c r="T34" s="49">
        <v>0</v>
      </c>
      <c r="U34" s="49">
        <v>0</v>
      </c>
      <c r="V34" s="49">
        <v>139.70882981131584</v>
      </c>
      <c r="W34" s="49">
        <v>0</v>
      </c>
      <c r="X34" s="49">
        <v>139.70882981131584</v>
      </c>
      <c r="Y34" s="49">
        <v>0</v>
      </c>
      <c r="Z34" s="49">
        <v>0</v>
      </c>
      <c r="AA34" s="49">
        <v>102.63064575195312</v>
      </c>
      <c r="AB34" s="49">
        <v>0</v>
      </c>
      <c r="AC34" s="49">
        <v>102.6306470167436</v>
      </c>
      <c r="AD34" s="49">
        <v>30.653461676795132</v>
      </c>
      <c r="AE34" s="49">
        <v>0.9585726155678871</v>
      </c>
      <c r="AF34" s="49">
        <v>4.823714256286621</v>
      </c>
      <c r="AG34" s="49">
        <v>36.3922810428452</v>
      </c>
      <c r="AH34" s="49">
        <v>139.70882981131584</v>
      </c>
      <c r="AI34" s="69">
        <v>0.2604866212965558</v>
      </c>
      <c r="AJ34" s="49">
        <v>17.46033477783203</v>
      </c>
      <c r="AK34" s="49">
        <v>0</v>
      </c>
      <c r="AL34" s="49">
        <v>0</v>
      </c>
      <c r="AM34" s="49">
        <v>53.85261535644531</v>
      </c>
      <c r="AN34" s="49">
        <v>139.70882981131584</v>
      </c>
      <c r="AO34" s="69">
        <v>0.3854632079601288</v>
      </c>
    </row>
    <row r="35" spans="1:41" ht="12.75" customHeight="1">
      <c r="A35"/>
      <c r="B35"/>
      <c r="C35" s="49"/>
      <c r="D35" s="49"/>
      <c r="E35" s="49"/>
      <c r="F35" s="49"/>
      <c r="G35" s="49"/>
      <c r="H35" s="49"/>
      <c r="I35" s="49"/>
      <c r="J35" s="49"/>
      <c r="K35" s="49"/>
      <c r="L35" s="6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61"/>
    </row>
    <row r="36" spans="1:41" ht="12.75" customHeight="1" thickBot="1">
      <c r="A36"/>
      <c r="B3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132</v>
      </c>
      <c r="B37" s="71"/>
      <c r="C37" s="72" t="s">
        <v>101</v>
      </c>
      <c r="D37" s="63"/>
      <c r="E37" s="63"/>
      <c r="F37" s="63"/>
      <c r="G37" s="63"/>
      <c r="H37" s="63"/>
      <c r="I37" s="63"/>
      <c r="J37" s="64"/>
      <c r="K37" s="72" t="s">
        <v>45</v>
      </c>
      <c r="L37" s="63"/>
      <c r="M37" s="64"/>
      <c r="N37" s="72" t="s">
        <v>102</v>
      </c>
      <c r="O37" s="63"/>
      <c r="P37" s="63"/>
      <c r="Q37" s="63"/>
      <c r="R37" s="73" t="s">
        <v>103</v>
      </c>
      <c r="S37" s="72" t="s">
        <v>79</v>
      </c>
      <c r="T37" s="63"/>
      <c r="U37" s="63"/>
      <c r="V37" s="63"/>
      <c r="W37" s="63"/>
      <c r="X37" s="64"/>
      <c r="Y37" s="72" t="s">
        <v>80</v>
      </c>
      <c r="Z37" s="63"/>
      <c r="AA37" s="63"/>
      <c r="AB37" s="63"/>
      <c r="AC37" s="63"/>
      <c r="AD37" s="64"/>
      <c r="AE37" s="49"/>
      <c r="AF37" s="49"/>
      <c r="AG37" s="49"/>
      <c r="AH37" s="49"/>
      <c r="AI37" s="49"/>
      <c r="AJ37" s="49"/>
      <c r="AK37" s="49"/>
      <c r="AL37" s="49"/>
      <c r="AM37" s="49"/>
      <c r="AN37" s="49"/>
      <c r="AO37" s="49"/>
    </row>
    <row r="38" spans="1:41" ht="51">
      <c r="A38" s="57"/>
      <c r="B38" s="58" t="s">
        <v>51</v>
      </c>
      <c r="C38" s="59" t="s">
        <v>104</v>
      </c>
      <c r="D38" s="59" t="s">
        <v>82</v>
      </c>
      <c r="E38" s="59" t="s">
        <v>83</v>
      </c>
      <c r="F38" s="59" t="s">
        <v>84</v>
      </c>
      <c r="G38" s="59" t="s">
        <v>85</v>
      </c>
      <c r="H38" s="59" t="s">
        <v>86</v>
      </c>
      <c r="I38" s="59" t="s">
        <v>105</v>
      </c>
      <c r="J38" s="59" t="s">
        <v>106</v>
      </c>
      <c r="K38" s="59" t="s">
        <v>89</v>
      </c>
      <c r="L38" s="59" t="s">
        <v>90</v>
      </c>
      <c r="M38" s="59" t="s">
        <v>91</v>
      </c>
      <c r="N38" s="59" t="s">
        <v>46</v>
      </c>
      <c r="O38" s="59" t="s">
        <v>107</v>
      </c>
      <c r="P38" s="59" t="s">
        <v>108</v>
      </c>
      <c r="Q38" s="59" t="s">
        <v>109</v>
      </c>
      <c r="R38" s="59" t="s">
        <v>110</v>
      </c>
      <c r="S38" s="59" t="s">
        <v>92</v>
      </c>
      <c r="T38" s="59" t="s">
        <v>93</v>
      </c>
      <c r="U38" s="59" t="s">
        <v>56</v>
      </c>
      <c r="V38" s="59" t="s">
        <v>94</v>
      </c>
      <c r="W38" s="59" t="s">
        <v>95</v>
      </c>
      <c r="X38" s="59" t="s">
        <v>96</v>
      </c>
      <c r="Y38" s="59" t="s">
        <v>97</v>
      </c>
      <c r="Z38" s="59" t="s">
        <v>54</v>
      </c>
      <c r="AA38" s="59" t="s">
        <v>55</v>
      </c>
      <c r="AB38" s="59" t="s">
        <v>98</v>
      </c>
      <c r="AC38" s="59" t="s">
        <v>99</v>
      </c>
      <c r="AD38" s="59" t="s">
        <v>100</v>
      </c>
      <c r="AE38" s="49"/>
      <c r="AF38" s="49"/>
      <c r="AG38" s="49"/>
      <c r="AH38" s="49"/>
      <c r="AI38" s="49"/>
      <c r="AJ38" s="49"/>
      <c r="AK38" s="49"/>
      <c r="AL38" s="49"/>
      <c r="AM38" s="49"/>
      <c r="AN38" s="49"/>
      <c r="AO38" s="49"/>
    </row>
    <row r="39" spans="1:41" ht="12.75" customHeight="1">
      <c r="A39"/>
      <c r="B39" t="s">
        <v>174</v>
      </c>
      <c r="C39" s="49">
        <v>45</v>
      </c>
      <c r="D39" s="49">
        <v>439.18783673495454</v>
      </c>
      <c r="E39" s="49">
        <v>139.71</v>
      </c>
      <c r="F39" s="49">
        <v>0</v>
      </c>
      <c r="G39" s="49">
        <v>0</v>
      </c>
      <c r="H39" s="49"/>
      <c r="I39" s="49">
        <v>0.178</v>
      </c>
      <c r="J39" s="49">
        <v>0.3659999966621399</v>
      </c>
      <c r="K39" s="49">
        <v>472.6759092859948</v>
      </c>
      <c r="L39" s="49">
        <v>0.11094824612702532</v>
      </c>
      <c r="M39" s="49">
        <v>0.30313727259635925</v>
      </c>
      <c r="N39" s="49">
        <v>139.70882981131584</v>
      </c>
      <c r="O39" s="49">
        <v>0</v>
      </c>
      <c r="P39" s="49">
        <v>0</v>
      </c>
      <c r="Q39" s="49">
        <v>139.70883178710938</v>
      </c>
      <c r="R39" s="49">
        <v>16.02506946661501</v>
      </c>
      <c r="S39" s="49">
        <v>196.31643867589784</v>
      </c>
      <c r="T39" s="49">
        <v>6.139063835144043</v>
      </c>
      <c r="U39" s="49">
        <v>30.892906188964844</v>
      </c>
      <c r="V39" s="49">
        <v>233.0700263780006</v>
      </c>
      <c r="W39" s="49">
        <v>139.70882981131584</v>
      </c>
      <c r="X39" s="48">
        <v>1.6682555189444646</v>
      </c>
      <c r="Y39" s="60">
        <v>111.82266235351562</v>
      </c>
      <c r="Z39" s="60">
        <v>0</v>
      </c>
      <c r="AA39" s="60">
        <v>0</v>
      </c>
      <c r="AB39" s="60">
        <v>344.8927001953125</v>
      </c>
      <c r="AC39" s="60">
        <v>139.70883178710938</v>
      </c>
      <c r="AD39" s="48">
        <v>2.468653440475464</v>
      </c>
      <c r="AE39" s="60"/>
      <c r="AF39" s="60"/>
      <c r="AG39" s="60"/>
      <c r="AH39" s="60"/>
      <c r="AI39" s="60"/>
      <c r="AJ39" s="60"/>
      <c r="AK39" s="60"/>
      <c r="AL39" s="49"/>
      <c r="AM39" s="49"/>
      <c r="AN39" s="49"/>
      <c r="AO39" s="49"/>
    </row>
    <row r="40" spans="1:41" ht="12.75" customHeight="1">
      <c r="A40"/>
      <c r="B40" t="s">
        <v>176</v>
      </c>
      <c r="C40" s="49">
        <v>45</v>
      </c>
      <c r="D40" s="49">
        <v>125.23636232400531</v>
      </c>
      <c r="E40" s="49">
        <v>43.2</v>
      </c>
      <c r="F40" s="49">
        <v>0</v>
      </c>
      <c r="G40" s="49">
        <v>0</v>
      </c>
      <c r="H40" s="49"/>
      <c r="I40" s="49">
        <v>0.178</v>
      </c>
      <c r="J40" s="49">
        <v>0.3659999966621399</v>
      </c>
      <c r="K40" s="49">
        <v>134.7856349512107</v>
      </c>
      <c r="L40" s="49">
        <v>0.03163738516638931</v>
      </c>
      <c r="M40" s="49">
        <v>0.08644094318151474</v>
      </c>
      <c r="N40" s="49">
        <v>43.20000921809395</v>
      </c>
      <c r="O40" s="49">
        <v>0</v>
      </c>
      <c r="P40" s="49">
        <v>0</v>
      </c>
      <c r="Q40" s="49">
        <v>43.200008392333984</v>
      </c>
      <c r="R40" s="49">
        <v>17.37719824844988</v>
      </c>
      <c r="S40" s="49">
        <v>55.980504439631126</v>
      </c>
      <c r="T40" s="49">
        <v>1.7505813837051392</v>
      </c>
      <c r="U40" s="49">
        <v>8.809248924255371</v>
      </c>
      <c r="V40" s="49">
        <v>66.46095272792508</v>
      </c>
      <c r="W40" s="49">
        <v>43.20000921809395</v>
      </c>
      <c r="X40" s="48">
        <v>1.5384476515363446</v>
      </c>
      <c r="Y40" s="60">
        <v>31.886728286743164</v>
      </c>
      <c r="Z40" s="60">
        <v>0</v>
      </c>
      <c r="AA40" s="60">
        <v>0</v>
      </c>
      <c r="AB40" s="60">
        <v>98.3476791381836</v>
      </c>
      <c r="AC40" s="60">
        <v>43.200008392333984</v>
      </c>
      <c r="AD40" s="48">
        <v>2.27656626701355</v>
      </c>
      <c r="AE40" s="60"/>
      <c r="AF40" s="60"/>
      <c r="AG40" s="60"/>
      <c r="AH40" s="60"/>
      <c r="AI40" s="60"/>
      <c r="AJ40" s="60"/>
      <c r="AK40" s="60"/>
      <c r="AL40" s="49"/>
      <c r="AM40" s="49"/>
      <c r="AN40" s="49"/>
      <c r="AO40" s="49"/>
    </row>
    <row r="41" spans="1:41" ht="12.75" customHeight="1">
      <c r="A41"/>
      <c r="B41" t="s">
        <v>177</v>
      </c>
      <c r="C41" s="49">
        <v>45</v>
      </c>
      <c r="D41" s="49">
        <v>163.36380276107775</v>
      </c>
      <c r="E41" s="49">
        <v>56.59</v>
      </c>
      <c r="F41" s="49">
        <v>0</v>
      </c>
      <c r="G41" s="49">
        <v>0</v>
      </c>
      <c r="H41" s="49"/>
      <c r="I41" s="49">
        <v>0.178</v>
      </c>
      <c r="J41" s="49">
        <v>0.3659999966621399</v>
      </c>
      <c r="K41" s="49">
        <v>175.82029272160992</v>
      </c>
      <c r="L41" s="49">
        <v>0.041269192543510906</v>
      </c>
      <c r="M41" s="49">
        <v>0.1127573549747467</v>
      </c>
      <c r="N41" s="49">
        <v>56.592012075703074</v>
      </c>
      <c r="O41" s="49">
        <v>0</v>
      </c>
      <c r="P41" s="49">
        <v>0</v>
      </c>
      <c r="Q41" s="49">
        <v>56.592010498046875</v>
      </c>
      <c r="R41" s="49">
        <v>17.451215155242398</v>
      </c>
      <c r="S41" s="49">
        <v>73.02342479480151</v>
      </c>
      <c r="T41" s="49">
        <v>2.2835350036621094</v>
      </c>
      <c r="U41" s="49">
        <v>11.491170883178711</v>
      </c>
      <c r="V41" s="49">
        <v>86.69458141227449</v>
      </c>
      <c r="W41" s="49">
        <v>56.592012075703074</v>
      </c>
      <c r="X41" s="48">
        <v>1.531922584698053</v>
      </c>
      <c r="Y41" s="60">
        <v>41.59444808959961</v>
      </c>
      <c r="Z41" s="60">
        <v>0</v>
      </c>
      <c r="AA41" s="60">
        <v>0</v>
      </c>
      <c r="AB41" s="60">
        <v>128.28903198242188</v>
      </c>
      <c r="AC41" s="60">
        <v>56.592010498046875</v>
      </c>
      <c r="AD41" s="48">
        <v>2.2669105529785156</v>
      </c>
      <c r="AE41" s="60"/>
      <c r="AF41" s="60"/>
      <c r="AG41" s="60"/>
      <c r="AH41" s="60"/>
      <c r="AI41" s="60"/>
      <c r="AJ41" s="60"/>
      <c r="AK41" s="60"/>
      <c r="AL41" s="49"/>
      <c r="AM41" s="49"/>
      <c r="AN41" s="49"/>
      <c r="AO41" s="49"/>
    </row>
    <row r="42" spans="1:41" ht="12.75" customHeight="1">
      <c r="A42"/>
      <c r="B42" t="s">
        <v>178</v>
      </c>
      <c r="C42" s="49">
        <v>45</v>
      </c>
      <c r="D42" s="49">
        <v>77.94074559211549</v>
      </c>
      <c r="E42" s="49">
        <v>34.56</v>
      </c>
      <c r="F42" s="49">
        <v>0</v>
      </c>
      <c r="G42" s="49">
        <v>0</v>
      </c>
      <c r="H42" s="49"/>
      <c r="I42" s="49">
        <v>0.178</v>
      </c>
      <c r="J42" s="49">
        <v>0.3659999966621399</v>
      </c>
      <c r="K42" s="49">
        <v>83.8837274435143</v>
      </c>
      <c r="L42" s="49">
        <v>0.0196895002593082</v>
      </c>
      <c r="M42" s="49">
        <v>0.053796447813510895</v>
      </c>
      <c r="N42" s="49">
        <v>34.56000737447516</v>
      </c>
      <c r="O42" s="49">
        <v>0</v>
      </c>
      <c r="P42" s="49">
        <v>0</v>
      </c>
      <c r="Q42" s="49">
        <v>34.56000900268555</v>
      </c>
      <c r="R42" s="49">
        <v>22.337555822717974</v>
      </c>
      <c r="S42" s="49">
        <v>34.839420226526705</v>
      </c>
      <c r="T42" s="49">
        <v>1.0894728899002075</v>
      </c>
      <c r="U42" s="49">
        <v>5.482429027557373</v>
      </c>
      <c r="V42" s="49">
        <v>41.3619187838046</v>
      </c>
      <c r="W42" s="49">
        <v>34.56000737447516</v>
      </c>
      <c r="X42" s="48">
        <v>1.1968145242455328</v>
      </c>
      <c r="Y42" s="60">
        <v>19.84467887878418</v>
      </c>
      <c r="Z42" s="60">
        <v>0</v>
      </c>
      <c r="AA42" s="60">
        <v>0</v>
      </c>
      <c r="AB42" s="60">
        <v>61.20659637451172</v>
      </c>
      <c r="AC42" s="60">
        <v>34.56000900268555</v>
      </c>
      <c r="AD42" s="48">
        <v>1.7710237503051758</v>
      </c>
      <c r="AE42" s="60"/>
      <c r="AF42" s="60"/>
      <c r="AG42" s="60"/>
      <c r="AH42" s="60"/>
      <c r="AI42" s="60"/>
      <c r="AJ42" s="60"/>
      <c r="AK42" s="60"/>
      <c r="AL42" s="49"/>
      <c r="AM42" s="49"/>
      <c r="AN42" s="49"/>
      <c r="AO42" s="49"/>
    </row>
    <row r="43" spans="1:41" ht="12.75" customHeight="1">
      <c r="A43"/>
      <c r="B43" t="s">
        <v>180</v>
      </c>
      <c r="C43" s="49">
        <v>45</v>
      </c>
      <c r="D43" s="49">
        <v>101.46134356870789</v>
      </c>
      <c r="E43" s="49">
        <v>45.27</v>
      </c>
      <c r="F43" s="49">
        <v>0</v>
      </c>
      <c r="G43" s="49">
        <v>0</v>
      </c>
      <c r="H43" s="49"/>
      <c r="I43" s="49">
        <v>0.17800000000000002</v>
      </c>
      <c r="J43" s="49">
        <v>0.3659999668598175</v>
      </c>
      <c r="K43" s="49">
        <v>109.19777101582186</v>
      </c>
      <c r="L43" s="49">
        <v>0.025631306646211018</v>
      </c>
      <c r="M43" s="49">
        <v>0.07003089040517807</v>
      </c>
      <c r="N43" s="49">
        <v>45.273609660562464</v>
      </c>
      <c r="O43" s="49">
        <v>0</v>
      </c>
      <c r="P43" s="49">
        <v>0</v>
      </c>
      <c r="Q43" s="49">
        <v>45.27360916137695</v>
      </c>
      <c r="R43" s="49">
        <v>22.478684159206473</v>
      </c>
      <c r="S43" s="49">
        <v>45.3530994409143</v>
      </c>
      <c r="T43" s="49">
        <v>1.4182488918304443</v>
      </c>
      <c r="U43" s="49">
        <v>7.1368913650512695</v>
      </c>
      <c r="V43" s="49">
        <v>53.843927711349664</v>
      </c>
      <c r="W43" s="49">
        <v>45.273609660562464</v>
      </c>
      <c r="X43" s="48">
        <v>1.1893005244124095</v>
      </c>
      <c r="Y43" s="60">
        <v>25.833316802978516</v>
      </c>
      <c r="Z43" s="60">
        <v>0</v>
      </c>
      <c r="AA43" s="60">
        <v>0</v>
      </c>
      <c r="AB43" s="60">
        <v>79.67724609375</v>
      </c>
      <c r="AC43" s="60">
        <v>45.27360916137695</v>
      </c>
      <c r="AD43" s="48">
        <v>1.7599048614501953</v>
      </c>
      <c r="AE43" s="60"/>
      <c r="AF43" s="60"/>
      <c r="AG43" s="60"/>
      <c r="AH43" s="60"/>
      <c r="AI43" s="60"/>
      <c r="AJ43" s="60"/>
      <c r="AK43" s="60"/>
      <c r="AL43" s="49"/>
      <c r="AM43" s="49"/>
      <c r="AN43" s="49"/>
      <c r="AO43" s="49"/>
    </row>
    <row r="44" spans="1:41" ht="12.75" customHeight="1">
      <c r="A44"/>
      <c r="B44" t="s">
        <v>218</v>
      </c>
      <c r="C44" s="49">
        <v>45</v>
      </c>
      <c r="D44" s="49">
        <v>408.25571436549944</v>
      </c>
      <c r="E44" s="49">
        <v>221.56</v>
      </c>
      <c r="F44" s="49">
        <v>0</v>
      </c>
      <c r="G44" s="49">
        <v>0</v>
      </c>
      <c r="H44" s="49"/>
      <c r="I44" s="49">
        <v>0.17799999999999996</v>
      </c>
      <c r="J44" s="49">
        <v>0.3659999966621399</v>
      </c>
      <c r="K44" s="49">
        <v>439.38521258586877</v>
      </c>
      <c r="L44" s="49">
        <v>0.10313413007273972</v>
      </c>
      <c r="M44" s="49">
        <v>0.281787246465683</v>
      </c>
      <c r="N44" s="49">
        <v>221.5600472768726</v>
      </c>
      <c r="O44" s="49">
        <v>0</v>
      </c>
      <c r="P44" s="49">
        <v>0</v>
      </c>
      <c r="Q44" s="49">
        <v>221.56004333496094</v>
      </c>
      <c r="R44" s="49">
        <v>27.339184189551894</v>
      </c>
      <c r="S44" s="49">
        <v>182.48981690649018</v>
      </c>
      <c r="T44" s="49">
        <v>5.706687927246094</v>
      </c>
      <c r="U44" s="49">
        <v>28.71710968017578</v>
      </c>
      <c r="V44" s="49">
        <v>216.65483865910056</v>
      </c>
      <c r="W44" s="49">
        <v>221.5600472768726</v>
      </c>
      <c r="X44" s="69">
        <v>0.9778605904897545</v>
      </c>
      <c r="Y44" s="60">
        <v>103.94695281982422</v>
      </c>
      <c r="Z44" s="60">
        <v>0</v>
      </c>
      <c r="AA44" s="60">
        <v>0</v>
      </c>
      <c r="AB44" s="60">
        <v>320.601806640625</v>
      </c>
      <c r="AC44" s="60">
        <v>221.56004333496094</v>
      </c>
      <c r="AD44" s="48">
        <v>1.4470199346542358</v>
      </c>
      <c r="AE44" s="60"/>
      <c r="AF44" s="60"/>
      <c r="AG44" s="60"/>
      <c r="AH44" s="60"/>
      <c r="AI44" s="60"/>
      <c r="AJ44" s="60"/>
      <c r="AK44" s="60"/>
      <c r="AL44" s="49"/>
      <c r="AM44" s="49"/>
      <c r="AN44" s="49"/>
      <c r="AO44" s="49"/>
    </row>
    <row r="45" spans="1:41" ht="12.75" customHeight="1">
      <c r="A45"/>
      <c r="B45" t="s">
        <v>181</v>
      </c>
      <c r="C45" s="49">
        <v>45</v>
      </c>
      <c r="D45" s="49">
        <v>210.46043880661273</v>
      </c>
      <c r="E45" s="49">
        <v>116</v>
      </c>
      <c r="F45" s="49">
        <v>0</v>
      </c>
      <c r="G45" s="49">
        <v>0</v>
      </c>
      <c r="H45" s="49"/>
      <c r="I45" s="49">
        <v>0.178</v>
      </c>
      <c r="J45" s="49">
        <v>0.3659999966621399</v>
      </c>
      <c r="K45" s="49">
        <v>226.50804726561694</v>
      </c>
      <c r="L45" s="49">
        <v>0.05316681067105563</v>
      </c>
      <c r="M45" s="49">
        <v>0.14526450634002686</v>
      </c>
      <c r="N45" s="49">
        <v>116.0000247522893</v>
      </c>
      <c r="O45" s="49">
        <v>0</v>
      </c>
      <c r="P45" s="49">
        <v>0</v>
      </c>
      <c r="Q45" s="49">
        <v>116.0000228881836</v>
      </c>
      <c r="R45" s="49">
        <v>27.766042256777116</v>
      </c>
      <c r="S45" s="49">
        <v>94.07556487866763</v>
      </c>
      <c r="T45" s="49">
        <v>2.941862106323242</v>
      </c>
      <c r="U45" s="49">
        <v>14.803995132446289</v>
      </c>
      <c r="V45" s="49">
        <v>111.68802030940124</v>
      </c>
      <c r="W45" s="49">
        <v>116.0000247522893</v>
      </c>
      <c r="X45" s="69">
        <v>0.9628275558380606</v>
      </c>
      <c r="Y45" s="60">
        <v>53.58583450317383</v>
      </c>
      <c r="Z45" s="60">
        <v>0</v>
      </c>
      <c r="AA45" s="60">
        <v>0</v>
      </c>
      <c r="AB45" s="60">
        <v>165.2738494873047</v>
      </c>
      <c r="AC45" s="60">
        <v>116.0000228881836</v>
      </c>
      <c r="AD45" s="48">
        <v>1.4247742891311646</v>
      </c>
      <c r="AE45" s="60"/>
      <c r="AF45" s="60"/>
      <c r="AG45" s="60"/>
      <c r="AH45" s="60"/>
      <c r="AI45" s="60"/>
      <c r="AJ45" s="60"/>
      <c r="AK45" s="60"/>
      <c r="AL45" s="49"/>
      <c r="AM45" s="49"/>
      <c r="AN45" s="49"/>
      <c r="AO45" s="49"/>
    </row>
    <row r="46" spans="1:41" ht="12.75" customHeight="1">
      <c r="A46"/>
      <c r="B46" t="s">
        <v>182</v>
      </c>
      <c r="C46" s="49">
        <v>45</v>
      </c>
      <c r="D46" s="49">
        <v>235.757250292153</v>
      </c>
      <c r="E46" s="49">
        <v>155.63</v>
      </c>
      <c r="F46" s="49">
        <v>0</v>
      </c>
      <c r="G46" s="49">
        <v>0</v>
      </c>
      <c r="H46" s="49"/>
      <c r="I46" s="49">
        <v>0.178</v>
      </c>
      <c r="J46" s="49">
        <v>0.3659999966621399</v>
      </c>
      <c r="K46" s="49">
        <v>253.73374062692966</v>
      </c>
      <c r="L46" s="49">
        <v>0.05955732660107776</v>
      </c>
      <c r="M46" s="49">
        <v>0.16272494196891785</v>
      </c>
      <c r="N46" s="49">
        <v>155.62803320818344</v>
      </c>
      <c r="O46" s="49">
        <v>0</v>
      </c>
      <c r="P46" s="49">
        <v>0</v>
      </c>
      <c r="Q46" s="49">
        <v>155.62803649902344</v>
      </c>
      <c r="R46" s="49">
        <v>33.25440186944376</v>
      </c>
      <c r="S46" s="49">
        <v>105.3832094109407</v>
      </c>
      <c r="T46" s="49">
        <v>3.295466661453247</v>
      </c>
      <c r="U46" s="49">
        <v>16.58339500427246</v>
      </c>
      <c r="V46" s="49">
        <v>125.11263452535323</v>
      </c>
      <c r="W46" s="49">
        <v>155.62803320818344</v>
      </c>
      <c r="X46" s="69">
        <v>0.8039209385753157</v>
      </c>
      <c r="Y46" s="60">
        <v>60.02669143676758</v>
      </c>
      <c r="Z46" s="60">
        <v>0</v>
      </c>
      <c r="AA46" s="60">
        <v>0</v>
      </c>
      <c r="AB46" s="60">
        <v>185.1393280029297</v>
      </c>
      <c r="AC46" s="60">
        <v>155.62803649902344</v>
      </c>
      <c r="AD46" s="48">
        <v>1.1896270513534546</v>
      </c>
      <c r="AE46" s="60"/>
      <c r="AF46" s="60"/>
      <c r="AG46" s="60"/>
      <c r="AH46" s="60"/>
      <c r="AI46" s="60"/>
      <c r="AJ46" s="60"/>
      <c r="AK46" s="60"/>
      <c r="AL46" s="49"/>
      <c r="AM46" s="49"/>
      <c r="AN46" s="49"/>
      <c r="AO46" s="49"/>
    </row>
    <row r="47" spans="1:41" ht="12.75" customHeight="1">
      <c r="A47"/>
      <c r="B47" t="s">
        <v>183</v>
      </c>
      <c r="C47" s="49">
        <v>45</v>
      </c>
      <c r="D47" s="49">
        <v>74.51474466140553</v>
      </c>
      <c r="E47" s="49">
        <v>51.84</v>
      </c>
      <c r="F47" s="49">
        <v>0</v>
      </c>
      <c r="G47" s="49">
        <v>0</v>
      </c>
      <c r="H47" s="49"/>
      <c r="I47" s="49">
        <v>0.178</v>
      </c>
      <c r="J47" s="49">
        <v>0.3659999966621399</v>
      </c>
      <c r="K47" s="49">
        <v>80.1964939418377</v>
      </c>
      <c r="L47" s="49">
        <v>0.018824019108196043</v>
      </c>
      <c r="M47" s="49">
        <v>0.051431745290756226</v>
      </c>
      <c r="N47" s="49">
        <v>51.840011061712744</v>
      </c>
      <c r="O47" s="49">
        <v>0</v>
      </c>
      <c r="P47" s="49">
        <v>0</v>
      </c>
      <c r="Q47" s="49">
        <v>51.84001159667969</v>
      </c>
      <c r="R47" s="49">
        <v>35.04687085970551</v>
      </c>
      <c r="S47" s="49">
        <v>33.3080019007883</v>
      </c>
      <c r="T47" s="49">
        <v>1.0415834188461304</v>
      </c>
      <c r="U47" s="49">
        <v>5.241440773010254</v>
      </c>
      <c r="V47" s="49">
        <v>39.543794406624066</v>
      </c>
      <c r="W47" s="49">
        <v>51.840011061712744</v>
      </c>
      <c r="X47" s="69">
        <v>0.7628045132851015</v>
      </c>
      <c r="Y47" s="60">
        <v>18.972375869750977</v>
      </c>
      <c r="Z47" s="60">
        <v>0</v>
      </c>
      <c r="AA47" s="60">
        <v>0</v>
      </c>
      <c r="AB47" s="60">
        <v>58.516170501708984</v>
      </c>
      <c r="AC47" s="60">
        <v>51.84001159667969</v>
      </c>
      <c r="AD47" s="48">
        <v>1.128783941268921</v>
      </c>
      <c r="AE47" s="60"/>
      <c r="AF47" s="60"/>
      <c r="AG47" s="60"/>
      <c r="AH47" s="60"/>
      <c r="AI47" s="60"/>
      <c r="AJ47" s="60"/>
      <c r="AK47" s="60"/>
      <c r="AL47" s="49"/>
      <c r="AM47" s="49"/>
      <c r="AN47" s="49"/>
      <c r="AO47" s="49"/>
    </row>
    <row r="48" spans="1:41" ht="12.75" customHeight="1">
      <c r="A48"/>
      <c r="B48" t="s">
        <v>185</v>
      </c>
      <c r="C48" s="49">
        <v>45</v>
      </c>
      <c r="D48" s="49">
        <v>58.56858930386534</v>
      </c>
      <c r="E48" s="49">
        <v>67.91</v>
      </c>
      <c r="F48" s="49">
        <v>0</v>
      </c>
      <c r="G48" s="49">
        <v>0</v>
      </c>
      <c r="H48" s="49"/>
      <c r="I48" s="49">
        <v>0.178</v>
      </c>
      <c r="J48" s="49">
        <v>0.3659999966621399</v>
      </c>
      <c r="K48" s="49">
        <v>63.03444423828507</v>
      </c>
      <c r="L48" s="49">
        <v>0.014795679019042236</v>
      </c>
      <c r="M48" s="49">
        <v>0.04042535275220871</v>
      </c>
      <c r="N48" s="49">
        <v>67.91041449084369</v>
      </c>
      <c r="O48" s="49">
        <v>0</v>
      </c>
      <c r="P48" s="49">
        <v>0</v>
      </c>
      <c r="Q48" s="49">
        <v>67.91041564941406</v>
      </c>
      <c r="R48" s="49">
        <v>58.41145032408693</v>
      </c>
      <c r="S48" s="49">
        <v>26.18008949401989</v>
      </c>
      <c r="T48" s="49">
        <v>0.8186845779418945</v>
      </c>
      <c r="U48" s="49">
        <v>4.119772434234619</v>
      </c>
      <c r="V48" s="49">
        <v>31.08142239025537</v>
      </c>
      <c r="W48" s="49">
        <v>67.91041449084369</v>
      </c>
      <c r="X48" s="69">
        <v>0.4576827077744615</v>
      </c>
      <c r="Y48" s="60">
        <v>14.912286758422852</v>
      </c>
      <c r="Z48" s="60">
        <v>0</v>
      </c>
      <c r="AA48" s="60">
        <v>0</v>
      </c>
      <c r="AB48" s="60">
        <v>45.993709564208984</v>
      </c>
      <c r="AC48" s="60">
        <v>67.91041564941406</v>
      </c>
      <c r="AD48" s="69">
        <v>0.6772703528404236</v>
      </c>
      <c r="AE48" s="60"/>
      <c r="AF48" s="60"/>
      <c r="AG48" s="60"/>
      <c r="AH48" s="60"/>
      <c r="AI48" s="60"/>
      <c r="AJ48" s="60"/>
      <c r="AK48" s="60"/>
      <c r="AL48" s="49"/>
      <c r="AM48" s="49"/>
      <c r="AN48" s="49"/>
      <c r="AO48" s="49"/>
    </row>
    <row r="49" spans="1:41" ht="12.75" customHeight="1">
      <c r="A49"/>
      <c r="B49" t="s">
        <v>187</v>
      </c>
      <c r="C49" s="49">
        <v>45</v>
      </c>
      <c r="D49" s="49">
        <v>59.611795729123514</v>
      </c>
      <c r="E49" s="49">
        <v>77.76</v>
      </c>
      <c r="F49" s="49">
        <v>0</v>
      </c>
      <c r="G49" s="49">
        <v>0</v>
      </c>
      <c r="H49" s="49"/>
      <c r="I49" s="49">
        <v>0.178</v>
      </c>
      <c r="J49" s="49">
        <v>0.3659999966621399</v>
      </c>
      <c r="K49" s="49">
        <v>64.15719515346917</v>
      </c>
      <c r="L49" s="49">
        <v>0.0150592152865566</v>
      </c>
      <c r="M49" s="49">
        <v>0.04114539548754692</v>
      </c>
      <c r="N49" s="49">
        <v>77.76001659256912</v>
      </c>
      <c r="O49" s="49">
        <v>0</v>
      </c>
      <c r="P49" s="49">
        <v>0</v>
      </c>
      <c r="Q49" s="49">
        <v>77.76001739501953</v>
      </c>
      <c r="R49" s="49">
        <v>65.71288121141583</v>
      </c>
      <c r="S49" s="49">
        <v>26.6464015206303</v>
      </c>
      <c r="T49" s="49">
        <v>0.8332667350769043</v>
      </c>
      <c r="U49" s="49">
        <v>4.19315242767334</v>
      </c>
      <c r="V49" s="49">
        <v>31.635035334564037</v>
      </c>
      <c r="W49" s="49">
        <v>77.76001659256912</v>
      </c>
      <c r="X49" s="69">
        <v>0.40682907129918405</v>
      </c>
      <c r="Y49" s="60">
        <v>15.177901268005371</v>
      </c>
      <c r="Z49" s="60">
        <v>0</v>
      </c>
      <c r="AA49" s="60">
        <v>0</v>
      </c>
      <c r="AB49" s="60">
        <v>46.81293487548828</v>
      </c>
      <c r="AC49" s="60">
        <v>77.76001739501953</v>
      </c>
      <c r="AD49" s="69">
        <v>0.6020180583000183</v>
      </c>
      <c r="AE49" s="60"/>
      <c r="AF49" s="60"/>
      <c r="AG49" s="60"/>
      <c r="AH49" s="60"/>
      <c r="AI49" s="60"/>
      <c r="AJ49" s="60"/>
      <c r="AK49" s="60"/>
      <c r="AL49" s="49"/>
      <c r="AM49" s="49"/>
      <c r="AN49" s="49"/>
      <c r="AO49" s="49"/>
    </row>
    <row r="50" spans="1:41" ht="12.75" customHeight="1">
      <c r="A50"/>
      <c r="B50" t="s">
        <v>189</v>
      </c>
      <c r="C50" s="49">
        <v>45</v>
      </c>
      <c r="D50" s="49">
        <v>68.57616006622447</v>
      </c>
      <c r="E50" s="49">
        <v>139.71</v>
      </c>
      <c r="F50" s="49">
        <v>0</v>
      </c>
      <c r="G50" s="49">
        <v>0</v>
      </c>
      <c r="H50" s="49"/>
      <c r="I50" s="49">
        <v>0.178</v>
      </c>
      <c r="J50" s="49">
        <v>0.3659999966621399</v>
      </c>
      <c r="K50" s="49">
        <v>73.80509227127409</v>
      </c>
      <c r="L50" s="49">
        <v>0.017323805554445158</v>
      </c>
      <c r="M50" s="49">
        <v>0.047332800924777985</v>
      </c>
      <c r="N50" s="49">
        <v>139.70882981131584</v>
      </c>
      <c r="O50" s="49">
        <v>0</v>
      </c>
      <c r="P50" s="49">
        <v>0</v>
      </c>
      <c r="Q50" s="49">
        <v>139.70883178710938</v>
      </c>
      <c r="R50" s="49">
        <v>102.63064577796946</v>
      </c>
      <c r="S50" s="49">
        <v>30.653461676795132</v>
      </c>
      <c r="T50" s="49">
        <v>0.9585726261138916</v>
      </c>
      <c r="U50" s="49">
        <v>4.823714256286621</v>
      </c>
      <c r="V50" s="49">
        <v>36.3922810428452</v>
      </c>
      <c r="W50" s="49">
        <v>139.70882981131584</v>
      </c>
      <c r="X50" s="69">
        <v>0.2604866212965558</v>
      </c>
      <c r="Y50" s="60">
        <v>17.46033477783203</v>
      </c>
      <c r="Z50" s="60">
        <v>0</v>
      </c>
      <c r="AA50" s="60">
        <v>0</v>
      </c>
      <c r="AB50" s="60">
        <v>53.85261535644531</v>
      </c>
      <c r="AC50" s="60">
        <v>139.70883178710938</v>
      </c>
      <c r="AD50" s="69">
        <v>0.3854632079601288</v>
      </c>
      <c r="AE50" s="60"/>
      <c r="AF50" s="60"/>
      <c r="AG50" s="60"/>
      <c r="AH50" s="60"/>
      <c r="AI50" s="60"/>
      <c r="AJ50" s="60"/>
      <c r="AK50" s="60"/>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60"/>
      <c r="Y51" s="60"/>
      <c r="Z51" s="60"/>
      <c r="AA51" s="60"/>
      <c r="AB51" s="60"/>
      <c r="AC51" s="60"/>
      <c r="AD51" s="60"/>
      <c r="AE51" s="60"/>
      <c r="AF51" s="60"/>
      <c r="AG51" s="60"/>
      <c r="AH51" s="60"/>
      <c r="AI51" s="60"/>
      <c r="AJ51" s="60"/>
      <c r="AK51" s="60"/>
      <c r="AL51" s="49"/>
      <c r="AM51" s="49"/>
      <c r="AN51" s="49"/>
      <c r="AO51" s="49"/>
    </row>
    <row r="52" spans="1:41" ht="12.75" customHeight="1" thickBo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62</v>
      </c>
      <c r="B53" s="66"/>
      <c r="C53" s="67"/>
      <c r="D53" s="67"/>
      <c r="E53" s="67"/>
      <c r="F53" s="67"/>
      <c r="G53" s="67"/>
      <c r="H53" s="67"/>
      <c r="I53" s="67"/>
      <c r="J53" s="67"/>
      <c r="K53" s="68"/>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63</v>
      </c>
      <c r="C54" s="59" t="s">
        <v>59</v>
      </c>
      <c r="D54" s="59" t="s">
        <v>60</v>
      </c>
      <c r="E54" s="59" t="s">
        <v>64</v>
      </c>
      <c r="F54" s="59" t="s">
        <v>65</v>
      </c>
      <c r="G54" s="59" t="s">
        <v>66</v>
      </c>
      <c r="H54" s="59" t="s">
        <v>67</v>
      </c>
      <c r="I54" s="59" t="s">
        <v>61</v>
      </c>
      <c r="J54" s="59" t="s">
        <v>50</v>
      </c>
      <c r="K54" s="59" t="s">
        <v>58</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t="s">
        <v>68</v>
      </c>
      <c r="C55" s="49">
        <v>976.3633354181517</v>
      </c>
      <c r="D55" s="49">
        <v>319.3344681401505</v>
      </c>
      <c r="E55" s="49">
        <v>319.33</v>
      </c>
      <c r="F55" s="49">
        <v>63.86688</v>
      </c>
      <c r="G55" s="49">
        <v>383.20134814015046</v>
      </c>
      <c r="H55" s="49">
        <v>3438.109130859375</v>
      </c>
      <c r="I55" s="49">
        <v>21.279190632721228</v>
      </c>
      <c r="J55" s="49">
        <v>405.5128875777715</v>
      </c>
      <c r="K55" s="48">
        <v>1.05822406300476</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t="s">
        <v>69</v>
      </c>
      <c r="C56" s="49">
        <v>0</v>
      </c>
      <c r="D56" s="49">
        <v>0</v>
      </c>
      <c r="E56" s="49">
        <v>0</v>
      </c>
      <c r="F56" s="49">
        <v>0</v>
      </c>
      <c r="G56" s="49">
        <v>0</v>
      </c>
      <c r="H56" s="49">
        <v>0</v>
      </c>
      <c r="I56" s="49">
        <v>0</v>
      </c>
      <c r="J56" s="49">
        <v>904.2494333661036</v>
      </c>
      <c r="K56" s="69">
        <v>0</v>
      </c>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t="s">
        <v>70</v>
      </c>
      <c r="C57" s="49">
        <v>1007.194442830214</v>
      </c>
      <c r="D57" s="49">
        <v>697.7721557617188</v>
      </c>
      <c r="E57" s="49">
        <v>697.7720373874404</v>
      </c>
      <c r="F57" s="49">
        <v>139.55440747748807</v>
      </c>
      <c r="G57" s="49">
        <v>837.3265632392068</v>
      </c>
      <c r="H57" s="49">
        <v>7282.58642578125</v>
      </c>
      <c r="I57" s="49">
        <v>45.07347971932094</v>
      </c>
      <c r="J57" s="49">
        <v>418.3179683713179</v>
      </c>
      <c r="K57" s="69">
        <v>0.4995876002703775</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71</v>
      </c>
      <c r="C58" s="49">
        <v>0</v>
      </c>
      <c r="D58" s="49">
        <v>0</v>
      </c>
      <c r="E58" s="49">
        <v>0</v>
      </c>
      <c r="F58" s="49">
        <v>0</v>
      </c>
      <c r="G58" s="49">
        <v>0</v>
      </c>
      <c r="H58" s="49">
        <v>0</v>
      </c>
      <c r="I58" s="49">
        <v>0</v>
      </c>
      <c r="J58" s="49">
        <v>0</v>
      </c>
      <c r="K58" s="69">
        <v>0</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72</v>
      </c>
      <c r="C59" s="49">
        <v>472.6759092859948</v>
      </c>
      <c r="D59" s="49">
        <v>139.70882981131584</v>
      </c>
      <c r="E59" s="49">
        <v>139.71</v>
      </c>
      <c r="F59" s="49">
        <v>27.941760000000002</v>
      </c>
      <c r="G59" s="49">
        <v>167.65058981131585</v>
      </c>
      <c r="H59" s="49">
        <v>3107.031982421875</v>
      </c>
      <c r="I59" s="49">
        <v>19.23008290815778</v>
      </c>
      <c r="J59" s="49">
        <v>196.31643867589784</v>
      </c>
      <c r="K59" s="103">
        <v>1.170985672623307</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73</v>
      </c>
      <c r="C60" s="49">
        <v>503.68742613215676</v>
      </c>
      <c r="D60" s="49">
        <v>179.62563832883467</v>
      </c>
      <c r="E60" s="49">
        <v>179.63</v>
      </c>
      <c r="F60" s="49">
        <v>35.92512</v>
      </c>
      <c r="G60" s="49">
        <v>215.55075832883466</v>
      </c>
      <c r="H60" s="49">
        <v>3748.802490234375</v>
      </c>
      <c r="I60" s="49">
        <v>23.202136901939507</v>
      </c>
      <c r="J60" s="49">
        <v>209.19644890187362</v>
      </c>
      <c r="K60" s="70">
        <v>0.9705205888570005</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74</v>
      </c>
      <c r="C61" s="49">
        <v>919.6270004784153</v>
      </c>
      <c r="D61" s="49">
        <v>493.1881052373453</v>
      </c>
      <c r="E61" s="49">
        <v>493.19</v>
      </c>
      <c r="F61" s="49">
        <v>98.6376</v>
      </c>
      <c r="G61" s="49">
        <v>591.8257052373453</v>
      </c>
      <c r="H61" s="49">
        <v>5637.49560546875</v>
      </c>
      <c r="I61" s="49">
        <v>34.89166144354451</v>
      </c>
      <c r="J61" s="49">
        <v>381.9485911960985</v>
      </c>
      <c r="K61" s="70">
        <v>0.6453734398760563</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75</v>
      </c>
      <c r="C62" s="49">
        <v>80.1964939418377</v>
      </c>
      <c r="D62" s="49">
        <v>51.840011061712744</v>
      </c>
      <c r="E62" s="49">
        <v>51.84</v>
      </c>
      <c r="F62" s="49">
        <v>10.368</v>
      </c>
      <c r="G62" s="49">
        <v>62.208011061712746</v>
      </c>
      <c r="H62" s="49">
        <v>6795.08740234375</v>
      </c>
      <c r="I62" s="49">
        <v>42.05624300293943</v>
      </c>
      <c r="J62" s="49">
        <v>33.3080019007883</v>
      </c>
      <c r="K62" s="70">
        <v>0.5354294620952513</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76</v>
      </c>
      <c r="C63" s="49">
        <v>0</v>
      </c>
      <c r="D63" s="49">
        <v>0</v>
      </c>
      <c r="E63" s="49">
        <v>0</v>
      </c>
      <c r="F63" s="49">
        <v>0</v>
      </c>
      <c r="G63" s="49">
        <v>0</v>
      </c>
      <c r="H63" s="49">
        <v>0</v>
      </c>
      <c r="I63" s="49">
        <v>0</v>
      </c>
      <c r="J63" s="49">
        <v>0</v>
      </c>
      <c r="K63" s="70">
        <v>0</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77</v>
      </c>
      <c r="C64" s="49">
        <v>200.99673166302836</v>
      </c>
      <c r="D64" s="49">
        <v>285.37926089472865</v>
      </c>
      <c r="E64" s="49">
        <v>285.38</v>
      </c>
      <c r="F64" s="49">
        <v>57.07584000000001</v>
      </c>
      <c r="G64" s="49">
        <v>342.4551008947287</v>
      </c>
      <c r="H64" s="49">
        <v>14925.1513671875</v>
      </c>
      <c r="I64" s="49">
        <v>92.37494295142581</v>
      </c>
      <c r="J64" s="49">
        <v>83.47995269144532</v>
      </c>
      <c r="K64" s="70">
        <v>0.2437690443895803</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3:41" ht="12.75">
      <c r="C521" s="39"/>
      <c r="D521" s="39"/>
      <c r="E521" s="39"/>
      <c r="F521" s="39"/>
      <c r="G521" s="39"/>
      <c r="H521" s="39"/>
      <c r="I521" s="104"/>
      <c r="J521" s="104"/>
      <c r="K521" s="104"/>
      <c r="L521" s="104"/>
      <c r="M521" s="104"/>
      <c r="S521" s="39"/>
      <c r="T521" s="39"/>
      <c r="U521" s="39"/>
      <c r="X521" s="49"/>
      <c r="Y521" s="49"/>
      <c r="Z521" s="39"/>
      <c r="AA521" s="39"/>
      <c r="AB521" s="39"/>
      <c r="AC521" s="39"/>
      <c r="AD521" s="39"/>
      <c r="AE521" s="39"/>
      <c r="AF521" s="39"/>
      <c r="AG521" s="39"/>
      <c r="AH521" s="39"/>
      <c r="AI521" s="39"/>
      <c r="AJ521" s="39"/>
      <c r="AK521" s="39"/>
      <c r="AL521" s="39"/>
      <c r="AM521" s="39"/>
      <c r="AN521" s="39"/>
      <c r="AO521" s="39"/>
    </row>
    <row r="522" spans="3:41" ht="12.75">
      <c r="C522" s="39"/>
      <c r="D522" s="39"/>
      <c r="E522" s="39"/>
      <c r="F522" s="39"/>
      <c r="G522" s="39"/>
      <c r="H522" s="39"/>
      <c r="I522" s="104"/>
      <c r="J522" s="104"/>
      <c r="K522" s="104"/>
      <c r="L522" s="104"/>
      <c r="M522" s="104"/>
      <c r="S522" s="39"/>
      <c r="T522" s="39"/>
      <c r="U522" s="39"/>
      <c r="X522" s="49"/>
      <c r="Y522" s="49"/>
      <c r="Z522" s="39"/>
      <c r="AA522" s="39"/>
      <c r="AB522" s="39"/>
      <c r="AC522" s="39"/>
      <c r="AD522" s="39"/>
      <c r="AE522" s="39"/>
      <c r="AF522" s="39"/>
      <c r="AG522" s="39"/>
      <c r="AH522" s="39"/>
      <c r="AI522" s="39"/>
      <c r="AJ522" s="39"/>
      <c r="AK522" s="39"/>
      <c r="AL522" s="39"/>
      <c r="AM522" s="39"/>
      <c r="AN522" s="39"/>
      <c r="AO522" s="39"/>
    </row>
    <row r="523" spans="3:30" ht="12.75">
      <c r="C523" s="39"/>
      <c r="D523" s="39"/>
      <c r="E523" s="39"/>
      <c r="F523" s="39"/>
      <c r="G523" s="39"/>
      <c r="H523" s="39"/>
      <c r="I523" s="104"/>
      <c r="J523" s="104"/>
      <c r="K523" s="104"/>
      <c r="L523" s="104"/>
      <c r="M523" s="104"/>
      <c r="S523" s="39"/>
      <c r="T523" s="39"/>
      <c r="U523" s="39"/>
      <c r="X523" s="49"/>
      <c r="Y523" s="49"/>
      <c r="Z523" s="39"/>
      <c r="AA523" s="39"/>
      <c r="AB523" s="39"/>
      <c r="AC523" s="39"/>
      <c r="AD523" s="39"/>
    </row>
    <row r="524" spans="3:30" ht="12.75">
      <c r="C524" s="39"/>
      <c r="D524" s="39"/>
      <c r="E524" s="39"/>
      <c r="F524" s="39"/>
      <c r="G524" s="39"/>
      <c r="H524" s="39"/>
      <c r="I524" s="104"/>
      <c r="J524" s="104"/>
      <c r="K524" s="104"/>
      <c r="L524" s="104"/>
      <c r="M524" s="104"/>
      <c r="S524" s="39"/>
      <c r="T524" s="39"/>
      <c r="U524" s="39"/>
      <c r="X524" s="49"/>
      <c r="Y524" s="49"/>
      <c r="Z524" s="39"/>
      <c r="AA524" s="39"/>
      <c r="AB524" s="39"/>
      <c r="AC524" s="39"/>
      <c r="AD524" s="39"/>
    </row>
  </sheetData>
  <printOptions gridLines="1" headings="1"/>
  <pageMargins left="0.25" right="0.23" top="1" bottom="1" header="0.5" footer="0.5"/>
  <pageSetup blackAndWhite="1"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AO524"/>
  <sheetViews>
    <sheetView workbookViewId="0" topLeftCell="A25">
      <pane xSplit="2" topLeftCell="L1" activePane="topRight" state="frozen"/>
      <selection pane="topLeft" activeCell="A31" sqref="A31"/>
      <selection pane="topRight" activeCell="R39" sqref="R39:R50"/>
    </sheetView>
  </sheetViews>
  <sheetFormatPr defaultColWidth="9.140625" defaultRowHeight="12.75"/>
  <cols>
    <col min="1" max="1" width="19.57421875" style="0" customWidth="1"/>
    <col min="2" max="2" width="23.140625" style="0" customWidth="1"/>
    <col min="3" max="3" width="8.7109375" style="0" customWidth="1"/>
    <col min="4" max="4" width="9.28125" style="0" customWidth="1"/>
    <col min="5" max="6" width="8.7109375" style="0" customWidth="1"/>
    <col min="7" max="7" width="12.140625" style="0" customWidth="1"/>
    <col min="8" max="8" width="8.7109375" style="0" customWidth="1"/>
    <col min="9" max="13" width="8.7109375" style="111" customWidth="1"/>
    <col min="14" max="18" width="8.7109375" style="49" customWidth="1"/>
    <col min="19" max="21" width="8.7109375" style="0" customWidth="1"/>
    <col min="22" max="22" width="8.7109375" style="49" customWidth="1"/>
  </cols>
  <sheetData>
    <row r="1" spans="1:7" ht="14.25">
      <c r="A1" s="36" t="s">
        <v>127</v>
      </c>
      <c r="B1" s="37"/>
      <c r="C1" s="37"/>
      <c r="D1" s="37"/>
      <c r="E1" s="37"/>
      <c r="F1" s="37"/>
      <c r="G1" s="37"/>
    </row>
    <row r="2" spans="1:7" ht="12.75">
      <c r="A2" s="105">
        <v>1568</v>
      </c>
      <c r="B2" s="37"/>
      <c r="C2" s="37"/>
      <c r="D2" s="37"/>
      <c r="E2" s="37"/>
      <c r="F2" s="37"/>
      <c r="G2" s="37"/>
    </row>
    <row r="3" spans="1:7" ht="12.75">
      <c r="A3" s="37"/>
      <c r="B3" s="37"/>
      <c r="C3" s="37"/>
      <c r="D3" s="37"/>
      <c r="E3" s="37"/>
      <c r="F3" s="37"/>
      <c r="G3" s="37"/>
    </row>
    <row r="4" spans="1:22" ht="12.75">
      <c r="A4" s="112" t="s">
        <v>32</v>
      </c>
      <c r="B4" s="113"/>
      <c r="C4" s="113"/>
      <c r="D4" s="113"/>
      <c r="E4" s="113"/>
      <c r="F4" s="113"/>
      <c r="G4" s="114"/>
      <c r="H4" s="43"/>
      <c r="I4" s="44" t="s">
        <v>33</v>
      </c>
      <c r="J4" s="45"/>
      <c r="K4" s="45"/>
      <c r="L4" s="45"/>
      <c r="M4" s="45"/>
      <c r="N4" s="45"/>
      <c r="O4"/>
      <c r="P4"/>
      <c r="Q4"/>
      <c r="R4"/>
      <c r="V4"/>
    </row>
    <row r="5" spans="1:22" ht="38.25">
      <c r="A5" s="46" t="s">
        <v>34</v>
      </c>
      <c r="B5" s="46" t="s">
        <v>35</v>
      </c>
      <c r="C5" s="46" t="s">
        <v>128</v>
      </c>
      <c r="D5" s="46" t="s">
        <v>190</v>
      </c>
      <c r="E5" s="46" t="s">
        <v>191</v>
      </c>
      <c r="F5" s="46" t="s">
        <v>192</v>
      </c>
      <c r="G5" s="47" t="s">
        <v>38</v>
      </c>
      <c r="H5" s="47" t="s">
        <v>130</v>
      </c>
      <c r="I5" s="47" t="s">
        <v>39</v>
      </c>
      <c r="J5" s="47" t="s">
        <v>40</v>
      </c>
      <c r="K5" s="47" t="s">
        <v>41</v>
      </c>
      <c r="L5" s="47" t="s">
        <v>42</v>
      </c>
      <c r="M5" s="47" t="s">
        <v>43</v>
      </c>
      <c r="N5" s="47" t="s">
        <v>44</v>
      </c>
      <c r="O5"/>
      <c r="P5"/>
      <c r="Q5"/>
      <c r="R5"/>
      <c r="V5"/>
    </row>
    <row r="6" spans="1:26" ht="12.75" customHeight="1">
      <c r="A6" s="106" t="str">
        <f aca="true" t="shared" si="0" ref="A6:A17">B6</f>
        <v>FLOOR R33 </v>
      </c>
      <c r="B6" s="106" t="str">
        <f>UAOptimizer!$Y36</f>
        <v>FLOOR R33 </v>
      </c>
      <c r="C6" s="108">
        <f>UAOptimizer!$AD36</f>
        <v>775.9947195945388</v>
      </c>
      <c r="D6" s="107">
        <v>45</v>
      </c>
      <c r="E6" s="109">
        <f>UAOptimizer!$AA36</f>
        <v>237.0816</v>
      </c>
      <c r="F6" s="107">
        <v>0</v>
      </c>
      <c r="G6" s="110" t="s">
        <v>169</v>
      </c>
      <c r="H6" s="49"/>
      <c r="I6" s="49"/>
      <c r="J6" s="49"/>
      <c r="K6" s="49"/>
      <c r="L6" s="49"/>
      <c r="M6" s="49"/>
      <c r="S6" s="49"/>
      <c r="T6" s="49"/>
      <c r="U6" s="49"/>
      <c r="W6" s="49"/>
      <c r="X6" s="49"/>
      <c r="Y6" s="49"/>
      <c r="Z6" s="49"/>
    </row>
    <row r="7" spans="1:26" ht="12.75" customHeight="1">
      <c r="A7" s="106" t="str">
        <f t="shared" si="0"/>
        <v>ATTIC R25</v>
      </c>
      <c r="B7" s="106" t="str">
        <f>UAOptimizer!$Y37</f>
        <v>ATTIC R25</v>
      </c>
      <c r="C7" s="108">
        <f>UAOptimizer!$AD37</f>
        <v>296.32871210090525</v>
      </c>
      <c r="D7" s="107">
        <v>45</v>
      </c>
      <c r="E7" s="109">
        <f>UAOptimizer!$AA37</f>
        <v>98.06400000000001</v>
      </c>
      <c r="F7" s="107">
        <v>0</v>
      </c>
      <c r="G7" s="110" t="s">
        <v>169</v>
      </c>
      <c r="H7" s="49"/>
      <c r="I7" s="49"/>
      <c r="J7" s="49"/>
      <c r="K7" s="49"/>
      <c r="L7" s="49"/>
      <c r="M7" s="49"/>
      <c r="S7" s="49"/>
      <c r="T7" s="49"/>
      <c r="U7" s="49"/>
      <c r="W7" s="49"/>
      <c r="X7" s="49"/>
      <c r="Y7" s="49"/>
      <c r="Z7" s="49"/>
    </row>
    <row r="8" spans="1:26" ht="12.75" customHeight="1">
      <c r="A8" s="106" t="str">
        <f t="shared" si="0"/>
        <v>VAULT R25</v>
      </c>
      <c r="B8" s="106" t="str">
        <f>UAOptimizer!$Y38</f>
        <v>VAULT R25</v>
      </c>
      <c r="C8" s="108">
        <f>UAOptimizer!$AD38</f>
        <v>214.73412961506529</v>
      </c>
      <c r="D8" s="107">
        <v>45</v>
      </c>
      <c r="E8" s="109">
        <f>UAOptimizer!$AA38</f>
        <v>71.28</v>
      </c>
      <c r="F8" s="107">
        <v>0</v>
      </c>
      <c r="G8" s="110" t="s">
        <v>169</v>
      </c>
      <c r="H8" s="49"/>
      <c r="I8" s="49"/>
      <c r="J8" s="49"/>
      <c r="K8" s="49"/>
      <c r="L8" s="49"/>
      <c r="M8" s="49"/>
      <c r="S8" s="49"/>
      <c r="T8" s="49"/>
      <c r="U8" s="49"/>
      <c r="W8" s="49"/>
      <c r="X8" s="49"/>
      <c r="Y8" s="49"/>
      <c r="Z8" s="49"/>
    </row>
    <row r="9" spans="1:26" ht="12.75" customHeight="1">
      <c r="A9" s="106" t="str">
        <f t="shared" si="0"/>
        <v>ATTIC R30 </v>
      </c>
      <c r="B9" s="106" t="str">
        <f>UAOptimizer!$Y39</f>
        <v>ATTIC R30 </v>
      </c>
      <c r="C9" s="108">
        <f>UAOptimizer!$AD39</f>
        <v>183.60783164722125</v>
      </c>
      <c r="D9" s="107">
        <v>45</v>
      </c>
      <c r="E9" s="109">
        <f>UAOptimizer!$AA39</f>
        <v>78.4512</v>
      </c>
      <c r="F9" s="107">
        <v>0</v>
      </c>
      <c r="G9" s="110" t="s">
        <v>169</v>
      </c>
      <c r="H9" s="49"/>
      <c r="I9" s="49"/>
      <c r="J9" s="49"/>
      <c r="K9" s="49"/>
      <c r="L9" s="49"/>
      <c r="M9" s="49"/>
      <c r="S9" s="49"/>
      <c r="T9" s="49"/>
      <c r="U9" s="49"/>
      <c r="W9" s="49"/>
      <c r="X9" s="49"/>
      <c r="Y9" s="49"/>
      <c r="Z9" s="49"/>
    </row>
    <row r="10" spans="1:26" ht="12.75" customHeight="1">
      <c r="A10" s="106" t="str">
        <f t="shared" si="0"/>
        <v>VAULT R30</v>
      </c>
      <c r="B10" s="106" t="str">
        <f>UAOptimizer!$Y40</f>
        <v>VAULT R30</v>
      </c>
      <c r="C10" s="108">
        <f>UAOptimizer!$AD40</f>
        <v>133.4594371004041</v>
      </c>
      <c r="D10" s="107">
        <v>45</v>
      </c>
      <c r="E10" s="109">
        <f>UAOptimizer!$AA40</f>
        <v>57.024</v>
      </c>
      <c r="F10" s="107">
        <v>0</v>
      </c>
      <c r="G10" s="110" t="s">
        <v>169</v>
      </c>
      <c r="H10" s="49"/>
      <c r="I10" s="49"/>
      <c r="J10" s="49"/>
      <c r="K10" s="49"/>
      <c r="L10" s="49"/>
      <c r="M10" s="49"/>
      <c r="S10" s="49"/>
      <c r="T10" s="49"/>
      <c r="U10" s="49"/>
      <c r="W10" s="49"/>
      <c r="X10" s="49"/>
      <c r="Y10" s="49"/>
      <c r="Z10" s="49"/>
    </row>
    <row r="11" spans="1:26" ht="12.75" customHeight="1">
      <c r="A11" s="106" t="str">
        <f t="shared" si="0"/>
        <v>WINDOW CL40</v>
      </c>
      <c r="B11" s="106" t="str">
        <f>UAOptimizer!$Y41</f>
        <v>WINDOW CL40</v>
      </c>
      <c r="C11" s="108">
        <f>UAOptimizer!$AD41</f>
        <v>718.2236934626362</v>
      </c>
      <c r="D11" s="107">
        <v>45</v>
      </c>
      <c r="E11" s="109">
        <f>UAOptimizer!$AA41</f>
        <v>374.36</v>
      </c>
      <c r="F11" s="107">
        <v>0</v>
      </c>
      <c r="G11" s="110" t="s">
        <v>169</v>
      </c>
      <c r="H11" s="49"/>
      <c r="I11" s="49"/>
      <c r="J11" s="49"/>
      <c r="K11" s="49"/>
      <c r="L11" s="49"/>
      <c r="M11" s="49"/>
      <c r="S11" s="49"/>
      <c r="T11" s="49"/>
      <c r="U11" s="49"/>
      <c r="W11" s="49"/>
      <c r="X11" s="49"/>
      <c r="Y11" s="49"/>
      <c r="Z11" s="49"/>
    </row>
    <row r="12" spans="1:26" ht="12.75" customHeight="1">
      <c r="A12" s="106" t="str">
        <f t="shared" si="0"/>
        <v>WINDOW CL35</v>
      </c>
      <c r="B12" s="106" t="str">
        <f>UAOptimizer!$Y42</f>
        <v>WINDOW CL35</v>
      </c>
      <c r="C12" s="108">
        <f>UAOptimizer!$AD42</f>
        <v>369.31199669088346</v>
      </c>
      <c r="D12" s="107">
        <v>45</v>
      </c>
      <c r="E12" s="109">
        <f>UAOptimizer!$AA42</f>
        <v>196</v>
      </c>
      <c r="F12" s="107">
        <v>0</v>
      </c>
      <c r="G12" s="110" t="s">
        <v>169</v>
      </c>
      <c r="H12" s="49"/>
      <c r="I12" s="49"/>
      <c r="J12" s="49"/>
      <c r="K12" s="49"/>
      <c r="L12" s="49"/>
      <c r="M12" s="49"/>
      <c r="S12" s="49"/>
      <c r="T12" s="49"/>
      <c r="U12" s="49"/>
      <c r="W12" s="49"/>
      <c r="X12" s="49"/>
      <c r="Y12" s="49"/>
      <c r="Z12" s="49"/>
    </row>
    <row r="13" spans="1:26" ht="12.75" customHeight="1">
      <c r="A13" s="106" t="str">
        <f t="shared" si="0"/>
        <v>WALL R21 ADV</v>
      </c>
      <c r="B13" s="106" t="str">
        <f>UAOptimizer!$Y43</f>
        <v>WALL R21 ADV</v>
      </c>
      <c r="C13" s="108">
        <f>UAOptimizer!$AD43</f>
        <v>240.1414126609343</v>
      </c>
      <c r="D13" s="107">
        <v>45</v>
      </c>
      <c r="E13" s="109">
        <f>UAOptimizer!$AA43</f>
        <v>152.36100000000002</v>
      </c>
      <c r="F13" s="107">
        <v>0</v>
      </c>
      <c r="G13" s="110" t="s">
        <v>169</v>
      </c>
      <c r="H13" s="49"/>
      <c r="I13" s="49"/>
      <c r="J13" s="49"/>
      <c r="K13" s="49"/>
      <c r="L13" s="49"/>
      <c r="M13" s="49"/>
      <c r="S13" s="49"/>
      <c r="T13" s="49"/>
      <c r="U13" s="49"/>
      <c r="W13" s="49"/>
      <c r="X13" s="49"/>
      <c r="Y13" s="49"/>
      <c r="Z13" s="49"/>
    </row>
    <row r="14" spans="1:26" ht="12.75" customHeight="1">
      <c r="A14" s="106" t="str">
        <f t="shared" si="0"/>
        <v>ATTIC R38 </v>
      </c>
      <c r="B14" s="106" t="str">
        <f>UAOptimizer!$Y44</f>
        <v>ATTIC R38 </v>
      </c>
      <c r="C14" s="108">
        <f>UAOptimizer!$AD44</f>
        <v>176.3910618568898</v>
      </c>
      <c r="D14" s="107">
        <v>45</v>
      </c>
      <c r="E14" s="109">
        <f>UAOptimizer!$AA44</f>
        <v>117.67680000000001</v>
      </c>
      <c r="F14" s="107">
        <v>0</v>
      </c>
      <c r="G14" s="110" t="s">
        <v>169</v>
      </c>
      <c r="H14" s="49"/>
      <c r="I14" s="49"/>
      <c r="J14" s="49"/>
      <c r="K14" s="49"/>
      <c r="L14" s="49"/>
      <c r="M14" s="49"/>
      <c r="S14" s="49"/>
      <c r="T14" s="49"/>
      <c r="U14" s="49"/>
      <c r="W14" s="49"/>
      <c r="X14" s="49"/>
      <c r="Y14" s="49"/>
      <c r="Z14" s="49"/>
    </row>
    <row r="15" spans="1:26" ht="12.75" customHeight="1">
      <c r="A15" s="106" t="str">
        <f t="shared" si="0"/>
        <v>VAULT  R38 </v>
      </c>
      <c r="B15" s="106" t="str">
        <f>UAOptimizer!$Y45</f>
        <v>VAULT  R38 </v>
      </c>
      <c r="C15" s="108">
        <f>UAOptimizer!$AD45</f>
        <v>76.92826045741094</v>
      </c>
      <c r="D15" s="107">
        <v>45</v>
      </c>
      <c r="E15" s="109">
        <f>UAOptimizer!$AA45</f>
        <v>85.53600000000002</v>
      </c>
      <c r="F15" s="107">
        <v>0</v>
      </c>
      <c r="G15" s="110" t="s">
        <v>169</v>
      </c>
      <c r="H15" s="49"/>
      <c r="I15" s="49"/>
      <c r="J15" s="49"/>
      <c r="K15" s="49"/>
      <c r="L15" s="49"/>
      <c r="M15" s="49"/>
      <c r="S15" s="49"/>
      <c r="T15" s="49"/>
      <c r="U15" s="49"/>
      <c r="W15" s="49"/>
      <c r="X15" s="49"/>
      <c r="Y15" s="49"/>
      <c r="Z15" s="49"/>
    </row>
    <row r="16" spans="1:22" ht="12.75" customHeight="1">
      <c r="A16" s="106" t="str">
        <f t="shared" si="0"/>
        <v>ATTIC R49 </v>
      </c>
      <c r="B16" s="106" t="str">
        <f>UAOptimizer!$Y46</f>
        <v>ATTIC R49 </v>
      </c>
      <c r="C16" s="108">
        <f>UAOptimizer!$AD46</f>
        <v>140.20002542530074</v>
      </c>
      <c r="D16" s="107">
        <v>45</v>
      </c>
      <c r="E16" s="109">
        <f>UAOptimizer!$AA46</f>
        <v>176.51520000000002</v>
      </c>
      <c r="F16" s="107">
        <v>0</v>
      </c>
      <c r="G16" s="110" t="s">
        <v>169</v>
      </c>
      <c r="I16"/>
      <c r="J16"/>
      <c r="K16"/>
      <c r="L16"/>
      <c r="M16"/>
      <c r="N16"/>
      <c r="O16"/>
      <c r="P16"/>
      <c r="Q16"/>
      <c r="R16"/>
      <c r="V16"/>
    </row>
    <row r="17" spans="1:22" ht="12.75" customHeight="1">
      <c r="A17" s="106" t="str">
        <f t="shared" si="0"/>
        <v>FLOOR R44</v>
      </c>
      <c r="B17" s="106" t="str">
        <f>UAOptimizer!$Y47</f>
        <v>FLOOR R44</v>
      </c>
      <c r="C17" s="108">
        <f>UAOptimizer!$AD47</f>
        <v>120.88039296117131</v>
      </c>
      <c r="D17" s="107">
        <v>45</v>
      </c>
      <c r="E17" s="109">
        <f>UAOptimizer!$AA47</f>
        <v>237.0816</v>
      </c>
      <c r="F17" s="107">
        <v>0</v>
      </c>
      <c r="G17" s="110" t="s">
        <v>169</v>
      </c>
      <c r="I17"/>
      <c r="J17"/>
      <c r="K17"/>
      <c r="L17"/>
      <c r="M17"/>
      <c r="N17"/>
      <c r="O17"/>
      <c r="P17"/>
      <c r="Q17"/>
      <c r="R17"/>
      <c r="V17"/>
    </row>
    <row r="18" spans="9:22" ht="12.75" customHeight="1">
      <c r="I18"/>
      <c r="J18"/>
      <c r="K18"/>
      <c r="L18"/>
      <c r="M18"/>
      <c r="N18"/>
      <c r="O18"/>
      <c r="P18"/>
      <c r="Q18"/>
      <c r="R18"/>
      <c r="V18"/>
    </row>
    <row r="19" spans="9:22" ht="12.75" customHeight="1" thickBot="1">
      <c r="I19"/>
      <c r="J19"/>
      <c r="K19"/>
      <c r="L19"/>
      <c r="M19"/>
      <c r="N19"/>
      <c r="O19"/>
      <c r="P19"/>
      <c r="Q19"/>
      <c r="R19"/>
      <c r="V19"/>
    </row>
    <row r="20" spans="1:22" ht="12.75" customHeight="1" thickBot="1">
      <c r="A20" s="86" t="s">
        <v>300</v>
      </c>
      <c r="B20" s="50"/>
      <c r="C20" s="50"/>
      <c r="D20" s="51"/>
      <c r="I20"/>
      <c r="J20"/>
      <c r="K20"/>
      <c r="L20"/>
      <c r="M20"/>
      <c r="N20"/>
      <c r="O20"/>
      <c r="P20"/>
      <c r="Q20"/>
      <c r="R20"/>
      <c r="V20"/>
    </row>
    <row r="21" spans="1:41" ht="12.75" customHeight="1" thickBot="1">
      <c r="A21" s="52" t="s">
        <v>131</v>
      </c>
      <c r="B21" s="53"/>
      <c r="C21" s="54" t="s">
        <v>78</v>
      </c>
      <c r="D21" s="56"/>
      <c r="E21" s="56"/>
      <c r="F21" s="56"/>
      <c r="G21" s="56"/>
      <c r="H21" s="56"/>
      <c r="I21" s="56"/>
      <c r="J21" s="55"/>
      <c r="K21" s="54" t="s">
        <v>45</v>
      </c>
      <c r="L21" s="56"/>
      <c r="M21" s="55"/>
      <c r="N21" s="54" t="s">
        <v>46</v>
      </c>
      <c r="O21" s="56"/>
      <c r="P21" s="56"/>
      <c r="Q21" s="55"/>
      <c r="R21" s="54" t="s">
        <v>47</v>
      </c>
      <c r="S21" s="55"/>
      <c r="T21" s="54" t="s">
        <v>48</v>
      </c>
      <c r="U21" s="56"/>
      <c r="V21" s="56"/>
      <c r="W21" s="56"/>
      <c r="X21" s="55"/>
      <c r="Y21" s="54" t="s">
        <v>49</v>
      </c>
      <c r="Z21" s="56"/>
      <c r="AA21" s="56"/>
      <c r="AB21" s="56"/>
      <c r="AC21" s="55"/>
      <c r="AD21" s="54" t="s">
        <v>79</v>
      </c>
      <c r="AE21" s="56"/>
      <c r="AF21" s="56"/>
      <c r="AG21" s="56"/>
      <c r="AH21" s="56"/>
      <c r="AI21" s="55"/>
      <c r="AJ21" s="54" t="s">
        <v>80</v>
      </c>
      <c r="AK21" s="56"/>
      <c r="AL21" s="56"/>
      <c r="AM21" s="56"/>
      <c r="AN21" s="56"/>
      <c r="AO21" s="55"/>
    </row>
    <row r="22" spans="1:41" ht="51">
      <c r="A22" s="57" t="s">
        <v>51</v>
      </c>
      <c r="B22" s="58" t="s">
        <v>52</v>
      </c>
      <c r="C22" s="59" t="s">
        <v>81</v>
      </c>
      <c r="D22" s="59" t="s">
        <v>82</v>
      </c>
      <c r="E22" s="59" t="s">
        <v>83</v>
      </c>
      <c r="F22" s="59" t="s">
        <v>84</v>
      </c>
      <c r="G22" s="59" t="s">
        <v>150</v>
      </c>
      <c r="H22" s="59" t="s">
        <v>86</v>
      </c>
      <c r="I22" s="59" t="s">
        <v>87</v>
      </c>
      <c r="J22" s="59" t="s">
        <v>88</v>
      </c>
      <c r="K22" s="59" t="s">
        <v>89</v>
      </c>
      <c r="L22" s="59" t="s">
        <v>90</v>
      </c>
      <c r="M22" s="59" t="s">
        <v>91</v>
      </c>
      <c r="N22" s="59" t="s">
        <v>20</v>
      </c>
      <c r="O22" s="59" t="s">
        <v>21</v>
      </c>
      <c r="P22" s="59" t="s">
        <v>22</v>
      </c>
      <c r="Q22" s="59" t="s">
        <v>4</v>
      </c>
      <c r="R22" s="59" t="s">
        <v>53</v>
      </c>
      <c r="S22" s="59" t="s">
        <v>4</v>
      </c>
      <c r="T22" s="59" t="s">
        <v>20</v>
      </c>
      <c r="U22" s="59" t="s">
        <v>21</v>
      </c>
      <c r="V22" s="59" t="s">
        <v>22</v>
      </c>
      <c r="W22" s="59" t="s">
        <v>4</v>
      </c>
      <c r="X22" s="59" t="s">
        <v>57</v>
      </c>
      <c r="Y22" s="59" t="s">
        <v>20</v>
      </c>
      <c r="Z22" s="59" t="s">
        <v>21</v>
      </c>
      <c r="AA22" s="59" t="s">
        <v>22</v>
      </c>
      <c r="AB22" s="59" t="s">
        <v>4</v>
      </c>
      <c r="AC22" s="59" t="s">
        <v>57</v>
      </c>
      <c r="AD22" s="59" t="s">
        <v>92</v>
      </c>
      <c r="AE22" s="59" t="s">
        <v>93</v>
      </c>
      <c r="AF22" s="59" t="s">
        <v>56</v>
      </c>
      <c r="AG22" s="59" t="s">
        <v>94</v>
      </c>
      <c r="AH22" s="59" t="s">
        <v>95</v>
      </c>
      <c r="AI22" s="59" t="s">
        <v>96</v>
      </c>
      <c r="AJ22" s="59" t="s">
        <v>97</v>
      </c>
      <c r="AK22" s="59" t="s">
        <v>54</v>
      </c>
      <c r="AL22" s="59" t="s">
        <v>55</v>
      </c>
      <c r="AM22" s="59" t="s">
        <v>98</v>
      </c>
      <c r="AN22" s="59" t="s">
        <v>99</v>
      </c>
      <c r="AO22" s="59" t="s">
        <v>100</v>
      </c>
    </row>
    <row r="23" spans="1:41" ht="12.75" customHeight="1">
      <c r="A23" t="s">
        <v>174</v>
      </c>
      <c r="B23" t="s">
        <v>175</v>
      </c>
      <c r="C23" s="49">
        <v>45</v>
      </c>
      <c r="D23" s="49">
        <v>775.9947195945388</v>
      </c>
      <c r="E23" s="49">
        <v>237.08</v>
      </c>
      <c r="F23" s="49">
        <v>0</v>
      </c>
      <c r="G23" s="49">
        <v>0</v>
      </c>
      <c r="H23" s="49" t="s">
        <v>169</v>
      </c>
      <c r="I23" s="49">
        <v>0.178</v>
      </c>
      <c r="J23" s="49">
        <v>0.3659999966621399</v>
      </c>
      <c r="K23" s="49">
        <v>835.1643169636222</v>
      </c>
      <c r="L23" s="60">
        <v>0.19603287236482486</v>
      </c>
      <c r="M23" s="49">
        <v>0.5356089457721656</v>
      </c>
      <c r="P23" s="49">
        <v>237.0816505888996</v>
      </c>
      <c r="Q23" s="49">
        <v>0</v>
      </c>
      <c r="R23" s="49">
        <v>0</v>
      </c>
      <c r="S23" s="49">
        <v>0</v>
      </c>
      <c r="T23" s="49">
        <v>0</v>
      </c>
      <c r="U23" s="49">
        <v>0</v>
      </c>
      <c r="V23" s="49">
        <v>237.0816505888996</v>
      </c>
      <c r="W23" s="49">
        <v>0</v>
      </c>
      <c r="X23" s="49">
        <v>237.0816505888996</v>
      </c>
      <c r="Y23" s="49">
        <v>0</v>
      </c>
      <c r="Z23" s="49">
        <v>0</v>
      </c>
      <c r="AA23" s="49">
        <v>15.39095401763916</v>
      </c>
      <c r="AB23" s="49">
        <v>0</v>
      </c>
      <c r="AC23" s="49">
        <v>15.39095438405843</v>
      </c>
      <c r="AD23" s="49">
        <v>346.8687132017217</v>
      </c>
      <c r="AE23" s="49">
        <v>10.847024495251235</v>
      </c>
      <c r="AF23" s="49">
        <v>54.58423614501953</v>
      </c>
      <c r="AG23" s="49">
        <v>411.80810385473126</v>
      </c>
      <c r="AH23" s="49">
        <v>237.0816505888996</v>
      </c>
      <c r="AI23" s="48">
        <v>1.7369885135851695</v>
      </c>
      <c r="AJ23" s="49">
        <v>197.57786560058594</v>
      </c>
      <c r="AK23" s="49">
        <v>0</v>
      </c>
      <c r="AL23" s="49">
        <v>0</v>
      </c>
      <c r="AM23" s="49">
        <v>609.385986328125</v>
      </c>
      <c r="AN23" s="49">
        <v>237.0816505888996</v>
      </c>
      <c r="AO23" s="48">
        <v>2.5703632831573486</v>
      </c>
    </row>
    <row r="24" spans="1:41" ht="12.75" customHeight="1">
      <c r="A24" t="s">
        <v>176</v>
      </c>
      <c r="B24" t="s">
        <v>176</v>
      </c>
      <c r="C24" s="49">
        <v>45</v>
      </c>
      <c r="D24" s="49">
        <v>296.32871210090525</v>
      </c>
      <c r="E24" s="49">
        <v>98.06</v>
      </c>
      <c r="F24" s="49">
        <v>0</v>
      </c>
      <c r="G24" s="49">
        <v>0</v>
      </c>
      <c r="H24" s="49" t="s">
        <v>169</v>
      </c>
      <c r="I24" s="49">
        <v>0.178</v>
      </c>
      <c r="J24" s="49">
        <v>0.3659999966621399</v>
      </c>
      <c r="K24" s="49">
        <v>318.9237763985993</v>
      </c>
      <c r="L24" s="60">
        <v>0.07485897407608921</v>
      </c>
      <c r="M24" s="49">
        <v>0.20453271792019348</v>
      </c>
      <c r="P24" s="49">
        <v>98.06402092507327</v>
      </c>
      <c r="Q24" s="49">
        <v>0</v>
      </c>
      <c r="R24" s="49">
        <v>0</v>
      </c>
      <c r="S24" s="49">
        <v>0</v>
      </c>
      <c r="T24" s="49">
        <v>0</v>
      </c>
      <c r="U24" s="49">
        <v>0</v>
      </c>
      <c r="V24" s="49">
        <v>98.06402092507327</v>
      </c>
      <c r="W24" s="49">
        <v>0</v>
      </c>
      <c r="X24" s="49">
        <v>98.06402092507327</v>
      </c>
      <c r="Y24" s="49">
        <v>0</v>
      </c>
      <c r="Z24" s="49">
        <v>0</v>
      </c>
      <c r="AA24" s="49">
        <v>16.6710262298584</v>
      </c>
      <c r="AB24" s="49">
        <v>0</v>
      </c>
      <c r="AC24" s="49">
        <v>16.671026353384246</v>
      </c>
      <c r="AD24" s="49">
        <v>132.4585805234236</v>
      </c>
      <c r="AE24" s="49">
        <v>4.14214777193877</v>
      </c>
      <c r="AF24" s="49">
        <v>20.84405517578125</v>
      </c>
      <c r="AG24" s="49">
        <v>157.25695332724476</v>
      </c>
      <c r="AH24" s="49">
        <v>98.06402092507327</v>
      </c>
      <c r="AI24" s="48">
        <v>1.6036151877496274</v>
      </c>
      <c r="AJ24" s="49">
        <v>75.44896697998047</v>
      </c>
      <c r="AK24" s="49">
        <v>0</v>
      </c>
      <c r="AL24" s="49">
        <v>0</v>
      </c>
      <c r="AM24" s="49">
        <v>232.70591735839844</v>
      </c>
      <c r="AN24" s="49">
        <v>98.06402092507327</v>
      </c>
      <c r="AO24" s="48">
        <v>2.372999906539917</v>
      </c>
    </row>
    <row r="25" spans="1:41" ht="12.75" customHeight="1">
      <c r="A25" t="s">
        <v>177</v>
      </c>
      <c r="B25" t="s">
        <v>177</v>
      </c>
      <c r="C25" s="49">
        <v>45</v>
      </c>
      <c r="D25" s="49">
        <v>214.73412961506529</v>
      </c>
      <c r="E25" s="49">
        <v>71.28</v>
      </c>
      <c r="F25" s="49">
        <v>0</v>
      </c>
      <c r="G25" s="49">
        <v>0</v>
      </c>
      <c r="H25" s="49" t="s">
        <v>169</v>
      </c>
      <c r="I25" s="49">
        <v>0.178</v>
      </c>
      <c r="J25" s="49">
        <v>0.3659999966621399</v>
      </c>
      <c r="K25" s="49">
        <v>231.107606998214</v>
      </c>
      <c r="L25" s="60">
        <v>0.05424643642574873</v>
      </c>
      <c r="M25" s="49">
        <v>0.1482143085258671</v>
      </c>
      <c r="P25" s="49">
        <v>71.28001520985502</v>
      </c>
      <c r="Q25" s="49">
        <v>0</v>
      </c>
      <c r="R25" s="49">
        <v>0</v>
      </c>
      <c r="S25" s="49">
        <v>0</v>
      </c>
      <c r="T25" s="49">
        <v>0</v>
      </c>
      <c r="U25" s="49">
        <v>0</v>
      </c>
      <c r="V25" s="49">
        <v>71.28001520985502</v>
      </c>
      <c r="W25" s="49">
        <v>0</v>
      </c>
      <c r="X25" s="49">
        <v>71.28001520985502</v>
      </c>
      <c r="Y25" s="49">
        <v>0</v>
      </c>
      <c r="Z25" s="49">
        <v>0</v>
      </c>
      <c r="AA25" s="49">
        <v>16.722187042236328</v>
      </c>
      <c r="AB25" s="49">
        <v>0</v>
      </c>
      <c r="AC25" s="49">
        <v>16.722187254082325</v>
      </c>
      <c r="AD25" s="49">
        <v>95.98589956770321</v>
      </c>
      <c r="AE25" s="49">
        <v>3.001600790683344</v>
      </c>
      <c r="AF25" s="49">
        <v>15.104610443115234</v>
      </c>
      <c r="AG25" s="49">
        <v>113.95599998665824</v>
      </c>
      <c r="AH25" s="49">
        <v>71.28001520985502</v>
      </c>
      <c r="AI25" s="48">
        <v>1.5987089740534024</v>
      </c>
      <c r="AJ25" s="49">
        <v>54.6739616394043</v>
      </c>
      <c r="AK25" s="49">
        <v>0</v>
      </c>
      <c r="AL25" s="49">
        <v>0</v>
      </c>
      <c r="AM25" s="49">
        <v>168.6299591064453</v>
      </c>
      <c r="AN25" s="49">
        <v>71.28001520985502</v>
      </c>
      <c r="AO25" s="48">
        <v>2.365739583969116</v>
      </c>
    </row>
    <row r="26" spans="1:41" ht="12.75" customHeight="1">
      <c r="A26" t="s">
        <v>178</v>
      </c>
      <c r="B26" t="s">
        <v>179</v>
      </c>
      <c r="C26" s="49">
        <v>45</v>
      </c>
      <c r="D26" s="49">
        <v>183.60783164722125</v>
      </c>
      <c r="E26" s="49">
        <v>78.45</v>
      </c>
      <c r="F26" s="49">
        <v>0</v>
      </c>
      <c r="G26" s="49">
        <v>0</v>
      </c>
      <c r="H26" s="49" t="s">
        <v>169</v>
      </c>
      <c r="I26" s="49">
        <v>0.178</v>
      </c>
      <c r="J26" s="49">
        <v>0.3659999966621399</v>
      </c>
      <c r="K26" s="49">
        <v>197.60792881032185</v>
      </c>
      <c r="L26" s="60">
        <v>0.04638326745997524</v>
      </c>
      <c r="M26" s="49">
        <v>0.12673024011744002</v>
      </c>
      <c r="P26" s="49">
        <v>78.45121674005861</v>
      </c>
      <c r="Q26" s="49">
        <v>0</v>
      </c>
      <c r="R26" s="49">
        <v>0</v>
      </c>
      <c r="S26" s="49">
        <v>0</v>
      </c>
      <c r="T26" s="49">
        <v>0</v>
      </c>
      <c r="U26" s="49">
        <v>0</v>
      </c>
      <c r="V26" s="49">
        <v>78.45121674005861</v>
      </c>
      <c r="W26" s="49">
        <v>0</v>
      </c>
      <c r="X26" s="49">
        <v>78.45121674005861</v>
      </c>
      <c r="Y26" s="49">
        <v>0</v>
      </c>
      <c r="Z26" s="49">
        <v>0</v>
      </c>
      <c r="AA26" s="49">
        <v>21.524587631225586</v>
      </c>
      <c r="AB26" s="49">
        <v>0</v>
      </c>
      <c r="AC26" s="49">
        <v>21.524588463918587</v>
      </c>
      <c r="AD26" s="49">
        <v>82.0724815376415</v>
      </c>
      <c r="AE26" s="49">
        <v>2.5665105665126093</v>
      </c>
      <c r="AF26" s="49">
        <v>12.915156364440918</v>
      </c>
      <c r="AG26" s="49">
        <v>97.4377672877275</v>
      </c>
      <c r="AH26" s="49">
        <v>78.45121674005861</v>
      </c>
      <c r="AI26" s="48">
        <v>1.2420172858577732</v>
      </c>
      <c r="AJ26" s="49">
        <v>46.74882507324219</v>
      </c>
      <c r="AK26" s="49">
        <v>0</v>
      </c>
      <c r="AL26" s="49">
        <v>0</v>
      </c>
      <c r="AM26" s="49">
        <v>144.1865997314453</v>
      </c>
      <c r="AN26" s="49">
        <v>78.45121674005861</v>
      </c>
      <c r="AO26" s="48">
        <v>1.8379141092300415</v>
      </c>
    </row>
    <row r="27" spans="1:41" ht="12.75" customHeight="1">
      <c r="A27" t="s">
        <v>180</v>
      </c>
      <c r="B27" t="s">
        <v>180</v>
      </c>
      <c r="C27" s="49">
        <v>45</v>
      </c>
      <c r="D27" s="49">
        <v>133.4594371004041</v>
      </c>
      <c r="E27" s="49">
        <v>57.02</v>
      </c>
      <c r="F27" s="49">
        <v>0</v>
      </c>
      <c r="G27" s="49">
        <v>0</v>
      </c>
      <c r="H27" s="49" t="s">
        <v>169</v>
      </c>
      <c r="I27" s="49">
        <v>0.178</v>
      </c>
      <c r="J27" s="49">
        <v>0.3659999966621399</v>
      </c>
      <c r="K27" s="49">
        <v>143.63571917930992</v>
      </c>
      <c r="L27" s="60">
        <v>0.033714709827735556</v>
      </c>
      <c r="M27" s="49">
        <v>0.09211669435849233</v>
      </c>
      <c r="P27" s="49">
        <v>57.02401216788402</v>
      </c>
      <c r="Q27" s="49">
        <v>0</v>
      </c>
      <c r="R27" s="49">
        <v>0</v>
      </c>
      <c r="S27" s="49">
        <v>0</v>
      </c>
      <c r="T27" s="49">
        <v>0</v>
      </c>
      <c r="U27" s="49">
        <v>0</v>
      </c>
      <c r="V27" s="49">
        <v>57.02401216788402</v>
      </c>
      <c r="W27" s="49">
        <v>0</v>
      </c>
      <c r="X27" s="49">
        <v>57.02401216788402</v>
      </c>
      <c r="Y27" s="49">
        <v>0</v>
      </c>
      <c r="Z27" s="49">
        <v>0</v>
      </c>
      <c r="AA27" s="49">
        <v>21.524587631225586</v>
      </c>
      <c r="AB27" s="49">
        <v>0</v>
      </c>
      <c r="AC27" s="49">
        <v>21.524588463918423</v>
      </c>
      <c r="AD27" s="49">
        <v>59.65620904718476</v>
      </c>
      <c r="AE27" s="49">
        <v>1.8655253016501485</v>
      </c>
      <c r="AF27" s="49">
        <v>9.38766860961914</v>
      </c>
      <c r="AG27" s="49">
        <v>70.82480870804373</v>
      </c>
      <c r="AH27" s="49">
        <v>57.02401216788402</v>
      </c>
      <c r="AI27" s="48">
        <v>1.2420172838685724</v>
      </c>
      <c r="AJ27" s="49">
        <v>33.98042297363281</v>
      </c>
      <c r="AK27" s="49">
        <v>0</v>
      </c>
      <c r="AL27" s="49">
        <v>0</v>
      </c>
      <c r="AM27" s="49">
        <v>104.80522918701172</v>
      </c>
      <c r="AN27" s="49">
        <v>57.02401216788402</v>
      </c>
      <c r="AO27" s="48">
        <v>1.837913990020752</v>
      </c>
    </row>
    <row r="28" spans="1:41" ht="12.75" customHeight="1">
      <c r="A28" t="s">
        <v>218</v>
      </c>
      <c r="B28" t="s">
        <v>218</v>
      </c>
      <c r="C28" s="49">
        <v>45</v>
      </c>
      <c r="D28" s="49">
        <v>718.2236934626362</v>
      </c>
      <c r="E28" s="49">
        <v>374.36</v>
      </c>
      <c r="F28" s="49">
        <v>0</v>
      </c>
      <c r="G28" s="49">
        <v>0</v>
      </c>
      <c r="H28" s="49" t="s">
        <v>169</v>
      </c>
      <c r="I28" s="49">
        <v>0.178</v>
      </c>
      <c r="J28" s="49">
        <v>0.3659999966621399</v>
      </c>
      <c r="K28" s="49">
        <v>772.9882500891622</v>
      </c>
      <c r="L28" s="60">
        <v>0.181438674870778</v>
      </c>
      <c r="M28" s="49">
        <v>0.4957340888674018</v>
      </c>
      <c r="P28" s="49">
        <v>374.3600798816123</v>
      </c>
      <c r="Q28" s="49">
        <v>0</v>
      </c>
      <c r="R28" s="49">
        <v>0</v>
      </c>
      <c r="S28" s="49">
        <v>0</v>
      </c>
      <c r="T28" s="49">
        <v>0</v>
      </c>
      <c r="U28" s="49">
        <v>0</v>
      </c>
      <c r="V28" s="49">
        <v>374.3600798816123</v>
      </c>
      <c r="W28" s="49">
        <v>0</v>
      </c>
      <c r="X28" s="49">
        <v>374.3600798816123</v>
      </c>
      <c r="Y28" s="49">
        <v>0</v>
      </c>
      <c r="Z28" s="49">
        <v>0</v>
      </c>
      <c r="AA28" s="49">
        <v>26.25766944885254</v>
      </c>
      <c r="AB28" s="49">
        <v>0</v>
      </c>
      <c r="AC28" s="49">
        <v>26.25766953187804</v>
      </c>
      <c r="AD28" s="49">
        <v>321.0451334933621</v>
      </c>
      <c r="AE28" s="49">
        <v>10.03948841318102</v>
      </c>
      <c r="AF28" s="49">
        <v>50.520565032958984</v>
      </c>
      <c r="AG28" s="49">
        <v>381.14993554405606</v>
      </c>
      <c r="AH28" s="49">
        <v>374.3600798816123</v>
      </c>
      <c r="AI28" s="48">
        <v>1.0181372321124382</v>
      </c>
      <c r="AJ28" s="49">
        <v>182.86866760253906</v>
      </c>
      <c r="AK28" s="49">
        <v>0</v>
      </c>
      <c r="AL28" s="49">
        <v>0</v>
      </c>
      <c r="AM28" s="49">
        <v>564.0186157226562</v>
      </c>
      <c r="AN28" s="49">
        <v>374.3600798816123</v>
      </c>
      <c r="AO28" s="48">
        <v>1.5066206455230713</v>
      </c>
    </row>
    <row r="29" spans="1:41" ht="12.75" customHeight="1">
      <c r="A29" t="s">
        <v>181</v>
      </c>
      <c r="B29" t="s">
        <v>181</v>
      </c>
      <c r="C29" s="49">
        <v>45</v>
      </c>
      <c r="D29" s="49">
        <v>369.31199669088346</v>
      </c>
      <c r="E29" s="49">
        <v>196</v>
      </c>
      <c r="F29" s="49">
        <v>0</v>
      </c>
      <c r="G29" s="49">
        <v>0</v>
      </c>
      <c r="H29" s="49" t="s">
        <v>169</v>
      </c>
      <c r="I29" s="49">
        <v>0.178</v>
      </c>
      <c r="J29" s="49">
        <v>0.3659999966621399</v>
      </c>
      <c r="K29" s="49">
        <v>397.47203643856335</v>
      </c>
      <c r="L29" s="60">
        <v>0.09329611359717828</v>
      </c>
      <c r="M29" s="49">
        <v>0.2549074165246546</v>
      </c>
      <c r="P29" s="49">
        <v>196.00004182283368</v>
      </c>
      <c r="Q29" s="49">
        <v>0</v>
      </c>
      <c r="R29" s="49">
        <v>0</v>
      </c>
      <c r="S29" s="49">
        <v>0</v>
      </c>
      <c r="T29" s="49">
        <v>0</v>
      </c>
      <c r="U29" s="49">
        <v>0</v>
      </c>
      <c r="V29" s="49">
        <v>196.00004182283368</v>
      </c>
      <c r="W29" s="49">
        <v>0</v>
      </c>
      <c r="X29" s="49">
        <v>196.00004182283368</v>
      </c>
      <c r="Y29" s="49">
        <v>0</v>
      </c>
      <c r="Z29" s="49">
        <v>0</v>
      </c>
      <c r="AA29" s="49">
        <v>26.735549926757812</v>
      </c>
      <c r="AB29" s="49">
        <v>0</v>
      </c>
      <c r="AC29" s="49">
        <v>26.73555004030486</v>
      </c>
      <c r="AD29" s="49">
        <v>165.08202160068808</v>
      </c>
      <c r="AE29" s="49">
        <v>5.162324141315391</v>
      </c>
      <c r="AF29" s="49">
        <v>25.97776985168457</v>
      </c>
      <c r="AG29" s="49">
        <v>195.98802445553872</v>
      </c>
      <c r="AH29" s="49">
        <v>196.00004182283368</v>
      </c>
      <c r="AI29" s="69">
        <v>0.9999386869146394</v>
      </c>
      <c r="AJ29" s="49">
        <v>94.03140258789062</v>
      </c>
      <c r="AK29" s="49">
        <v>0</v>
      </c>
      <c r="AL29" s="49">
        <v>0</v>
      </c>
      <c r="AM29" s="49">
        <v>290.0194396972656</v>
      </c>
      <c r="AN29" s="49">
        <v>196.00004182283368</v>
      </c>
      <c r="AO29" s="48">
        <v>1.479690670967102</v>
      </c>
    </row>
    <row r="30" spans="1:41" ht="12.75" customHeight="1">
      <c r="A30" t="s">
        <v>182</v>
      </c>
      <c r="B30" t="s">
        <v>182</v>
      </c>
      <c r="C30" s="49">
        <v>45</v>
      </c>
      <c r="D30" s="49">
        <v>240.1414126609343</v>
      </c>
      <c r="E30" s="49">
        <v>152.36</v>
      </c>
      <c r="F30" s="49">
        <v>0</v>
      </c>
      <c r="G30" s="49">
        <v>0</v>
      </c>
      <c r="H30" s="49" t="s">
        <v>169</v>
      </c>
      <c r="I30" s="49">
        <v>0.178</v>
      </c>
      <c r="J30" s="49">
        <v>0.3659999966621399</v>
      </c>
      <c r="K30" s="49">
        <v>258.4521953763305</v>
      </c>
      <c r="L30" s="60">
        <v>0.06066485983598822</v>
      </c>
      <c r="M30" s="49">
        <v>0.1657509846700596</v>
      </c>
      <c r="P30" s="49">
        <v>152.3610325110651</v>
      </c>
      <c r="Q30" s="49">
        <v>0</v>
      </c>
      <c r="R30" s="49">
        <v>0</v>
      </c>
      <c r="S30" s="49">
        <v>0</v>
      </c>
      <c r="T30" s="49">
        <v>0</v>
      </c>
      <c r="U30" s="49">
        <v>0</v>
      </c>
      <c r="V30" s="49">
        <v>152.3610325110651</v>
      </c>
      <c r="W30" s="49">
        <v>0</v>
      </c>
      <c r="X30" s="49">
        <v>152.3610325110651</v>
      </c>
      <c r="Y30" s="49">
        <v>0</v>
      </c>
      <c r="Z30" s="49">
        <v>0</v>
      </c>
      <c r="AA30" s="49">
        <v>31.961946487426758</v>
      </c>
      <c r="AB30" s="49">
        <v>0</v>
      </c>
      <c r="AC30" s="49">
        <v>31.961946547271378</v>
      </c>
      <c r="AD30" s="49">
        <v>107.34292475555179</v>
      </c>
      <c r="AE30" s="49">
        <v>3.356749369143157</v>
      </c>
      <c r="AF30" s="49">
        <v>16.89178466796875</v>
      </c>
      <c r="AG30" s="49">
        <v>127.43924338371332</v>
      </c>
      <c r="AH30" s="49">
        <v>152.3610325110651</v>
      </c>
      <c r="AI30" s="69">
        <v>0.8364293762216277</v>
      </c>
      <c r="AJ30" s="49">
        <v>61.14299011230469</v>
      </c>
      <c r="AK30" s="49">
        <v>0</v>
      </c>
      <c r="AL30" s="49">
        <v>0</v>
      </c>
      <c r="AM30" s="49">
        <v>188.5822296142578</v>
      </c>
      <c r="AN30" s="49">
        <v>152.3610325110651</v>
      </c>
      <c r="AO30" s="48">
        <v>1.2377326488494873</v>
      </c>
    </row>
    <row r="31" spans="1:41" ht="12.75" customHeight="1">
      <c r="A31" t="s">
        <v>183</v>
      </c>
      <c r="B31" t="s">
        <v>184</v>
      </c>
      <c r="C31" s="49">
        <v>45</v>
      </c>
      <c r="D31" s="49">
        <v>176.3910618568898</v>
      </c>
      <c r="E31" s="49">
        <v>117.68</v>
      </c>
      <c r="F31" s="49">
        <v>0</v>
      </c>
      <c r="G31" s="49">
        <v>0</v>
      </c>
      <c r="H31" s="49" t="s">
        <v>169</v>
      </c>
      <c r="I31" s="49">
        <v>0.178</v>
      </c>
      <c r="J31" s="49">
        <v>0.3659999966621399</v>
      </c>
      <c r="K31" s="49">
        <v>189.84088032347762</v>
      </c>
      <c r="L31" s="60">
        <v>0.04456015697291731</v>
      </c>
      <c r="M31" s="49">
        <v>0.12174906387786517</v>
      </c>
      <c r="P31" s="49">
        <v>117.67682511008793</v>
      </c>
      <c r="Q31" s="49">
        <v>0</v>
      </c>
      <c r="R31" s="49">
        <v>0</v>
      </c>
      <c r="S31" s="49">
        <v>0</v>
      </c>
      <c r="T31" s="49">
        <v>0</v>
      </c>
      <c r="U31" s="49">
        <v>0</v>
      </c>
      <c r="V31" s="49">
        <v>117.67682511008793</v>
      </c>
      <c r="W31" s="49">
        <v>0</v>
      </c>
      <c r="X31" s="49">
        <v>117.67682511008793</v>
      </c>
      <c r="Y31" s="49">
        <v>0</v>
      </c>
      <c r="Z31" s="49">
        <v>0</v>
      </c>
      <c r="AA31" s="49">
        <v>33.60784912109375</v>
      </c>
      <c r="AB31" s="49">
        <v>0</v>
      </c>
      <c r="AC31" s="49">
        <v>33.60785098764219</v>
      </c>
      <c r="AD31" s="49">
        <v>78.84659405743615</v>
      </c>
      <c r="AE31" s="49">
        <v>2.4656329745449526</v>
      </c>
      <c r="AF31" s="49">
        <v>12.40752124786377</v>
      </c>
      <c r="AG31" s="49">
        <v>93.60794150183757</v>
      </c>
      <c r="AH31" s="49">
        <v>117.67682511008793</v>
      </c>
      <c r="AI31" s="69">
        <v>0.7954662391194387</v>
      </c>
      <c r="AJ31" s="49">
        <v>44.911346435546875</v>
      </c>
      <c r="AK31" s="49">
        <v>0</v>
      </c>
      <c r="AL31" s="49">
        <v>0</v>
      </c>
      <c r="AM31" s="49">
        <v>138.519287109375</v>
      </c>
      <c r="AN31" s="49">
        <v>117.67682511008793</v>
      </c>
      <c r="AO31" s="48">
        <v>1.1771161556243896</v>
      </c>
    </row>
    <row r="32" spans="1:41" ht="12.75" customHeight="1">
      <c r="A32" t="s">
        <v>185</v>
      </c>
      <c r="B32" t="s">
        <v>186</v>
      </c>
      <c r="C32" s="49">
        <v>45</v>
      </c>
      <c r="D32" s="49">
        <v>76.92826045741094</v>
      </c>
      <c r="E32" s="49">
        <v>85.54</v>
      </c>
      <c r="F32" s="49">
        <v>0</v>
      </c>
      <c r="G32" s="49">
        <v>0</v>
      </c>
      <c r="H32" s="49" t="s">
        <v>169</v>
      </c>
      <c r="I32" s="49">
        <v>0.178</v>
      </c>
      <c r="J32" s="49">
        <v>0.3659999966621399</v>
      </c>
      <c r="K32" s="49">
        <v>82.79404031728852</v>
      </c>
      <c r="L32" s="60">
        <v>0.019433724847219662</v>
      </c>
      <c r="M32" s="49">
        <v>0.05309760935642638</v>
      </c>
      <c r="P32" s="49">
        <v>85.53601825182604</v>
      </c>
      <c r="Q32" s="49">
        <v>0</v>
      </c>
      <c r="R32" s="49">
        <v>0</v>
      </c>
      <c r="S32" s="49">
        <v>0</v>
      </c>
      <c r="T32" s="49">
        <v>0</v>
      </c>
      <c r="U32" s="49">
        <v>0</v>
      </c>
      <c r="V32" s="49">
        <v>85.53601825182604</v>
      </c>
      <c r="W32" s="49">
        <v>0</v>
      </c>
      <c r="X32" s="49">
        <v>85.53601825182604</v>
      </c>
      <c r="Y32" s="49">
        <v>0</v>
      </c>
      <c r="Z32" s="49">
        <v>0</v>
      </c>
      <c r="AA32" s="49">
        <v>56.013084411621094</v>
      </c>
      <c r="AB32" s="49">
        <v>0</v>
      </c>
      <c r="AC32" s="49">
        <v>56.013084979403025</v>
      </c>
      <c r="AD32" s="49">
        <v>34.38684058011578</v>
      </c>
      <c r="AE32" s="49">
        <v>1.0753201078412025</v>
      </c>
      <c r="AF32" s="49">
        <v>5.411209583282471</v>
      </c>
      <c r="AG32" s="49">
        <v>40.82460872488385</v>
      </c>
      <c r="AH32" s="49">
        <v>85.53601825182604</v>
      </c>
      <c r="AI32" s="69">
        <v>0.4772797420227393</v>
      </c>
      <c r="AJ32" s="49">
        <v>19.58688735961914</v>
      </c>
      <c r="AK32" s="49">
        <v>0</v>
      </c>
      <c r="AL32" s="49">
        <v>0</v>
      </c>
      <c r="AM32" s="49">
        <v>60.411495208740234</v>
      </c>
      <c r="AN32" s="49">
        <v>85.53601825182604</v>
      </c>
      <c r="AO32" s="69">
        <v>0.7062696814537048</v>
      </c>
    </row>
    <row r="33" spans="1:41" ht="12.75" customHeight="1">
      <c r="A33" t="s">
        <v>187</v>
      </c>
      <c r="B33" t="s">
        <v>188</v>
      </c>
      <c r="C33" s="49">
        <v>45</v>
      </c>
      <c r="D33" s="49">
        <v>140.20002542530074</v>
      </c>
      <c r="E33" s="49">
        <v>176.52</v>
      </c>
      <c r="F33" s="49">
        <v>0</v>
      </c>
      <c r="G33" s="49">
        <v>0</v>
      </c>
      <c r="H33" s="49" t="s">
        <v>169</v>
      </c>
      <c r="I33" s="49">
        <v>0.178</v>
      </c>
      <c r="J33" s="49">
        <v>0.3659999966621399</v>
      </c>
      <c r="K33" s="49">
        <v>150.89027736397992</v>
      </c>
      <c r="L33" s="60">
        <v>0.035417526686397575</v>
      </c>
      <c r="M33" s="49">
        <v>0.09676919947923396</v>
      </c>
      <c r="P33" s="49">
        <v>176.51523766513188</v>
      </c>
      <c r="Q33" s="49">
        <v>0</v>
      </c>
      <c r="R33" s="49">
        <v>0</v>
      </c>
      <c r="S33" s="49">
        <v>0</v>
      </c>
      <c r="T33" s="49">
        <v>0</v>
      </c>
      <c r="U33" s="49">
        <v>0</v>
      </c>
      <c r="V33" s="49">
        <v>176.51523766513188</v>
      </c>
      <c r="W33" s="49">
        <v>0</v>
      </c>
      <c r="X33" s="49">
        <v>176.51523766513188</v>
      </c>
      <c r="Y33" s="49">
        <v>0</v>
      </c>
      <c r="Z33" s="49">
        <v>0</v>
      </c>
      <c r="AA33" s="49">
        <v>63.42500305175781</v>
      </c>
      <c r="AB33" s="49">
        <v>0</v>
      </c>
      <c r="AC33" s="49">
        <v>63.425001220098146</v>
      </c>
      <c r="AD33" s="49">
        <v>62.66924398085183</v>
      </c>
      <c r="AE33" s="49">
        <v>1.9597467245881315</v>
      </c>
      <c r="AF33" s="49">
        <v>9.861808776855469</v>
      </c>
      <c r="AG33" s="49">
        <v>74.40193266016551</v>
      </c>
      <c r="AH33" s="49">
        <v>176.51523766513188</v>
      </c>
      <c r="AI33" s="69">
        <v>0.421504305488424</v>
      </c>
      <c r="AJ33" s="49">
        <v>35.69666290283203</v>
      </c>
      <c r="AK33" s="49">
        <v>0</v>
      </c>
      <c r="AL33" s="49">
        <v>0</v>
      </c>
      <c r="AM33" s="49">
        <v>110.09859466552734</v>
      </c>
      <c r="AN33" s="49">
        <v>176.51523766513188</v>
      </c>
      <c r="AO33" s="69">
        <v>0.6237342357635498</v>
      </c>
    </row>
    <row r="34" spans="1:41" ht="12.75" customHeight="1">
      <c r="A34" t="s">
        <v>189</v>
      </c>
      <c r="B34" t="s">
        <v>189</v>
      </c>
      <c r="C34" s="49">
        <v>45</v>
      </c>
      <c r="D34" s="49">
        <v>120.88039296117131</v>
      </c>
      <c r="E34" s="49">
        <v>237.08</v>
      </c>
      <c r="F34" s="49">
        <v>0</v>
      </c>
      <c r="G34" s="49">
        <v>0</v>
      </c>
      <c r="H34" s="49" t="s">
        <v>169</v>
      </c>
      <c r="I34" s="49">
        <v>0.178</v>
      </c>
      <c r="J34" s="49">
        <v>0.3659999966621399</v>
      </c>
      <c r="K34" s="49">
        <v>130.0975229244606</v>
      </c>
      <c r="L34" s="60">
        <v>0.030536974088108137</v>
      </c>
      <c r="M34" s="49">
        <v>0.08343435619289712</v>
      </c>
      <c r="P34" s="49">
        <v>237.0816505888996</v>
      </c>
      <c r="Q34" s="49">
        <v>0</v>
      </c>
      <c r="R34" s="49">
        <v>0</v>
      </c>
      <c r="S34" s="49">
        <v>0</v>
      </c>
      <c r="T34" s="49">
        <v>0</v>
      </c>
      <c r="U34" s="49">
        <v>0</v>
      </c>
      <c r="V34" s="49">
        <v>237.0816505888996</v>
      </c>
      <c r="W34" s="49">
        <v>0</v>
      </c>
      <c r="X34" s="49">
        <v>237.0816505888996</v>
      </c>
      <c r="Y34" s="49">
        <v>0</v>
      </c>
      <c r="Z34" s="49">
        <v>0</v>
      </c>
      <c r="AA34" s="49">
        <v>98.80261993408203</v>
      </c>
      <c r="AB34" s="49">
        <v>0</v>
      </c>
      <c r="AC34" s="49">
        <v>98.80261834842095</v>
      </c>
      <c r="AD34" s="49">
        <v>54.03339133501886</v>
      </c>
      <c r="AE34" s="49">
        <v>1.6896926619945616</v>
      </c>
      <c r="AF34" s="49">
        <v>8.502845764160156</v>
      </c>
      <c r="AG34" s="49">
        <v>64.1493088308443</v>
      </c>
      <c r="AH34" s="49">
        <v>237.0816505888996</v>
      </c>
      <c r="AI34" s="69">
        <v>0.27057897003627424</v>
      </c>
      <c r="AJ34" s="49">
        <v>30.77764320373535</v>
      </c>
      <c r="AK34" s="49">
        <v>0</v>
      </c>
      <c r="AL34" s="49">
        <v>0</v>
      </c>
      <c r="AM34" s="49">
        <v>94.92694854736328</v>
      </c>
      <c r="AN34" s="49">
        <v>237.0816505888996</v>
      </c>
      <c r="AO34" s="69">
        <v>0.40039771795272827</v>
      </c>
    </row>
    <row r="35" spans="3:41" ht="12.75" customHeight="1">
      <c r="C35" s="49"/>
      <c r="D35" s="49"/>
      <c r="E35" s="49"/>
      <c r="F35" s="49"/>
      <c r="G35" s="49"/>
      <c r="H35" s="49"/>
      <c r="I35" s="49"/>
      <c r="J35" s="49"/>
      <c r="K35" s="49"/>
      <c r="L35" s="60"/>
      <c r="M35" s="49"/>
      <c r="S35" s="49"/>
      <c r="T35" s="49"/>
      <c r="U35" s="49"/>
      <c r="W35" s="49"/>
      <c r="X35" s="49"/>
      <c r="Y35" s="49"/>
      <c r="Z35" s="49"/>
      <c r="AA35" s="49"/>
      <c r="AB35" s="49"/>
      <c r="AC35" s="49"/>
      <c r="AD35" s="49"/>
      <c r="AE35" s="49"/>
      <c r="AF35" s="49"/>
      <c r="AG35" s="49"/>
      <c r="AH35" s="49"/>
      <c r="AI35" s="49"/>
      <c r="AJ35" s="49"/>
      <c r="AK35" s="49"/>
      <c r="AL35" s="49"/>
      <c r="AM35" s="49"/>
      <c r="AN35" s="49"/>
      <c r="AO35" s="61"/>
    </row>
    <row r="36" spans="3:41" ht="12.75" customHeight="1" thickBot="1">
      <c r="C36" s="49"/>
      <c r="D36" s="49"/>
      <c r="E36" s="49"/>
      <c r="F36" s="49"/>
      <c r="G36" s="49"/>
      <c r="H36" s="49"/>
      <c r="I36" s="49"/>
      <c r="J36" s="49"/>
      <c r="K36" s="49"/>
      <c r="L36" s="49"/>
      <c r="M36" s="49"/>
      <c r="S36" s="49"/>
      <c r="T36" s="49"/>
      <c r="U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132</v>
      </c>
      <c r="B37" s="71"/>
      <c r="C37" s="72" t="s">
        <v>101</v>
      </c>
      <c r="D37" s="63"/>
      <c r="E37" s="63"/>
      <c r="F37" s="63"/>
      <c r="G37" s="63"/>
      <c r="H37" s="63"/>
      <c r="I37" s="63"/>
      <c r="J37" s="64"/>
      <c r="K37" s="72" t="s">
        <v>45</v>
      </c>
      <c r="L37" s="63"/>
      <c r="M37" s="64"/>
      <c r="N37" s="72" t="s">
        <v>102</v>
      </c>
      <c r="O37" s="63"/>
      <c r="P37" s="63"/>
      <c r="Q37" s="63"/>
      <c r="R37" s="73" t="s">
        <v>103</v>
      </c>
      <c r="S37" s="72" t="s">
        <v>79</v>
      </c>
      <c r="T37" s="63"/>
      <c r="U37" s="63"/>
      <c r="V37" s="63"/>
      <c r="W37" s="63"/>
      <c r="X37" s="64"/>
      <c r="Y37" s="72" t="s">
        <v>80</v>
      </c>
      <c r="Z37" s="63"/>
      <c r="AA37" s="63"/>
      <c r="AB37" s="63"/>
      <c r="AC37" s="63"/>
      <c r="AD37" s="64"/>
      <c r="AE37" s="49"/>
      <c r="AF37" s="49"/>
      <c r="AG37" s="49"/>
      <c r="AH37" s="49"/>
      <c r="AI37" s="49"/>
      <c r="AJ37" s="49"/>
      <c r="AK37" s="49"/>
      <c r="AL37" s="49"/>
      <c r="AM37" s="49"/>
      <c r="AN37" s="49"/>
      <c r="AO37" s="49"/>
    </row>
    <row r="38" spans="1:41" ht="51">
      <c r="A38" s="57"/>
      <c r="B38" s="58" t="s">
        <v>51</v>
      </c>
      <c r="C38" s="59" t="s">
        <v>104</v>
      </c>
      <c r="D38" s="59" t="s">
        <v>82</v>
      </c>
      <c r="E38" s="59" t="s">
        <v>83</v>
      </c>
      <c r="F38" s="59" t="s">
        <v>84</v>
      </c>
      <c r="G38" s="59" t="s">
        <v>85</v>
      </c>
      <c r="H38" s="59" t="s">
        <v>86</v>
      </c>
      <c r="I38" s="59" t="s">
        <v>105</v>
      </c>
      <c r="J38" s="59" t="s">
        <v>106</v>
      </c>
      <c r="K38" s="59" t="s">
        <v>89</v>
      </c>
      <c r="L38" s="59" t="s">
        <v>90</v>
      </c>
      <c r="M38" s="59" t="s">
        <v>91</v>
      </c>
      <c r="N38" s="59" t="s">
        <v>46</v>
      </c>
      <c r="O38" s="59" t="s">
        <v>107</v>
      </c>
      <c r="P38" s="59" t="s">
        <v>108</v>
      </c>
      <c r="Q38" s="59" t="s">
        <v>109</v>
      </c>
      <c r="R38" s="59" t="s">
        <v>110</v>
      </c>
      <c r="S38" s="59" t="s">
        <v>92</v>
      </c>
      <c r="T38" s="59" t="s">
        <v>93</v>
      </c>
      <c r="U38" s="59" t="s">
        <v>56</v>
      </c>
      <c r="V38" s="59" t="s">
        <v>94</v>
      </c>
      <c r="W38" s="59" t="s">
        <v>95</v>
      </c>
      <c r="X38" s="59" t="s">
        <v>96</v>
      </c>
      <c r="Y38" s="59" t="s">
        <v>97</v>
      </c>
      <c r="Z38" s="59" t="s">
        <v>54</v>
      </c>
      <c r="AA38" s="59" t="s">
        <v>55</v>
      </c>
      <c r="AB38" s="59" t="s">
        <v>98</v>
      </c>
      <c r="AC38" s="59" t="s">
        <v>99</v>
      </c>
      <c r="AD38" s="59" t="s">
        <v>100</v>
      </c>
      <c r="AE38" s="49"/>
      <c r="AF38" s="49"/>
      <c r="AG38" s="49"/>
      <c r="AH38" s="49"/>
      <c r="AI38" s="49"/>
      <c r="AJ38" s="49"/>
      <c r="AK38" s="49"/>
      <c r="AL38" s="49"/>
      <c r="AM38" s="49"/>
      <c r="AN38" s="49"/>
      <c r="AO38" s="49"/>
    </row>
    <row r="39" spans="2:41" ht="12.75" customHeight="1">
      <c r="B39" t="s">
        <v>174</v>
      </c>
      <c r="C39" s="49">
        <v>45</v>
      </c>
      <c r="D39" s="49">
        <v>775.9947195945388</v>
      </c>
      <c r="E39" s="49">
        <v>237.08</v>
      </c>
      <c r="F39" s="49">
        <v>0</v>
      </c>
      <c r="G39" s="49">
        <v>0</v>
      </c>
      <c r="H39" s="49"/>
      <c r="I39" s="49">
        <v>0.178</v>
      </c>
      <c r="J39" s="49">
        <v>0.3659999966621399</v>
      </c>
      <c r="K39" s="49">
        <v>835.1643169636222</v>
      </c>
      <c r="L39" s="49">
        <v>0.19603287236482486</v>
      </c>
      <c r="M39" s="49">
        <v>0.5356089472770691</v>
      </c>
      <c r="N39" s="49">
        <v>237.0816505888996</v>
      </c>
      <c r="O39" s="49">
        <v>0</v>
      </c>
      <c r="P39" s="49">
        <v>0</v>
      </c>
      <c r="Q39" s="49">
        <v>237.08164978027344</v>
      </c>
      <c r="R39" s="49">
        <v>15.390954751567842</v>
      </c>
      <c r="S39" s="49">
        <v>346.8687132017217</v>
      </c>
      <c r="T39" s="49">
        <v>10.847024917602539</v>
      </c>
      <c r="U39" s="49">
        <v>54.58423614501953</v>
      </c>
      <c r="V39" s="49">
        <v>411.80810385473126</v>
      </c>
      <c r="W39" s="49">
        <v>237.0816505888996</v>
      </c>
      <c r="X39" s="48">
        <v>1.7369885135851695</v>
      </c>
      <c r="Y39" s="60">
        <v>197.57786560058594</v>
      </c>
      <c r="Z39" s="60">
        <v>0</v>
      </c>
      <c r="AA39" s="60">
        <v>0</v>
      </c>
      <c r="AB39" s="60">
        <v>609.385986328125</v>
      </c>
      <c r="AC39" s="60">
        <v>237.08164978027344</v>
      </c>
      <c r="AD39" s="48">
        <v>2.5703632831573486</v>
      </c>
      <c r="AE39" s="60"/>
      <c r="AF39" s="60"/>
      <c r="AG39" s="60"/>
      <c r="AH39" s="60"/>
      <c r="AI39" s="60"/>
      <c r="AJ39" s="60"/>
      <c r="AK39" s="60"/>
      <c r="AL39" s="49"/>
      <c r="AM39" s="49"/>
      <c r="AN39" s="49"/>
      <c r="AO39" s="49"/>
    </row>
    <row r="40" spans="2:41" ht="12.75" customHeight="1">
      <c r="B40" t="s">
        <v>176</v>
      </c>
      <c r="C40" s="49">
        <v>45</v>
      </c>
      <c r="D40" s="49">
        <v>296.32871210090525</v>
      </c>
      <c r="E40" s="49">
        <v>98.06</v>
      </c>
      <c r="F40" s="49">
        <v>0</v>
      </c>
      <c r="G40" s="49">
        <v>0</v>
      </c>
      <c r="H40" s="49"/>
      <c r="I40" s="49">
        <v>0.178</v>
      </c>
      <c r="J40" s="49">
        <v>0.3659999966621399</v>
      </c>
      <c r="K40" s="49">
        <v>318.9237763985993</v>
      </c>
      <c r="L40" s="49">
        <v>0.07485897407608921</v>
      </c>
      <c r="M40" s="49">
        <v>0.2045327126979828</v>
      </c>
      <c r="N40" s="49">
        <v>98.06402092507327</v>
      </c>
      <c r="O40" s="49">
        <v>0</v>
      </c>
      <c r="P40" s="49">
        <v>0</v>
      </c>
      <c r="Q40" s="49">
        <v>98.06401824951172</v>
      </c>
      <c r="R40" s="49">
        <v>16.671025452364074</v>
      </c>
      <c r="S40" s="49">
        <v>132.4585805234236</v>
      </c>
      <c r="T40" s="49">
        <v>4.142147541046143</v>
      </c>
      <c r="U40" s="49">
        <v>20.84405517578125</v>
      </c>
      <c r="V40" s="49">
        <v>157.25695332724476</v>
      </c>
      <c r="W40" s="49">
        <v>98.06402092507327</v>
      </c>
      <c r="X40" s="48">
        <v>1.6036151877496274</v>
      </c>
      <c r="Y40" s="60">
        <v>75.44896697998047</v>
      </c>
      <c r="Z40" s="60">
        <v>0</v>
      </c>
      <c r="AA40" s="60">
        <v>0</v>
      </c>
      <c r="AB40" s="60">
        <v>232.70591735839844</v>
      </c>
      <c r="AC40" s="60">
        <v>98.06401824951172</v>
      </c>
      <c r="AD40" s="48">
        <v>2.372999906539917</v>
      </c>
      <c r="AE40" s="60"/>
      <c r="AF40" s="60"/>
      <c r="AG40" s="60"/>
      <c r="AH40" s="60"/>
      <c r="AI40" s="60"/>
      <c r="AJ40" s="60"/>
      <c r="AK40" s="60"/>
      <c r="AL40" s="49"/>
      <c r="AM40" s="49"/>
      <c r="AN40" s="49"/>
      <c r="AO40" s="49"/>
    </row>
    <row r="41" spans="2:41" ht="12.75" customHeight="1">
      <c r="B41" t="s">
        <v>177</v>
      </c>
      <c r="C41" s="49">
        <v>45</v>
      </c>
      <c r="D41" s="49">
        <v>214.73412961506529</v>
      </c>
      <c r="E41" s="49">
        <v>71.28</v>
      </c>
      <c r="F41" s="49">
        <v>0</v>
      </c>
      <c r="G41" s="49">
        <v>0</v>
      </c>
      <c r="H41" s="49"/>
      <c r="I41" s="49">
        <v>0.178</v>
      </c>
      <c r="J41" s="49">
        <v>0.3659999966621399</v>
      </c>
      <c r="K41" s="49">
        <v>231.107606998214</v>
      </c>
      <c r="L41" s="49">
        <v>0.05424643642574873</v>
      </c>
      <c r="M41" s="49">
        <v>0.14821431040763855</v>
      </c>
      <c r="N41" s="49">
        <v>71.28001520985502</v>
      </c>
      <c r="O41" s="49">
        <v>0</v>
      </c>
      <c r="P41" s="49">
        <v>0</v>
      </c>
      <c r="Q41" s="49">
        <v>71.28001403808594</v>
      </c>
      <c r="R41" s="49">
        <v>16.72218735147473</v>
      </c>
      <c r="S41" s="49">
        <v>95.98589956770321</v>
      </c>
      <c r="T41" s="49">
        <v>3.001600742340088</v>
      </c>
      <c r="U41" s="49">
        <v>15.104610443115234</v>
      </c>
      <c r="V41" s="49">
        <v>113.95599998665824</v>
      </c>
      <c r="W41" s="49">
        <v>71.28001520985502</v>
      </c>
      <c r="X41" s="48">
        <v>1.5987089740534024</v>
      </c>
      <c r="Y41" s="60">
        <v>54.6739616394043</v>
      </c>
      <c r="Z41" s="60">
        <v>0</v>
      </c>
      <c r="AA41" s="60">
        <v>0</v>
      </c>
      <c r="AB41" s="60">
        <v>168.6299591064453</v>
      </c>
      <c r="AC41" s="60">
        <v>71.28001403808594</v>
      </c>
      <c r="AD41" s="48">
        <v>2.365739583969116</v>
      </c>
      <c r="AE41" s="60"/>
      <c r="AF41" s="60"/>
      <c r="AG41" s="60"/>
      <c r="AH41" s="60"/>
      <c r="AI41" s="60"/>
      <c r="AJ41" s="60"/>
      <c r="AK41" s="60"/>
      <c r="AL41" s="49"/>
      <c r="AM41" s="49"/>
      <c r="AN41" s="49"/>
      <c r="AO41" s="49"/>
    </row>
    <row r="42" spans="2:41" ht="12.75" customHeight="1">
      <c r="B42" t="s">
        <v>178</v>
      </c>
      <c r="C42" s="49">
        <v>45</v>
      </c>
      <c r="D42" s="49">
        <v>183.60783164722125</v>
      </c>
      <c r="E42" s="49">
        <v>78.45</v>
      </c>
      <c r="F42" s="49">
        <v>0</v>
      </c>
      <c r="G42" s="49">
        <v>0</v>
      </c>
      <c r="H42" s="49"/>
      <c r="I42" s="49">
        <v>0.17799999999999996</v>
      </c>
      <c r="J42" s="49">
        <v>0.3659999668598175</v>
      </c>
      <c r="K42" s="49">
        <v>197.60792881032185</v>
      </c>
      <c r="L42" s="49">
        <v>0.04638326745997524</v>
      </c>
      <c r="M42" s="49">
        <v>0.12673023343086243</v>
      </c>
      <c r="N42" s="49">
        <v>78.45121674005861</v>
      </c>
      <c r="O42" s="49">
        <v>0</v>
      </c>
      <c r="P42" s="49">
        <v>0</v>
      </c>
      <c r="Q42" s="49">
        <v>78.45121765136719</v>
      </c>
      <c r="R42" s="49">
        <v>21.524589015384365</v>
      </c>
      <c r="S42" s="49">
        <v>82.0724815376415</v>
      </c>
      <c r="T42" s="49">
        <v>2.5665106773376465</v>
      </c>
      <c r="U42" s="49">
        <v>12.915156364440918</v>
      </c>
      <c r="V42" s="49">
        <v>97.4377672877275</v>
      </c>
      <c r="W42" s="49">
        <v>78.45121674005861</v>
      </c>
      <c r="X42" s="48">
        <v>1.2420172858577732</v>
      </c>
      <c r="Y42" s="60">
        <v>46.74882507324219</v>
      </c>
      <c r="Z42" s="60">
        <v>0</v>
      </c>
      <c r="AA42" s="60">
        <v>0</v>
      </c>
      <c r="AB42" s="60">
        <v>144.1865997314453</v>
      </c>
      <c r="AC42" s="60">
        <v>78.45121765136719</v>
      </c>
      <c r="AD42" s="48">
        <v>1.8379141092300415</v>
      </c>
      <c r="AE42" s="60"/>
      <c r="AF42" s="60"/>
      <c r="AG42" s="60"/>
      <c r="AH42" s="60"/>
      <c r="AI42" s="60"/>
      <c r="AJ42" s="60"/>
      <c r="AK42" s="60"/>
      <c r="AL42" s="49"/>
      <c r="AM42" s="49"/>
      <c r="AN42" s="49"/>
      <c r="AO42" s="49"/>
    </row>
    <row r="43" spans="2:41" ht="12.75" customHeight="1">
      <c r="B43" t="s">
        <v>180</v>
      </c>
      <c r="C43" s="49">
        <v>45</v>
      </c>
      <c r="D43" s="49">
        <v>133.4594371004041</v>
      </c>
      <c r="E43" s="49">
        <v>57.02</v>
      </c>
      <c r="F43" s="49">
        <v>0</v>
      </c>
      <c r="G43" s="49">
        <v>0</v>
      </c>
      <c r="H43" s="49"/>
      <c r="I43" s="49">
        <v>0.178</v>
      </c>
      <c r="J43" s="49">
        <v>0.3659999966621399</v>
      </c>
      <c r="K43" s="49">
        <v>143.63571917930992</v>
      </c>
      <c r="L43" s="49">
        <v>0.033714709827735556</v>
      </c>
      <c r="M43" s="49">
        <v>0.09211669117212296</v>
      </c>
      <c r="N43" s="49">
        <v>57.02401216788402</v>
      </c>
      <c r="O43" s="49">
        <v>0</v>
      </c>
      <c r="P43" s="49">
        <v>0</v>
      </c>
      <c r="Q43" s="49">
        <v>57.02401351928711</v>
      </c>
      <c r="R43" s="49">
        <v>21.524588294385897</v>
      </c>
      <c r="S43" s="49">
        <v>59.65620904718476</v>
      </c>
      <c r="T43" s="49">
        <v>1.865525245666504</v>
      </c>
      <c r="U43" s="49">
        <v>9.38766860961914</v>
      </c>
      <c r="V43" s="49">
        <v>70.82480870804373</v>
      </c>
      <c r="W43" s="49">
        <v>57.02401216788402</v>
      </c>
      <c r="X43" s="48">
        <v>1.2420172838685724</v>
      </c>
      <c r="Y43" s="60">
        <v>33.98042297363281</v>
      </c>
      <c r="Z43" s="60">
        <v>0</v>
      </c>
      <c r="AA43" s="60">
        <v>0</v>
      </c>
      <c r="AB43" s="60">
        <v>104.80522918701172</v>
      </c>
      <c r="AC43" s="60">
        <v>57.02401351928711</v>
      </c>
      <c r="AD43" s="48">
        <v>1.837913990020752</v>
      </c>
      <c r="AE43" s="60"/>
      <c r="AF43" s="60"/>
      <c r="AG43" s="60"/>
      <c r="AH43" s="60"/>
      <c r="AI43" s="60"/>
      <c r="AJ43" s="60"/>
      <c r="AK43" s="60"/>
      <c r="AL43" s="49"/>
      <c r="AM43" s="49"/>
      <c r="AN43" s="49"/>
      <c r="AO43" s="49"/>
    </row>
    <row r="44" spans="2:41" ht="12.75" customHeight="1">
      <c r="B44" t="s">
        <v>218</v>
      </c>
      <c r="C44" s="49">
        <v>45</v>
      </c>
      <c r="D44" s="49">
        <v>718.2236934626362</v>
      </c>
      <c r="E44" s="49">
        <v>374.36</v>
      </c>
      <c r="F44" s="49">
        <v>0</v>
      </c>
      <c r="G44" s="49">
        <v>0</v>
      </c>
      <c r="H44" s="49"/>
      <c r="I44" s="49">
        <v>0.178</v>
      </c>
      <c r="J44" s="49">
        <v>0.3659999966621399</v>
      </c>
      <c r="K44" s="49">
        <v>772.9882500891622</v>
      </c>
      <c r="L44" s="49">
        <v>0.181438674870778</v>
      </c>
      <c r="M44" s="49">
        <v>0.4957340955734253</v>
      </c>
      <c r="N44" s="49">
        <v>374.3600798816123</v>
      </c>
      <c r="O44" s="49">
        <v>0</v>
      </c>
      <c r="P44" s="49">
        <v>0</v>
      </c>
      <c r="Q44" s="49">
        <v>374.3600769042969</v>
      </c>
      <c r="R44" s="49">
        <v>26.257668312729265</v>
      </c>
      <c r="S44" s="49">
        <v>321.0451334933621</v>
      </c>
      <c r="T44" s="49">
        <v>10.039488792419434</v>
      </c>
      <c r="U44" s="49">
        <v>50.520565032958984</v>
      </c>
      <c r="V44" s="49">
        <v>381.14993554405606</v>
      </c>
      <c r="W44" s="49">
        <v>374.3600798816123</v>
      </c>
      <c r="X44" s="48">
        <v>1.0181372321124382</v>
      </c>
      <c r="Y44" s="60">
        <v>182.86866760253906</v>
      </c>
      <c r="Z44" s="60">
        <v>0</v>
      </c>
      <c r="AA44" s="60">
        <v>0</v>
      </c>
      <c r="AB44" s="60">
        <v>564.0186157226562</v>
      </c>
      <c r="AC44" s="60">
        <v>374.3600769042969</v>
      </c>
      <c r="AD44" s="48">
        <v>1.5066206455230713</v>
      </c>
      <c r="AE44" s="60"/>
      <c r="AF44" s="60"/>
      <c r="AG44" s="60"/>
      <c r="AH44" s="60"/>
      <c r="AI44" s="60"/>
      <c r="AJ44" s="60"/>
      <c r="AK44" s="60"/>
      <c r="AL44" s="49"/>
      <c r="AM44" s="49"/>
      <c r="AN44" s="49"/>
      <c r="AO44" s="49"/>
    </row>
    <row r="45" spans="2:41" ht="12.75" customHeight="1">
      <c r="B45" t="s">
        <v>181</v>
      </c>
      <c r="C45" s="49">
        <v>45</v>
      </c>
      <c r="D45" s="49">
        <v>369.31199669088346</v>
      </c>
      <c r="E45" s="49">
        <v>196</v>
      </c>
      <c r="F45" s="49">
        <v>0</v>
      </c>
      <c r="G45" s="49">
        <v>0</v>
      </c>
      <c r="H45" s="49"/>
      <c r="I45" s="49">
        <v>0.17800000000000002</v>
      </c>
      <c r="J45" s="49">
        <v>0.3659999668598175</v>
      </c>
      <c r="K45" s="49">
        <v>397.47203643856335</v>
      </c>
      <c r="L45" s="49">
        <v>0.09329611359717828</v>
      </c>
      <c r="M45" s="49">
        <v>0.25490742921829224</v>
      </c>
      <c r="N45" s="49">
        <v>196.00004182283368</v>
      </c>
      <c r="O45" s="49">
        <v>0</v>
      </c>
      <c r="P45" s="49">
        <v>0</v>
      </c>
      <c r="Q45" s="49">
        <v>196.0000457763672</v>
      </c>
      <c r="R45" s="49">
        <v>26.735550729449844</v>
      </c>
      <c r="S45" s="49">
        <v>165.08202160068808</v>
      </c>
      <c r="T45" s="49">
        <v>5.162323951721191</v>
      </c>
      <c r="U45" s="49">
        <v>25.97776985168457</v>
      </c>
      <c r="V45" s="49">
        <v>195.98802445553872</v>
      </c>
      <c r="W45" s="49">
        <v>196.00004182283368</v>
      </c>
      <c r="X45" s="69">
        <v>0.9999386869146394</v>
      </c>
      <c r="Y45" s="60">
        <v>94.03140258789062</v>
      </c>
      <c r="Z45" s="60">
        <v>0</v>
      </c>
      <c r="AA45" s="60">
        <v>0</v>
      </c>
      <c r="AB45" s="60">
        <v>290.0194396972656</v>
      </c>
      <c r="AC45" s="60">
        <v>196.0000457763672</v>
      </c>
      <c r="AD45" s="48">
        <v>1.479690670967102</v>
      </c>
      <c r="AE45" s="60"/>
      <c r="AF45" s="60"/>
      <c r="AG45" s="60"/>
      <c r="AH45" s="60"/>
      <c r="AI45" s="60"/>
      <c r="AJ45" s="60"/>
      <c r="AK45" s="60"/>
      <c r="AL45" s="49"/>
      <c r="AM45" s="49"/>
      <c r="AN45" s="49"/>
      <c r="AO45" s="49"/>
    </row>
    <row r="46" spans="2:41" ht="12.75" customHeight="1">
      <c r="B46" t="s">
        <v>182</v>
      </c>
      <c r="C46" s="49">
        <v>45</v>
      </c>
      <c r="D46" s="49">
        <v>240.1414126609343</v>
      </c>
      <c r="E46" s="49">
        <v>152.36</v>
      </c>
      <c r="F46" s="49">
        <v>0</v>
      </c>
      <c r="G46" s="49">
        <v>0</v>
      </c>
      <c r="H46" s="49"/>
      <c r="I46" s="49">
        <v>0.178</v>
      </c>
      <c r="J46" s="49">
        <v>0.3659999966621399</v>
      </c>
      <c r="K46" s="49">
        <v>258.4521953763305</v>
      </c>
      <c r="L46" s="49">
        <v>0.06066485983598822</v>
      </c>
      <c r="M46" s="49">
        <v>0.16575098037719727</v>
      </c>
      <c r="N46" s="49">
        <v>152.3610325110651</v>
      </c>
      <c r="O46" s="49">
        <v>0</v>
      </c>
      <c r="P46" s="49">
        <v>0</v>
      </c>
      <c r="Q46" s="49">
        <v>152.3610382080078</v>
      </c>
      <c r="R46" s="49">
        <v>31.961946282728046</v>
      </c>
      <c r="S46" s="49">
        <v>107.34292475555179</v>
      </c>
      <c r="T46" s="49">
        <v>3.3567492961883545</v>
      </c>
      <c r="U46" s="49">
        <v>16.89178466796875</v>
      </c>
      <c r="V46" s="49">
        <v>127.43924338371332</v>
      </c>
      <c r="W46" s="49">
        <v>152.3610325110651</v>
      </c>
      <c r="X46" s="69">
        <v>0.8364293762216277</v>
      </c>
      <c r="Y46" s="60">
        <v>61.14299011230469</v>
      </c>
      <c r="Z46" s="60">
        <v>0</v>
      </c>
      <c r="AA46" s="60">
        <v>0</v>
      </c>
      <c r="AB46" s="60">
        <v>188.5822296142578</v>
      </c>
      <c r="AC46" s="60">
        <v>152.3610382080078</v>
      </c>
      <c r="AD46" s="48">
        <v>1.2377326488494873</v>
      </c>
      <c r="AE46" s="60"/>
      <c r="AF46" s="60"/>
      <c r="AG46" s="60"/>
      <c r="AH46" s="60"/>
      <c r="AI46" s="60"/>
      <c r="AJ46" s="60"/>
      <c r="AK46" s="60"/>
      <c r="AL46" s="49"/>
      <c r="AM46" s="49"/>
      <c r="AN46" s="49"/>
      <c r="AO46" s="49"/>
    </row>
    <row r="47" spans="2:41" ht="12.75" customHeight="1">
      <c r="B47" t="s">
        <v>183</v>
      </c>
      <c r="C47" s="49">
        <v>45</v>
      </c>
      <c r="D47" s="49">
        <v>176.3910618568898</v>
      </c>
      <c r="E47" s="49">
        <v>117.68</v>
      </c>
      <c r="F47" s="49">
        <v>0</v>
      </c>
      <c r="G47" s="49">
        <v>0</v>
      </c>
      <c r="H47" s="49"/>
      <c r="I47" s="49">
        <v>0.178</v>
      </c>
      <c r="J47" s="49">
        <v>0.3659999966621399</v>
      </c>
      <c r="K47" s="49">
        <v>189.84088032347762</v>
      </c>
      <c r="L47" s="49">
        <v>0.04456015697291731</v>
      </c>
      <c r="M47" s="49">
        <v>0.12174906581640244</v>
      </c>
      <c r="N47" s="49">
        <v>117.67682511008793</v>
      </c>
      <c r="O47" s="49">
        <v>0</v>
      </c>
      <c r="P47" s="49">
        <v>0</v>
      </c>
      <c r="Q47" s="49">
        <v>117.67682647705078</v>
      </c>
      <c r="R47" s="49">
        <v>33.60785184868441</v>
      </c>
      <c r="S47" s="49">
        <v>78.84659405743615</v>
      </c>
      <c r="T47" s="49">
        <v>2.465632915496826</v>
      </c>
      <c r="U47" s="49">
        <v>12.40752124786377</v>
      </c>
      <c r="V47" s="49">
        <v>93.60794150183757</v>
      </c>
      <c r="W47" s="49">
        <v>117.67682511008793</v>
      </c>
      <c r="X47" s="69">
        <v>0.7954662391194387</v>
      </c>
      <c r="Y47" s="60">
        <v>44.911346435546875</v>
      </c>
      <c r="Z47" s="60">
        <v>0</v>
      </c>
      <c r="AA47" s="60">
        <v>0</v>
      </c>
      <c r="AB47" s="60">
        <v>138.519287109375</v>
      </c>
      <c r="AC47" s="60">
        <v>117.67682647705078</v>
      </c>
      <c r="AD47" s="48">
        <v>1.1771161556243896</v>
      </c>
      <c r="AE47" s="60"/>
      <c r="AF47" s="60"/>
      <c r="AG47" s="60"/>
      <c r="AH47" s="60"/>
      <c r="AI47" s="60"/>
      <c r="AJ47" s="60"/>
      <c r="AK47" s="60"/>
      <c r="AL47" s="49"/>
      <c r="AM47" s="49"/>
      <c r="AN47" s="49"/>
      <c r="AO47" s="49"/>
    </row>
    <row r="48" spans="2:41" ht="12.75" customHeight="1">
      <c r="B48" t="s">
        <v>185</v>
      </c>
      <c r="C48" s="49">
        <v>45</v>
      </c>
      <c r="D48" s="49">
        <v>76.92826045741094</v>
      </c>
      <c r="E48" s="49">
        <v>85.54</v>
      </c>
      <c r="F48" s="49">
        <v>0</v>
      </c>
      <c r="G48" s="49">
        <v>0</v>
      </c>
      <c r="H48" s="49"/>
      <c r="I48" s="49">
        <v>0.178</v>
      </c>
      <c r="J48" s="49">
        <v>0.3659999966621399</v>
      </c>
      <c r="K48" s="49">
        <v>82.79404031728852</v>
      </c>
      <c r="L48" s="49">
        <v>0.019433724847219662</v>
      </c>
      <c r="M48" s="49">
        <v>0.05309760943055153</v>
      </c>
      <c r="N48" s="49">
        <v>85.53601825182604</v>
      </c>
      <c r="O48" s="49">
        <v>0</v>
      </c>
      <c r="P48" s="49">
        <v>0</v>
      </c>
      <c r="Q48" s="49">
        <v>85.53601837158203</v>
      </c>
      <c r="R48" s="49">
        <v>56.013083259231415</v>
      </c>
      <c r="S48" s="49">
        <v>34.38684058011578</v>
      </c>
      <c r="T48" s="49">
        <v>1.0753201246261597</v>
      </c>
      <c r="U48" s="49">
        <v>5.411209583282471</v>
      </c>
      <c r="V48" s="49">
        <v>40.82460872488385</v>
      </c>
      <c r="W48" s="49">
        <v>85.53601825182604</v>
      </c>
      <c r="X48" s="69">
        <v>0.4772797420227393</v>
      </c>
      <c r="Y48" s="60">
        <v>19.58688735961914</v>
      </c>
      <c r="Z48" s="60">
        <v>0</v>
      </c>
      <c r="AA48" s="60">
        <v>0</v>
      </c>
      <c r="AB48" s="60">
        <v>60.411495208740234</v>
      </c>
      <c r="AC48" s="60">
        <v>85.53601837158203</v>
      </c>
      <c r="AD48" s="69">
        <v>0.7062696814537048</v>
      </c>
      <c r="AE48" s="60"/>
      <c r="AF48" s="60"/>
      <c r="AG48" s="60"/>
      <c r="AH48" s="60"/>
      <c r="AI48" s="60"/>
      <c r="AJ48" s="60"/>
      <c r="AK48" s="60"/>
      <c r="AL48" s="49"/>
      <c r="AM48" s="49"/>
      <c r="AN48" s="49"/>
      <c r="AO48" s="49"/>
    </row>
    <row r="49" spans="2:41" ht="12.75" customHeight="1">
      <c r="B49" t="s">
        <v>187</v>
      </c>
      <c r="C49" s="49">
        <v>45</v>
      </c>
      <c r="D49" s="49">
        <v>140.20002542530074</v>
      </c>
      <c r="E49" s="49">
        <v>176.52</v>
      </c>
      <c r="F49" s="49">
        <v>0</v>
      </c>
      <c r="G49" s="49">
        <v>0</v>
      </c>
      <c r="H49" s="49"/>
      <c r="I49" s="49">
        <v>0.178</v>
      </c>
      <c r="J49" s="49">
        <v>0.3659999966621399</v>
      </c>
      <c r="K49" s="49">
        <v>150.89027736397992</v>
      </c>
      <c r="L49" s="49">
        <v>0.035417526686397575</v>
      </c>
      <c r="M49" s="49">
        <v>0.09676919877529144</v>
      </c>
      <c r="N49" s="49">
        <v>176.51523766513188</v>
      </c>
      <c r="O49" s="49">
        <v>0</v>
      </c>
      <c r="P49" s="49">
        <v>0</v>
      </c>
      <c r="Q49" s="49">
        <v>176.51524353027344</v>
      </c>
      <c r="R49" s="49">
        <v>63.425005652231235</v>
      </c>
      <c r="S49" s="49">
        <v>62.66924398085183</v>
      </c>
      <c r="T49" s="49">
        <v>1.9597467184066772</v>
      </c>
      <c r="U49" s="49">
        <v>9.861808776855469</v>
      </c>
      <c r="V49" s="49">
        <v>74.40193266016551</v>
      </c>
      <c r="W49" s="49">
        <v>176.51523766513188</v>
      </c>
      <c r="X49" s="69">
        <v>0.421504305488424</v>
      </c>
      <c r="Y49" s="60">
        <v>35.69666290283203</v>
      </c>
      <c r="Z49" s="60">
        <v>0</v>
      </c>
      <c r="AA49" s="60">
        <v>0</v>
      </c>
      <c r="AB49" s="60">
        <v>110.09859466552734</v>
      </c>
      <c r="AC49" s="60">
        <v>176.51524353027344</v>
      </c>
      <c r="AD49" s="69">
        <v>0.623734176158905</v>
      </c>
      <c r="AE49" s="60"/>
      <c r="AF49" s="60"/>
      <c r="AG49" s="60"/>
      <c r="AH49" s="60"/>
      <c r="AI49" s="60"/>
      <c r="AJ49" s="60"/>
      <c r="AK49" s="60"/>
      <c r="AL49" s="49"/>
      <c r="AM49" s="49"/>
      <c r="AN49" s="49"/>
      <c r="AO49" s="49"/>
    </row>
    <row r="50" spans="2:41" ht="12.75" customHeight="1">
      <c r="B50" t="s">
        <v>189</v>
      </c>
      <c r="C50" s="49">
        <v>45</v>
      </c>
      <c r="D50" s="49">
        <v>120.88039296117131</v>
      </c>
      <c r="E50" s="49">
        <v>237.08</v>
      </c>
      <c r="F50" s="49">
        <v>0</v>
      </c>
      <c r="G50" s="49">
        <v>0</v>
      </c>
      <c r="H50" s="49"/>
      <c r="I50" s="49">
        <v>0.178</v>
      </c>
      <c r="J50" s="49">
        <v>0.3659999966621399</v>
      </c>
      <c r="K50" s="49">
        <v>130.0975229244606</v>
      </c>
      <c r="L50" s="49">
        <v>0.030536974088108137</v>
      </c>
      <c r="M50" s="49">
        <v>0.08343435823917389</v>
      </c>
      <c r="N50" s="49">
        <v>237.0816505888996</v>
      </c>
      <c r="O50" s="49">
        <v>0</v>
      </c>
      <c r="P50" s="49">
        <v>0</v>
      </c>
      <c r="Q50" s="49">
        <v>237.08164978027344</v>
      </c>
      <c r="R50" s="49">
        <v>98.80262070765684</v>
      </c>
      <c r="S50" s="49">
        <v>54.03339133501886</v>
      </c>
      <c r="T50" s="49">
        <v>1.6896926164627075</v>
      </c>
      <c r="U50" s="49">
        <v>8.502845764160156</v>
      </c>
      <c r="V50" s="49">
        <v>64.1493088308443</v>
      </c>
      <c r="W50" s="49">
        <v>237.0816505888996</v>
      </c>
      <c r="X50" s="69">
        <v>0.27057897003627424</v>
      </c>
      <c r="Y50" s="60">
        <v>30.77764320373535</v>
      </c>
      <c r="Z50" s="60">
        <v>0</v>
      </c>
      <c r="AA50" s="60">
        <v>0</v>
      </c>
      <c r="AB50" s="60">
        <v>94.92695617675781</v>
      </c>
      <c r="AC50" s="60">
        <v>237.08164978027344</v>
      </c>
      <c r="AD50" s="69">
        <v>0.40039774775505066</v>
      </c>
      <c r="AE50" s="60"/>
      <c r="AF50" s="60"/>
      <c r="AG50" s="60"/>
      <c r="AH50" s="60"/>
      <c r="AI50" s="60"/>
      <c r="AJ50" s="60"/>
      <c r="AK50" s="60"/>
      <c r="AL50" s="49"/>
      <c r="AM50" s="49"/>
      <c r="AN50" s="49"/>
      <c r="AO50" s="49"/>
    </row>
    <row r="51" spans="3:41" ht="12.75" customHeight="1">
      <c r="C51" s="49"/>
      <c r="D51" s="49"/>
      <c r="E51" s="49"/>
      <c r="F51" s="49"/>
      <c r="G51" s="49"/>
      <c r="H51" s="49"/>
      <c r="I51" s="49"/>
      <c r="J51" s="49"/>
      <c r="K51" s="49"/>
      <c r="L51" s="49"/>
      <c r="M51" s="49"/>
      <c r="S51" s="49"/>
      <c r="T51" s="49"/>
      <c r="U51" s="49"/>
      <c r="W51" s="49"/>
      <c r="X51" s="60"/>
      <c r="Y51" s="60"/>
      <c r="Z51" s="60"/>
      <c r="AA51" s="60"/>
      <c r="AB51" s="60"/>
      <c r="AC51" s="60"/>
      <c r="AD51" s="60"/>
      <c r="AE51" s="60"/>
      <c r="AF51" s="60"/>
      <c r="AG51" s="60"/>
      <c r="AH51" s="60"/>
      <c r="AI51" s="60"/>
      <c r="AJ51" s="60"/>
      <c r="AK51" s="60"/>
      <c r="AL51" s="49"/>
      <c r="AM51" s="49"/>
      <c r="AN51" s="49"/>
      <c r="AO51" s="49"/>
    </row>
    <row r="52" spans="3:41" ht="12.75" customHeight="1" thickBot="1">
      <c r="C52" s="49"/>
      <c r="D52" s="49"/>
      <c r="E52" s="49"/>
      <c r="F52" s="49"/>
      <c r="G52" s="49"/>
      <c r="H52" s="49"/>
      <c r="I52" s="49"/>
      <c r="J52" s="49"/>
      <c r="K52" s="49"/>
      <c r="L52" s="49"/>
      <c r="M52" s="49"/>
      <c r="S52" s="49"/>
      <c r="T52" s="49"/>
      <c r="U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62</v>
      </c>
      <c r="B53" s="66"/>
      <c r="C53" s="67"/>
      <c r="D53" s="67"/>
      <c r="E53" s="67"/>
      <c r="F53" s="67"/>
      <c r="G53" s="67"/>
      <c r="H53" s="67"/>
      <c r="I53" s="67"/>
      <c r="J53" s="67"/>
      <c r="K53" s="68"/>
      <c r="L53" s="49"/>
      <c r="M53" s="49"/>
      <c r="S53" s="49"/>
      <c r="T53" s="49"/>
      <c r="U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63</v>
      </c>
      <c r="C54" s="59" t="s">
        <v>59</v>
      </c>
      <c r="D54" s="59" t="s">
        <v>60</v>
      </c>
      <c r="E54" s="59" t="s">
        <v>64</v>
      </c>
      <c r="F54" s="59" t="s">
        <v>65</v>
      </c>
      <c r="G54" s="59" t="s">
        <v>66</v>
      </c>
      <c r="H54" s="59" t="s">
        <v>67</v>
      </c>
      <c r="I54" s="59" t="s">
        <v>61</v>
      </c>
      <c r="J54" s="59" t="s">
        <v>50</v>
      </c>
      <c r="K54" s="59" t="s">
        <v>58</v>
      </c>
      <c r="L54" s="49"/>
      <c r="M54" s="49"/>
      <c r="S54" s="49"/>
      <c r="T54" s="49"/>
      <c r="U54" s="49"/>
      <c r="W54" s="49"/>
      <c r="X54" s="49"/>
      <c r="Y54" s="49"/>
      <c r="Z54" s="49"/>
      <c r="AA54" s="49"/>
      <c r="AB54" s="49"/>
      <c r="AC54" s="49"/>
      <c r="AD54" s="49"/>
      <c r="AE54" s="49"/>
      <c r="AF54" s="49"/>
      <c r="AG54" s="49"/>
      <c r="AH54" s="49"/>
      <c r="AI54" s="49"/>
      <c r="AJ54" s="49"/>
      <c r="AK54" s="49"/>
      <c r="AL54" s="49"/>
      <c r="AM54" s="49"/>
      <c r="AN54" s="49"/>
      <c r="AO54" s="49"/>
    </row>
    <row r="55" spans="2:41" ht="12.75" customHeight="1">
      <c r="B55" t="s">
        <v>68</v>
      </c>
      <c r="C55" s="49">
        <v>1726.4393483500676</v>
      </c>
      <c r="D55" s="49">
        <v>541.9009156317705</v>
      </c>
      <c r="E55" s="49">
        <v>541.9</v>
      </c>
      <c r="F55" s="49">
        <v>108.38016</v>
      </c>
      <c r="G55" s="49">
        <v>650.2810756317706</v>
      </c>
      <c r="H55" s="49">
        <v>3299.543701171875</v>
      </c>
      <c r="I55" s="49">
        <v>20.421579481825326</v>
      </c>
      <c r="J55" s="49">
        <v>717.0418838776748</v>
      </c>
      <c r="K55" s="48">
        <v>1.1026645411463707</v>
      </c>
      <c r="L55" s="49"/>
      <c r="M55" s="49"/>
      <c r="S55" s="49"/>
      <c r="T55" s="49"/>
      <c r="U55" s="49"/>
      <c r="W55" s="49"/>
      <c r="X55" s="49"/>
      <c r="Y55" s="49"/>
      <c r="Z55" s="49"/>
      <c r="AA55" s="49"/>
      <c r="AB55" s="49"/>
      <c r="AC55" s="49"/>
      <c r="AD55" s="49"/>
      <c r="AE55" s="49"/>
      <c r="AF55" s="49"/>
      <c r="AG55" s="49"/>
      <c r="AH55" s="49"/>
      <c r="AI55" s="49"/>
      <c r="AJ55" s="49"/>
      <c r="AK55" s="49"/>
      <c r="AL55" s="49"/>
      <c r="AM55" s="49"/>
      <c r="AN55" s="49"/>
      <c r="AO55" s="49"/>
    </row>
    <row r="56" spans="2:41" ht="12.75" customHeight="1">
      <c r="B56" t="s">
        <v>69</v>
      </c>
      <c r="C56" s="49">
        <v>0</v>
      </c>
      <c r="D56" s="49">
        <v>0</v>
      </c>
      <c r="E56" s="49">
        <v>0</v>
      </c>
      <c r="F56" s="49">
        <v>0</v>
      </c>
      <c r="G56" s="49">
        <v>0</v>
      </c>
      <c r="H56" s="49">
        <v>0</v>
      </c>
      <c r="I56" s="49">
        <v>0</v>
      </c>
      <c r="J56" s="49">
        <v>1540.4480336806994</v>
      </c>
      <c r="K56" s="69">
        <v>0</v>
      </c>
      <c r="L56" s="49"/>
      <c r="M56" s="49"/>
      <c r="S56" s="49"/>
      <c r="T56" s="49"/>
      <c r="U56" s="49"/>
      <c r="W56" s="49"/>
      <c r="X56" s="49"/>
      <c r="Y56" s="49"/>
      <c r="Z56" s="49"/>
      <c r="AA56" s="49"/>
      <c r="AB56" s="49"/>
      <c r="AC56" s="49"/>
      <c r="AD56" s="49"/>
      <c r="AE56" s="49"/>
      <c r="AF56" s="49"/>
      <c r="AG56" s="49"/>
      <c r="AH56" s="49"/>
      <c r="AI56" s="49"/>
      <c r="AJ56" s="49"/>
      <c r="AK56" s="49"/>
      <c r="AL56" s="49"/>
      <c r="AM56" s="49"/>
      <c r="AN56" s="49"/>
      <c r="AO56" s="49"/>
    </row>
    <row r="57" spans="2:41" ht="12.75" customHeight="1">
      <c r="B57" t="s">
        <v>70</v>
      </c>
      <c r="C57" s="49">
        <v>1884.1300422091815</v>
      </c>
      <c r="D57" s="49">
        <v>1172.556884765625</v>
      </c>
      <c r="E57" s="49">
        <v>1172.556680339732</v>
      </c>
      <c r="F57" s="49">
        <v>234.51133606794644</v>
      </c>
      <c r="G57" s="49">
        <v>1407.0682208335716</v>
      </c>
      <c r="H57" s="49">
        <v>6541.9677734375</v>
      </c>
      <c r="I57" s="49">
        <v>40.489631046762895</v>
      </c>
      <c r="J57" s="49">
        <v>782.5355441691742</v>
      </c>
      <c r="K57" s="69">
        <v>0.5561461289386428</v>
      </c>
      <c r="L57" s="49"/>
      <c r="M57" s="49"/>
      <c r="S57" s="49"/>
      <c r="T57" s="49"/>
      <c r="U57" s="49"/>
      <c r="W57" s="49"/>
      <c r="X57" s="49"/>
      <c r="Y57" s="49"/>
      <c r="Z57" s="49"/>
      <c r="AA57" s="49"/>
      <c r="AB57" s="49"/>
      <c r="AC57" s="49"/>
      <c r="AD57" s="49"/>
      <c r="AE57" s="49"/>
      <c r="AF57" s="49"/>
      <c r="AG57" s="49"/>
      <c r="AH57" s="49"/>
      <c r="AI57" s="49"/>
      <c r="AJ57" s="49"/>
      <c r="AK57" s="49"/>
      <c r="AL57" s="49"/>
      <c r="AM57" s="49"/>
      <c r="AN57" s="49"/>
      <c r="AO57" s="49"/>
    </row>
    <row r="58" spans="2:41" ht="12.75" customHeight="1">
      <c r="B58" t="s">
        <v>71</v>
      </c>
      <c r="C58" s="49">
        <v>0</v>
      </c>
      <c r="D58" s="49">
        <v>0</v>
      </c>
      <c r="E58" s="49">
        <v>0</v>
      </c>
      <c r="F58" s="49">
        <v>0</v>
      </c>
      <c r="G58" s="49">
        <v>0</v>
      </c>
      <c r="H58" s="49">
        <v>0</v>
      </c>
      <c r="I58" s="49">
        <v>0</v>
      </c>
      <c r="J58" s="49">
        <v>0</v>
      </c>
      <c r="K58" s="69">
        <v>0</v>
      </c>
      <c r="L58" s="49"/>
      <c r="M58" s="49"/>
      <c r="S58" s="49"/>
      <c r="T58" s="49"/>
      <c r="U58" s="49"/>
      <c r="W58" s="49"/>
      <c r="X58" s="49"/>
      <c r="Y58" s="49"/>
      <c r="Z58" s="49"/>
      <c r="AA58" s="49"/>
      <c r="AB58" s="49"/>
      <c r="AC58" s="49"/>
      <c r="AD58" s="49"/>
      <c r="AE58" s="49"/>
      <c r="AF58" s="49"/>
      <c r="AG58" s="49"/>
      <c r="AH58" s="49"/>
      <c r="AI58" s="49"/>
      <c r="AJ58" s="49"/>
      <c r="AK58" s="49"/>
      <c r="AL58" s="49"/>
      <c r="AM58" s="49"/>
      <c r="AN58" s="49"/>
      <c r="AO58" s="49"/>
    </row>
    <row r="59" spans="2:41" ht="12.75" customHeight="1">
      <c r="B59" t="s">
        <v>72</v>
      </c>
      <c r="C59" s="49">
        <v>835.1643169636222</v>
      </c>
      <c r="D59" s="49">
        <v>237.0816505888996</v>
      </c>
      <c r="E59" s="49">
        <v>237.08</v>
      </c>
      <c r="F59" s="49">
        <v>47.416320000000006</v>
      </c>
      <c r="G59" s="49">
        <v>284.4979705888996</v>
      </c>
      <c r="H59" s="49">
        <v>2984.086181640625</v>
      </c>
      <c r="I59" s="49">
        <v>18.46914460404033</v>
      </c>
      <c r="J59" s="49">
        <v>346.8687132017217</v>
      </c>
      <c r="K59" s="103">
        <v>1.2192308876007696</v>
      </c>
      <c r="L59" s="49"/>
      <c r="M59" s="49"/>
      <c r="S59" s="49"/>
      <c r="T59" s="49"/>
      <c r="U59" s="49"/>
      <c r="W59" s="49"/>
      <c r="X59" s="49"/>
      <c r="Y59" s="49"/>
      <c r="Z59" s="49"/>
      <c r="AA59" s="49"/>
      <c r="AB59" s="49"/>
      <c r="AC59" s="49"/>
      <c r="AD59" s="49"/>
      <c r="AE59" s="49"/>
      <c r="AF59" s="49"/>
      <c r="AG59" s="49"/>
      <c r="AH59" s="49"/>
      <c r="AI59" s="49"/>
      <c r="AJ59" s="49"/>
      <c r="AK59" s="49"/>
      <c r="AL59" s="49"/>
      <c r="AM59" s="49"/>
      <c r="AN59" s="49"/>
      <c r="AO59" s="49"/>
    </row>
    <row r="60" spans="2:41" ht="12.75" customHeight="1">
      <c r="B60" t="s">
        <v>73</v>
      </c>
      <c r="C60" s="49">
        <v>891.275031386445</v>
      </c>
      <c r="D60" s="49">
        <v>304.8192650428709</v>
      </c>
      <c r="E60" s="49">
        <v>304.82</v>
      </c>
      <c r="F60" s="49">
        <v>60.963840000000005</v>
      </c>
      <c r="G60" s="49">
        <v>365.7831050428709</v>
      </c>
      <c r="H60" s="49">
        <v>3595.1416015625</v>
      </c>
      <c r="I60" s="49">
        <v>22.25109773791822</v>
      </c>
      <c r="J60" s="49">
        <v>370.17317067595303</v>
      </c>
      <c r="K60" s="103">
        <v>1.0120018272373943</v>
      </c>
      <c r="L60" s="49"/>
      <c r="M60" s="49"/>
      <c r="S60" s="49"/>
      <c r="T60" s="49"/>
      <c r="U60" s="49"/>
      <c r="W60" s="49"/>
      <c r="X60" s="49"/>
      <c r="Y60" s="49"/>
      <c r="Z60" s="49"/>
      <c r="AA60" s="49"/>
      <c r="AB60" s="49"/>
      <c r="AC60" s="49"/>
      <c r="AD60" s="49"/>
      <c r="AE60" s="49"/>
      <c r="AF60" s="49"/>
      <c r="AG60" s="49"/>
      <c r="AH60" s="49"/>
      <c r="AI60" s="49"/>
      <c r="AJ60" s="49"/>
      <c r="AK60" s="49"/>
      <c r="AL60" s="49"/>
      <c r="AM60" s="49"/>
      <c r="AN60" s="49"/>
      <c r="AO60" s="49"/>
    </row>
    <row r="61" spans="2:41" ht="12.75" customHeight="1">
      <c r="B61" t="s">
        <v>74</v>
      </c>
      <c r="C61" s="49">
        <v>1428.9124819040562</v>
      </c>
      <c r="D61" s="49">
        <v>722.7211542155111</v>
      </c>
      <c r="E61" s="49">
        <v>722.72</v>
      </c>
      <c r="F61" s="49">
        <v>144.54420000000002</v>
      </c>
      <c r="G61" s="49">
        <v>867.2653542155111</v>
      </c>
      <c r="H61" s="49">
        <v>5316.8017578125</v>
      </c>
      <c r="I61" s="49">
        <v>32.90681933207591</v>
      </c>
      <c r="J61" s="49">
        <v>593.4700798496019</v>
      </c>
      <c r="K61" s="70">
        <v>0.6843004588675493</v>
      </c>
      <c r="L61" s="49"/>
      <c r="M61" s="49"/>
      <c r="S61" s="49"/>
      <c r="T61" s="49"/>
      <c r="U61" s="49"/>
      <c r="W61" s="49"/>
      <c r="X61" s="49"/>
      <c r="Y61" s="49"/>
      <c r="Z61" s="49"/>
      <c r="AA61" s="49"/>
      <c r="AB61" s="49"/>
      <c r="AC61" s="49"/>
      <c r="AD61" s="49"/>
      <c r="AE61" s="49"/>
      <c r="AF61" s="49"/>
      <c r="AG61" s="49"/>
      <c r="AH61" s="49"/>
      <c r="AI61" s="49"/>
      <c r="AJ61" s="49"/>
      <c r="AK61" s="49"/>
      <c r="AL61" s="49"/>
      <c r="AM61" s="49"/>
      <c r="AN61" s="49"/>
      <c r="AO61" s="49"/>
    </row>
    <row r="62" spans="2:41" ht="12.75" customHeight="1">
      <c r="B62" t="s">
        <v>75</v>
      </c>
      <c r="C62" s="49">
        <v>189.84088032347762</v>
      </c>
      <c r="D62" s="49">
        <v>117.67682511008793</v>
      </c>
      <c r="E62" s="49">
        <v>117.68</v>
      </c>
      <c r="F62" s="49">
        <v>23.53536</v>
      </c>
      <c r="G62" s="49">
        <v>141.21218511008794</v>
      </c>
      <c r="H62" s="49">
        <v>6516.08203125</v>
      </c>
      <c r="I62" s="49">
        <v>40.329419750910155</v>
      </c>
      <c r="J62" s="49">
        <v>78.84659405743615</v>
      </c>
      <c r="K62" s="70">
        <v>0.5583554563366323</v>
      </c>
      <c r="L62" s="49"/>
      <c r="M62" s="49"/>
      <c r="S62" s="49"/>
      <c r="T62" s="49"/>
      <c r="U62" s="49"/>
      <c r="W62" s="49"/>
      <c r="X62" s="49"/>
      <c r="Y62" s="49"/>
      <c r="Z62" s="49"/>
      <c r="AA62" s="49"/>
      <c r="AB62" s="49"/>
      <c r="AC62" s="49"/>
      <c r="AD62" s="49"/>
      <c r="AE62" s="49"/>
      <c r="AF62" s="49"/>
      <c r="AG62" s="49"/>
      <c r="AH62" s="49"/>
      <c r="AI62" s="49"/>
      <c r="AJ62" s="49"/>
      <c r="AK62" s="49"/>
      <c r="AL62" s="49"/>
      <c r="AM62" s="49"/>
      <c r="AN62" s="49"/>
      <c r="AO62" s="49"/>
    </row>
    <row r="63" spans="2:41" ht="12.75" customHeight="1">
      <c r="B63" t="s">
        <v>76</v>
      </c>
      <c r="C63" s="49">
        <v>0</v>
      </c>
      <c r="D63" s="49">
        <v>0</v>
      </c>
      <c r="E63" s="49">
        <v>0</v>
      </c>
      <c r="F63" s="49">
        <v>0</v>
      </c>
      <c r="G63" s="49">
        <v>0</v>
      </c>
      <c r="H63" s="49">
        <v>0</v>
      </c>
      <c r="I63" s="49">
        <v>0</v>
      </c>
      <c r="J63" s="49">
        <v>0</v>
      </c>
      <c r="K63" s="70">
        <v>0</v>
      </c>
      <c r="L63" s="49"/>
      <c r="M63" s="49"/>
      <c r="S63" s="49"/>
      <c r="T63" s="49"/>
      <c r="U63" s="49"/>
      <c r="W63" s="49"/>
      <c r="X63" s="49"/>
      <c r="Y63" s="49"/>
      <c r="Z63" s="49"/>
      <c r="AA63" s="49"/>
      <c r="AB63" s="49"/>
      <c r="AC63" s="49"/>
      <c r="AD63" s="49"/>
      <c r="AE63" s="49"/>
      <c r="AF63" s="49"/>
      <c r="AG63" s="49"/>
      <c r="AH63" s="49"/>
      <c r="AI63" s="49"/>
      <c r="AJ63" s="49"/>
      <c r="AK63" s="49"/>
      <c r="AL63" s="49"/>
      <c r="AM63" s="49"/>
      <c r="AN63" s="49"/>
      <c r="AO63" s="49"/>
    </row>
    <row r="64" spans="2:41" ht="12.75" customHeight="1">
      <c r="B64" t="s">
        <v>77</v>
      </c>
      <c r="C64" s="49">
        <v>363.78184060572903</v>
      </c>
      <c r="D64" s="49">
        <v>499.13290650585753</v>
      </c>
      <c r="E64" s="49">
        <v>499.13</v>
      </c>
      <c r="F64" s="49">
        <v>99.82656</v>
      </c>
      <c r="G64" s="49">
        <v>598.9594665058576</v>
      </c>
      <c r="H64" s="49">
        <v>14423.1630859375</v>
      </c>
      <c r="I64" s="49">
        <v>89.26803121375713</v>
      </c>
      <c r="J64" s="49">
        <v>151.08947589598648</v>
      </c>
      <c r="K64" s="70">
        <v>0.2522532564305149</v>
      </c>
      <c r="L64" s="49"/>
      <c r="M64" s="49"/>
      <c r="S64" s="49"/>
      <c r="T64" s="49"/>
      <c r="U64" s="49"/>
      <c r="W64" s="49"/>
      <c r="X64" s="49"/>
      <c r="Y64" s="49"/>
      <c r="Z64" s="49"/>
      <c r="AA64" s="49"/>
      <c r="AB64" s="49"/>
      <c r="AC64" s="49"/>
      <c r="AD64" s="49"/>
      <c r="AE64" s="49"/>
      <c r="AF64" s="49"/>
      <c r="AG64" s="49"/>
      <c r="AH64" s="49"/>
      <c r="AI64" s="49"/>
      <c r="AJ64" s="49"/>
      <c r="AK64" s="49"/>
      <c r="AL64" s="49"/>
      <c r="AM64" s="49"/>
      <c r="AN64" s="49"/>
      <c r="AO64" s="49"/>
    </row>
    <row r="65" spans="3:41" ht="12.75" customHeight="1">
      <c r="C65" s="49"/>
      <c r="D65" s="49"/>
      <c r="E65" s="49"/>
      <c r="F65" s="49"/>
      <c r="G65" s="49"/>
      <c r="H65" s="49"/>
      <c r="I65" s="49"/>
      <c r="J65" s="49"/>
      <c r="K65" s="49"/>
      <c r="L65" s="49"/>
      <c r="M65" s="49"/>
      <c r="S65" s="49"/>
      <c r="T65" s="49"/>
      <c r="U65" s="49"/>
      <c r="W65" s="49"/>
      <c r="X65" s="49"/>
      <c r="Y65" s="49"/>
      <c r="Z65" s="49"/>
      <c r="AA65" s="49"/>
      <c r="AB65" s="49"/>
      <c r="AC65" s="49"/>
      <c r="AD65" s="49"/>
      <c r="AE65" s="49"/>
      <c r="AF65" s="49"/>
      <c r="AG65" s="49"/>
      <c r="AH65" s="49"/>
      <c r="AI65" s="49"/>
      <c r="AJ65" s="49"/>
      <c r="AK65" s="49"/>
      <c r="AL65" s="49"/>
      <c r="AM65" s="49"/>
      <c r="AN65" s="49"/>
      <c r="AO65" s="49"/>
    </row>
    <row r="66" spans="3:41" ht="12.75" customHeight="1">
      <c r="C66" s="49"/>
      <c r="D66" s="49"/>
      <c r="E66" s="49"/>
      <c r="F66" s="49"/>
      <c r="G66" s="49"/>
      <c r="H66" s="49"/>
      <c r="I66" s="49"/>
      <c r="J66" s="49"/>
      <c r="K66" s="49"/>
      <c r="L66" s="49"/>
      <c r="M66" s="49"/>
      <c r="S66" s="49"/>
      <c r="T66" s="49"/>
      <c r="U66" s="49"/>
      <c r="W66" s="49"/>
      <c r="X66" s="49"/>
      <c r="Y66" s="49"/>
      <c r="Z66" s="49"/>
      <c r="AA66" s="49"/>
      <c r="AB66" s="49"/>
      <c r="AC66" s="49"/>
      <c r="AD66" s="49"/>
      <c r="AE66" s="49"/>
      <c r="AF66" s="49"/>
      <c r="AG66" s="49"/>
      <c r="AH66" s="49"/>
      <c r="AI66" s="49"/>
      <c r="AJ66" s="49"/>
      <c r="AK66" s="49"/>
      <c r="AL66" s="49"/>
      <c r="AM66" s="49"/>
      <c r="AN66" s="49"/>
      <c r="AO66" s="49"/>
    </row>
    <row r="67" spans="3:41" ht="12.75" customHeight="1">
      <c r="C67" s="49"/>
      <c r="D67" s="49"/>
      <c r="E67" s="49"/>
      <c r="F67" s="49"/>
      <c r="G67" s="49"/>
      <c r="H67" s="49"/>
      <c r="I67" s="49"/>
      <c r="J67" s="49"/>
      <c r="K67" s="49"/>
      <c r="L67" s="49"/>
      <c r="M67" s="49"/>
      <c r="S67" s="49"/>
      <c r="T67" s="49"/>
      <c r="U67" s="49"/>
      <c r="W67" s="49"/>
      <c r="X67" s="49"/>
      <c r="Y67" s="49"/>
      <c r="Z67" s="49"/>
      <c r="AA67" s="49"/>
      <c r="AB67" s="49"/>
      <c r="AC67" s="49"/>
      <c r="AD67" s="49"/>
      <c r="AE67" s="49"/>
      <c r="AF67" s="49"/>
      <c r="AG67" s="49"/>
      <c r="AH67" s="49"/>
      <c r="AI67" s="49"/>
      <c r="AJ67" s="49"/>
      <c r="AK67" s="49"/>
      <c r="AL67" s="49"/>
      <c r="AM67" s="49"/>
      <c r="AN67" s="49"/>
      <c r="AO67" s="49"/>
    </row>
    <row r="68" spans="3:41" ht="12.75" customHeight="1">
      <c r="C68" s="49"/>
      <c r="D68" s="49"/>
      <c r="E68" s="49"/>
      <c r="F68" s="49"/>
      <c r="G68" s="49"/>
      <c r="H68" s="49"/>
      <c r="I68" s="49"/>
      <c r="J68" s="49"/>
      <c r="K68" s="49"/>
      <c r="L68" s="49"/>
      <c r="M68" s="49"/>
      <c r="S68" s="49"/>
      <c r="T68" s="49"/>
      <c r="U68" s="49"/>
      <c r="W68" s="49"/>
      <c r="X68" s="49"/>
      <c r="Y68" s="49"/>
      <c r="Z68" s="49"/>
      <c r="AA68" s="49"/>
      <c r="AB68" s="49"/>
      <c r="AC68" s="49"/>
      <c r="AD68" s="49"/>
      <c r="AE68" s="49"/>
      <c r="AF68" s="49"/>
      <c r="AG68" s="49"/>
      <c r="AH68" s="49"/>
      <c r="AI68" s="49"/>
      <c r="AJ68" s="49"/>
      <c r="AK68" s="49"/>
      <c r="AL68" s="49"/>
      <c r="AM68" s="49"/>
      <c r="AN68" s="49"/>
      <c r="AO68" s="49"/>
    </row>
    <row r="69" spans="3:41" ht="12.75" customHeight="1">
      <c r="C69" s="49"/>
      <c r="D69" s="49"/>
      <c r="E69" s="49"/>
      <c r="F69" s="49"/>
      <c r="G69" s="49"/>
      <c r="H69" s="49"/>
      <c r="I69" s="49"/>
      <c r="J69" s="49"/>
      <c r="K69" s="49"/>
      <c r="L69" s="49"/>
      <c r="M69" s="49"/>
      <c r="S69" s="49"/>
      <c r="T69" s="49"/>
      <c r="U69" s="49"/>
      <c r="W69" s="49"/>
      <c r="X69" s="49"/>
      <c r="Y69" s="49"/>
      <c r="Z69" s="49"/>
      <c r="AA69" s="49"/>
      <c r="AB69" s="49"/>
      <c r="AC69" s="49"/>
      <c r="AD69" s="49"/>
      <c r="AE69" s="49"/>
      <c r="AF69" s="49"/>
      <c r="AG69" s="49"/>
      <c r="AH69" s="49"/>
      <c r="AI69" s="49"/>
      <c r="AJ69" s="49"/>
      <c r="AK69" s="49"/>
      <c r="AL69" s="49"/>
      <c r="AM69" s="49"/>
      <c r="AN69" s="49"/>
      <c r="AO69" s="49"/>
    </row>
    <row r="70" spans="3:41" ht="12.75" customHeight="1">
      <c r="C70" s="49"/>
      <c r="D70" s="49"/>
      <c r="E70" s="49"/>
      <c r="F70" s="49"/>
      <c r="G70" s="49"/>
      <c r="H70" s="49"/>
      <c r="I70" s="49"/>
      <c r="J70" s="49"/>
      <c r="K70" s="49"/>
      <c r="L70" s="49"/>
      <c r="M70" s="49"/>
      <c r="S70" s="49"/>
      <c r="T70" s="49"/>
      <c r="U70" s="49"/>
      <c r="W70" s="49"/>
      <c r="X70" s="49"/>
      <c r="Y70" s="49"/>
      <c r="Z70" s="49"/>
      <c r="AA70" s="49"/>
      <c r="AB70" s="49"/>
      <c r="AC70" s="49"/>
      <c r="AD70" s="49"/>
      <c r="AE70" s="49"/>
      <c r="AF70" s="49"/>
      <c r="AG70" s="49"/>
      <c r="AH70" s="49"/>
      <c r="AI70" s="49"/>
      <c r="AJ70" s="49"/>
      <c r="AK70" s="49"/>
      <c r="AL70" s="49"/>
      <c r="AM70" s="49"/>
      <c r="AN70" s="49"/>
      <c r="AO70" s="49"/>
    </row>
    <row r="71" spans="3:41" ht="12.75" customHeight="1">
      <c r="C71" s="49"/>
      <c r="D71" s="49"/>
      <c r="E71" s="49"/>
      <c r="F71" s="49"/>
      <c r="G71" s="49"/>
      <c r="H71" s="49"/>
      <c r="I71" s="49"/>
      <c r="J71" s="49"/>
      <c r="K71" s="49"/>
      <c r="L71" s="49"/>
      <c r="M71" s="49"/>
      <c r="S71" s="49"/>
      <c r="T71" s="49"/>
      <c r="U71" s="49"/>
      <c r="W71" s="49"/>
      <c r="X71" s="49"/>
      <c r="Y71" s="49"/>
      <c r="Z71" s="49"/>
      <c r="AA71" s="49"/>
      <c r="AB71" s="49"/>
      <c r="AC71" s="49"/>
      <c r="AD71" s="49"/>
      <c r="AE71" s="49"/>
      <c r="AF71" s="49"/>
      <c r="AG71" s="49"/>
      <c r="AH71" s="49"/>
      <c r="AI71" s="49"/>
      <c r="AJ71" s="49"/>
      <c r="AK71" s="49"/>
      <c r="AL71" s="49"/>
      <c r="AM71" s="49"/>
      <c r="AN71" s="49"/>
      <c r="AO71" s="49"/>
    </row>
    <row r="72" spans="3:41" ht="12.75" customHeight="1">
      <c r="C72" s="49"/>
      <c r="D72" s="49"/>
      <c r="E72" s="49"/>
      <c r="F72" s="49"/>
      <c r="G72" s="49"/>
      <c r="H72" s="49"/>
      <c r="I72" s="49"/>
      <c r="J72" s="49"/>
      <c r="K72" s="49"/>
      <c r="L72" s="49"/>
      <c r="M72" s="49"/>
      <c r="S72" s="49"/>
      <c r="T72" s="49"/>
      <c r="U72" s="49"/>
      <c r="W72" s="49"/>
      <c r="X72" s="49"/>
      <c r="Y72" s="49"/>
      <c r="Z72" s="49"/>
      <c r="AA72" s="49"/>
      <c r="AB72" s="49"/>
      <c r="AC72" s="49"/>
      <c r="AD72" s="49"/>
      <c r="AE72" s="49"/>
      <c r="AF72" s="49"/>
      <c r="AG72" s="49"/>
      <c r="AH72" s="49"/>
      <c r="AI72" s="49"/>
      <c r="AJ72" s="49"/>
      <c r="AK72" s="49"/>
      <c r="AL72" s="49"/>
      <c r="AM72" s="49"/>
      <c r="AN72" s="49"/>
      <c r="AO72" s="49"/>
    </row>
    <row r="73" spans="3:41" ht="12.75" customHeight="1">
      <c r="C73" s="49"/>
      <c r="D73" s="49"/>
      <c r="E73" s="49"/>
      <c r="F73" s="49"/>
      <c r="G73" s="49"/>
      <c r="H73" s="49"/>
      <c r="I73" s="49"/>
      <c r="J73" s="49"/>
      <c r="K73" s="49"/>
      <c r="L73" s="49"/>
      <c r="M73" s="49"/>
      <c r="S73" s="49"/>
      <c r="T73" s="49"/>
      <c r="U73" s="49"/>
      <c r="W73" s="49"/>
      <c r="X73" s="49"/>
      <c r="Y73" s="49"/>
      <c r="Z73" s="49"/>
      <c r="AA73" s="49"/>
      <c r="AB73" s="49"/>
      <c r="AC73" s="49"/>
      <c r="AD73" s="49"/>
      <c r="AE73" s="49"/>
      <c r="AF73" s="49"/>
      <c r="AG73" s="49"/>
      <c r="AH73" s="49"/>
      <c r="AI73" s="49"/>
      <c r="AJ73" s="49"/>
      <c r="AK73" s="49"/>
      <c r="AL73" s="49"/>
      <c r="AM73" s="49"/>
      <c r="AN73" s="49"/>
      <c r="AO73" s="49"/>
    </row>
    <row r="74" spans="3:41" ht="12.75" customHeight="1">
      <c r="C74" s="49"/>
      <c r="D74" s="49"/>
      <c r="E74" s="49"/>
      <c r="F74" s="49"/>
      <c r="G74" s="49"/>
      <c r="H74" s="49"/>
      <c r="I74" s="49"/>
      <c r="J74" s="49"/>
      <c r="K74" s="49"/>
      <c r="L74" s="49"/>
      <c r="M74" s="49"/>
      <c r="S74" s="49"/>
      <c r="T74" s="49"/>
      <c r="U74" s="49"/>
      <c r="W74" s="49"/>
      <c r="X74" s="49"/>
      <c r="Y74" s="49"/>
      <c r="Z74" s="49"/>
      <c r="AA74" s="49"/>
      <c r="AB74" s="49"/>
      <c r="AC74" s="49"/>
      <c r="AD74" s="49"/>
      <c r="AE74" s="49"/>
      <c r="AF74" s="49"/>
      <c r="AG74" s="49"/>
      <c r="AH74" s="49"/>
      <c r="AI74" s="49"/>
      <c r="AJ74" s="49"/>
      <c r="AK74" s="49"/>
      <c r="AL74" s="49"/>
      <c r="AM74" s="49"/>
      <c r="AN74" s="49"/>
      <c r="AO74" s="49"/>
    </row>
    <row r="75" spans="3:41" ht="12.75" customHeight="1">
      <c r="C75" s="49"/>
      <c r="D75" s="49"/>
      <c r="E75" s="49"/>
      <c r="F75" s="49"/>
      <c r="G75" s="49"/>
      <c r="H75" s="49"/>
      <c r="I75" s="49"/>
      <c r="J75" s="49"/>
      <c r="K75" s="49"/>
      <c r="L75" s="49"/>
      <c r="M75" s="49"/>
      <c r="S75" s="49"/>
      <c r="T75" s="49"/>
      <c r="U75" s="49"/>
      <c r="W75" s="49"/>
      <c r="X75" s="49"/>
      <c r="Y75" s="49"/>
      <c r="Z75" s="49"/>
      <c r="AA75" s="49"/>
      <c r="AB75" s="49"/>
      <c r="AC75" s="49"/>
      <c r="AD75" s="49"/>
      <c r="AE75" s="49"/>
      <c r="AF75" s="49"/>
      <c r="AG75" s="49"/>
      <c r="AH75" s="49"/>
      <c r="AI75" s="49"/>
      <c r="AJ75" s="49"/>
      <c r="AK75" s="49"/>
      <c r="AL75" s="49"/>
      <c r="AM75" s="49"/>
      <c r="AN75" s="49"/>
      <c r="AO75" s="49"/>
    </row>
    <row r="76" spans="3:41" ht="12.75" customHeight="1">
      <c r="C76" s="49"/>
      <c r="D76" s="49"/>
      <c r="E76" s="49"/>
      <c r="F76" s="49"/>
      <c r="G76" s="49"/>
      <c r="H76" s="49"/>
      <c r="I76" s="49"/>
      <c r="J76" s="49"/>
      <c r="K76" s="49"/>
      <c r="L76" s="49"/>
      <c r="M76" s="49"/>
      <c r="S76" s="49"/>
      <c r="T76" s="49"/>
      <c r="U76" s="49"/>
      <c r="W76" s="49"/>
      <c r="X76" s="49"/>
      <c r="Y76" s="49"/>
      <c r="Z76" s="49"/>
      <c r="AA76" s="49"/>
      <c r="AB76" s="49"/>
      <c r="AC76" s="49"/>
      <c r="AD76" s="49"/>
      <c r="AE76" s="49"/>
      <c r="AF76" s="49"/>
      <c r="AG76" s="49"/>
      <c r="AH76" s="49"/>
      <c r="AI76" s="49"/>
      <c r="AJ76" s="49"/>
      <c r="AK76" s="49"/>
      <c r="AL76" s="49"/>
      <c r="AM76" s="49"/>
      <c r="AN76" s="49"/>
      <c r="AO76" s="49"/>
    </row>
    <row r="77" spans="3:41" ht="12.75" customHeight="1">
      <c r="C77" s="49"/>
      <c r="D77" s="49"/>
      <c r="E77" s="49"/>
      <c r="F77" s="49"/>
      <c r="G77" s="49"/>
      <c r="H77" s="49"/>
      <c r="I77" s="49"/>
      <c r="J77" s="49"/>
      <c r="K77" s="49"/>
      <c r="L77" s="49"/>
      <c r="M77" s="49"/>
      <c r="S77" s="49"/>
      <c r="T77" s="49"/>
      <c r="U77" s="49"/>
      <c r="W77" s="49"/>
      <c r="X77" s="49"/>
      <c r="Y77" s="49"/>
      <c r="Z77" s="49"/>
      <c r="AA77" s="49"/>
      <c r="AB77" s="49"/>
      <c r="AC77" s="49"/>
      <c r="AD77" s="49"/>
      <c r="AE77" s="49"/>
      <c r="AF77" s="49"/>
      <c r="AG77" s="49"/>
      <c r="AH77" s="49"/>
      <c r="AI77" s="49"/>
      <c r="AJ77" s="49"/>
      <c r="AK77" s="49"/>
      <c r="AL77" s="49"/>
      <c r="AM77" s="49"/>
      <c r="AN77" s="49"/>
      <c r="AO77" s="49"/>
    </row>
    <row r="78" spans="3:41" ht="12.75" customHeight="1">
      <c r="C78" s="49"/>
      <c r="D78" s="49"/>
      <c r="E78" s="49"/>
      <c r="F78" s="49"/>
      <c r="G78" s="49"/>
      <c r="H78" s="49"/>
      <c r="I78" s="49"/>
      <c r="J78" s="49"/>
      <c r="K78" s="49"/>
      <c r="L78" s="49"/>
      <c r="M78" s="49"/>
      <c r="S78" s="49"/>
      <c r="T78" s="49"/>
      <c r="U78" s="49"/>
      <c r="W78" s="49"/>
      <c r="X78" s="49"/>
      <c r="Y78" s="49"/>
      <c r="Z78" s="49"/>
      <c r="AA78" s="49"/>
      <c r="AB78" s="49"/>
      <c r="AC78" s="49"/>
      <c r="AD78" s="49"/>
      <c r="AE78" s="49"/>
      <c r="AF78" s="49"/>
      <c r="AG78" s="49"/>
      <c r="AH78" s="49"/>
      <c r="AI78" s="49"/>
      <c r="AJ78" s="49"/>
      <c r="AK78" s="49"/>
      <c r="AL78" s="49"/>
      <c r="AM78" s="49"/>
      <c r="AN78" s="49"/>
      <c r="AO78" s="49"/>
    </row>
    <row r="79" spans="3:41" ht="12.75" customHeight="1">
      <c r="C79" s="49"/>
      <c r="D79" s="49"/>
      <c r="E79" s="49"/>
      <c r="F79" s="49"/>
      <c r="G79" s="49"/>
      <c r="H79" s="49"/>
      <c r="I79" s="49"/>
      <c r="J79" s="49"/>
      <c r="K79" s="49"/>
      <c r="L79" s="49"/>
      <c r="M79" s="49"/>
      <c r="S79" s="49"/>
      <c r="T79" s="49"/>
      <c r="U79" s="49"/>
      <c r="W79" s="49"/>
      <c r="X79" s="49"/>
      <c r="Y79" s="49"/>
      <c r="Z79" s="49"/>
      <c r="AA79" s="49"/>
      <c r="AB79" s="49"/>
      <c r="AC79" s="49"/>
      <c r="AD79" s="49"/>
      <c r="AE79" s="49"/>
      <c r="AF79" s="49"/>
      <c r="AG79" s="49"/>
      <c r="AH79" s="49"/>
      <c r="AI79" s="49"/>
      <c r="AJ79" s="49"/>
      <c r="AK79" s="49"/>
      <c r="AL79" s="49"/>
      <c r="AM79" s="49"/>
      <c r="AN79" s="49"/>
      <c r="AO79" s="49"/>
    </row>
    <row r="80" spans="3:41" ht="12.75" customHeight="1">
      <c r="C80" s="49"/>
      <c r="D80" s="49"/>
      <c r="E80" s="49"/>
      <c r="F80" s="49"/>
      <c r="G80" s="49"/>
      <c r="H80" s="49"/>
      <c r="I80" s="49"/>
      <c r="J80" s="49"/>
      <c r="K80" s="49"/>
      <c r="L80" s="49"/>
      <c r="M80" s="49"/>
      <c r="S80" s="49"/>
      <c r="T80" s="49"/>
      <c r="U80" s="49"/>
      <c r="W80" s="49"/>
      <c r="X80" s="49"/>
      <c r="Y80" s="49"/>
      <c r="Z80" s="49"/>
      <c r="AA80" s="49"/>
      <c r="AB80" s="49"/>
      <c r="AC80" s="49"/>
      <c r="AD80" s="49"/>
      <c r="AE80" s="49"/>
      <c r="AF80" s="49"/>
      <c r="AG80" s="49"/>
      <c r="AH80" s="49"/>
      <c r="AI80" s="49"/>
      <c r="AJ80" s="49"/>
      <c r="AK80" s="49"/>
      <c r="AL80" s="49"/>
      <c r="AM80" s="49"/>
      <c r="AN80" s="49"/>
      <c r="AO80" s="49"/>
    </row>
    <row r="81" spans="3:41" ht="12.75" customHeight="1">
      <c r="C81" s="49"/>
      <c r="D81" s="49"/>
      <c r="E81" s="49"/>
      <c r="F81" s="49"/>
      <c r="G81" s="49"/>
      <c r="H81" s="49"/>
      <c r="I81" s="49"/>
      <c r="J81" s="49"/>
      <c r="K81" s="49"/>
      <c r="L81" s="49"/>
      <c r="M81" s="49"/>
      <c r="S81" s="49"/>
      <c r="T81" s="49"/>
      <c r="U81" s="49"/>
      <c r="W81" s="49"/>
      <c r="X81" s="49"/>
      <c r="Y81" s="49"/>
      <c r="Z81" s="49"/>
      <c r="AA81" s="49"/>
      <c r="AB81" s="49"/>
      <c r="AC81" s="49"/>
      <c r="AD81" s="49"/>
      <c r="AE81" s="49"/>
      <c r="AF81" s="49"/>
      <c r="AG81" s="49"/>
      <c r="AH81" s="49"/>
      <c r="AI81" s="49"/>
      <c r="AJ81" s="49"/>
      <c r="AK81" s="49"/>
      <c r="AL81" s="49"/>
      <c r="AM81" s="49"/>
      <c r="AN81" s="49"/>
      <c r="AO81" s="49"/>
    </row>
    <row r="82" spans="3:41" ht="12.75" customHeight="1">
      <c r="C82" s="49"/>
      <c r="D82" s="49"/>
      <c r="E82" s="49"/>
      <c r="F82" s="49"/>
      <c r="G82" s="49"/>
      <c r="H82" s="49"/>
      <c r="I82" s="49"/>
      <c r="J82" s="49"/>
      <c r="K82" s="49"/>
      <c r="L82" s="49"/>
      <c r="M82" s="49"/>
      <c r="S82" s="49"/>
      <c r="T82" s="49"/>
      <c r="U82" s="49"/>
      <c r="W82" s="49"/>
      <c r="X82" s="49"/>
      <c r="Y82" s="49"/>
      <c r="Z82" s="49"/>
      <c r="AA82" s="49"/>
      <c r="AB82" s="49"/>
      <c r="AC82" s="49"/>
      <c r="AD82" s="49"/>
      <c r="AE82" s="49"/>
      <c r="AF82" s="49"/>
      <c r="AG82" s="49"/>
      <c r="AH82" s="49"/>
      <c r="AI82" s="49"/>
      <c r="AJ82" s="49"/>
      <c r="AK82" s="49"/>
      <c r="AL82" s="49"/>
      <c r="AM82" s="49"/>
      <c r="AN82" s="49"/>
      <c r="AO82" s="49"/>
    </row>
    <row r="83" spans="3:41" ht="12.75" customHeight="1">
      <c r="C83" s="49"/>
      <c r="D83" s="49"/>
      <c r="E83" s="49"/>
      <c r="F83" s="49"/>
      <c r="G83" s="49"/>
      <c r="H83" s="49"/>
      <c r="I83" s="49"/>
      <c r="J83" s="49"/>
      <c r="K83" s="49"/>
      <c r="L83" s="49"/>
      <c r="M83" s="49"/>
      <c r="S83" s="49"/>
      <c r="T83" s="49"/>
      <c r="U83" s="49"/>
      <c r="W83" s="49"/>
      <c r="X83" s="49"/>
      <c r="Y83" s="49"/>
      <c r="Z83" s="49"/>
      <c r="AA83" s="49"/>
      <c r="AB83" s="49"/>
      <c r="AC83" s="49"/>
      <c r="AD83" s="49"/>
      <c r="AE83" s="49"/>
      <c r="AF83" s="49"/>
      <c r="AG83" s="49"/>
      <c r="AH83" s="49"/>
      <c r="AI83" s="49"/>
      <c r="AJ83" s="49"/>
      <c r="AK83" s="49"/>
      <c r="AL83" s="49"/>
      <c r="AM83" s="49"/>
      <c r="AN83" s="49"/>
      <c r="AO83" s="49"/>
    </row>
    <row r="84" spans="3:41" ht="12.75" customHeight="1">
      <c r="C84" s="49"/>
      <c r="D84" s="49"/>
      <c r="E84" s="49"/>
      <c r="F84" s="49"/>
      <c r="G84" s="49"/>
      <c r="H84" s="49"/>
      <c r="I84" s="49"/>
      <c r="J84" s="49"/>
      <c r="K84" s="49"/>
      <c r="L84" s="49"/>
      <c r="M84" s="49"/>
      <c r="S84" s="49"/>
      <c r="T84" s="49"/>
      <c r="U84" s="49"/>
      <c r="W84" s="49"/>
      <c r="X84" s="49"/>
      <c r="Y84" s="49"/>
      <c r="Z84" s="49"/>
      <c r="AA84" s="49"/>
      <c r="AB84" s="49"/>
      <c r="AC84" s="49"/>
      <c r="AD84" s="49"/>
      <c r="AE84" s="49"/>
      <c r="AF84" s="49"/>
      <c r="AG84" s="49"/>
      <c r="AH84" s="49"/>
      <c r="AI84" s="49"/>
      <c r="AJ84" s="49"/>
      <c r="AK84" s="49"/>
      <c r="AL84" s="49"/>
      <c r="AM84" s="49"/>
      <c r="AN84" s="49"/>
      <c r="AO84" s="49"/>
    </row>
    <row r="85" spans="3:41" ht="12.75" customHeight="1">
      <c r="C85" s="49"/>
      <c r="D85" s="49"/>
      <c r="E85" s="49"/>
      <c r="F85" s="49"/>
      <c r="G85" s="49"/>
      <c r="H85" s="49"/>
      <c r="I85" s="49"/>
      <c r="J85" s="49"/>
      <c r="K85" s="49"/>
      <c r="L85" s="49"/>
      <c r="M85" s="49"/>
      <c r="S85" s="49"/>
      <c r="T85" s="49"/>
      <c r="U85" s="49"/>
      <c r="W85" s="49"/>
      <c r="X85" s="49"/>
      <c r="Y85" s="49"/>
      <c r="Z85" s="49"/>
      <c r="AA85" s="49"/>
      <c r="AB85" s="49"/>
      <c r="AC85" s="49"/>
      <c r="AD85" s="49"/>
      <c r="AE85" s="49"/>
      <c r="AF85" s="49"/>
      <c r="AG85" s="49"/>
      <c r="AH85" s="49"/>
      <c r="AI85" s="49"/>
      <c r="AJ85" s="49"/>
      <c r="AK85" s="49"/>
      <c r="AL85" s="49"/>
      <c r="AM85" s="49"/>
      <c r="AN85" s="49"/>
      <c r="AO85" s="49"/>
    </row>
    <row r="86" spans="3:41" ht="12.75" customHeight="1">
      <c r="C86" s="49"/>
      <c r="D86" s="49"/>
      <c r="E86" s="49"/>
      <c r="F86" s="49"/>
      <c r="G86" s="49"/>
      <c r="H86" s="49"/>
      <c r="I86" s="49"/>
      <c r="J86" s="49"/>
      <c r="K86" s="49"/>
      <c r="L86" s="49"/>
      <c r="M86" s="49"/>
      <c r="S86" s="49"/>
      <c r="T86" s="49"/>
      <c r="U86" s="49"/>
      <c r="W86" s="49"/>
      <c r="X86" s="49"/>
      <c r="Y86" s="49"/>
      <c r="Z86" s="49"/>
      <c r="AA86" s="49"/>
      <c r="AB86" s="49"/>
      <c r="AC86" s="49"/>
      <c r="AD86" s="49"/>
      <c r="AE86" s="49"/>
      <c r="AF86" s="49"/>
      <c r="AG86" s="49"/>
      <c r="AH86" s="49"/>
      <c r="AI86" s="49"/>
      <c r="AJ86" s="49"/>
      <c r="AK86" s="49"/>
      <c r="AL86" s="49"/>
      <c r="AM86" s="49"/>
      <c r="AN86" s="49"/>
      <c r="AO86" s="49"/>
    </row>
    <row r="87" spans="3:41" ht="12.75" customHeight="1">
      <c r="C87" s="49"/>
      <c r="D87" s="49"/>
      <c r="E87" s="49"/>
      <c r="F87" s="49"/>
      <c r="G87" s="49"/>
      <c r="H87" s="49"/>
      <c r="I87" s="49"/>
      <c r="J87" s="49"/>
      <c r="K87" s="49"/>
      <c r="L87" s="49"/>
      <c r="M87" s="49"/>
      <c r="S87" s="49"/>
      <c r="T87" s="49"/>
      <c r="U87" s="49"/>
      <c r="W87" s="49"/>
      <c r="X87" s="49"/>
      <c r="Y87" s="49"/>
      <c r="Z87" s="49"/>
      <c r="AA87" s="49"/>
      <c r="AB87" s="49"/>
      <c r="AC87" s="49"/>
      <c r="AD87" s="49"/>
      <c r="AE87" s="49"/>
      <c r="AF87" s="49"/>
      <c r="AG87" s="49"/>
      <c r="AH87" s="49"/>
      <c r="AI87" s="49"/>
      <c r="AJ87" s="49"/>
      <c r="AK87" s="49"/>
      <c r="AL87" s="49"/>
      <c r="AM87" s="49"/>
      <c r="AN87" s="49"/>
      <c r="AO87" s="49"/>
    </row>
    <row r="88" spans="3:41" ht="12.75" customHeight="1">
      <c r="C88" s="49"/>
      <c r="D88" s="49"/>
      <c r="E88" s="49"/>
      <c r="F88" s="49"/>
      <c r="G88" s="49"/>
      <c r="H88" s="49"/>
      <c r="I88" s="49"/>
      <c r="J88" s="49"/>
      <c r="K88" s="49"/>
      <c r="L88" s="49"/>
      <c r="M88" s="49"/>
      <c r="S88" s="49"/>
      <c r="T88" s="49"/>
      <c r="U88" s="49"/>
      <c r="W88" s="49"/>
      <c r="X88" s="49"/>
      <c r="Y88" s="49"/>
      <c r="Z88" s="49"/>
      <c r="AA88" s="49"/>
      <c r="AB88" s="49"/>
      <c r="AC88" s="49"/>
      <c r="AD88" s="49"/>
      <c r="AE88" s="49"/>
      <c r="AF88" s="49"/>
      <c r="AG88" s="49"/>
      <c r="AH88" s="49"/>
      <c r="AI88" s="49"/>
      <c r="AJ88" s="49"/>
      <c r="AK88" s="49"/>
      <c r="AL88" s="49"/>
      <c r="AM88" s="49"/>
      <c r="AN88" s="49"/>
      <c r="AO88" s="49"/>
    </row>
    <row r="89" spans="3:41" ht="12.75" customHeight="1">
      <c r="C89" s="49"/>
      <c r="D89" s="49"/>
      <c r="E89" s="49"/>
      <c r="F89" s="49"/>
      <c r="G89" s="49"/>
      <c r="H89" s="49"/>
      <c r="I89" s="49"/>
      <c r="J89" s="49"/>
      <c r="K89" s="49"/>
      <c r="L89" s="49"/>
      <c r="M89" s="49"/>
      <c r="S89" s="49"/>
      <c r="T89" s="49"/>
      <c r="U89" s="49"/>
      <c r="W89" s="49"/>
      <c r="X89" s="49"/>
      <c r="Y89" s="49"/>
      <c r="Z89" s="49"/>
      <c r="AA89" s="49"/>
      <c r="AB89" s="49"/>
      <c r="AC89" s="49"/>
      <c r="AD89" s="49"/>
      <c r="AE89" s="49"/>
      <c r="AF89" s="49"/>
      <c r="AG89" s="49"/>
      <c r="AH89" s="49"/>
      <c r="AI89" s="49"/>
      <c r="AJ89" s="49"/>
      <c r="AK89" s="49"/>
      <c r="AL89" s="49"/>
      <c r="AM89" s="49"/>
      <c r="AN89" s="49"/>
      <c r="AO89" s="49"/>
    </row>
    <row r="90" spans="3:41" ht="12.75" customHeight="1">
      <c r="C90" s="49"/>
      <c r="D90" s="49"/>
      <c r="E90" s="49"/>
      <c r="F90" s="49"/>
      <c r="G90" s="49"/>
      <c r="H90" s="49"/>
      <c r="I90" s="49"/>
      <c r="J90" s="49"/>
      <c r="K90" s="49"/>
      <c r="L90" s="49"/>
      <c r="M90" s="49"/>
      <c r="S90" s="49"/>
      <c r="T90" s="49"/>
      <c r="U90" s="49"/>
      <c r="W90" s="49"/>
      <c r="X90" s="49"/>
      <c r="Y90" s="49"/>
      <c r="Z90" s="49"/>
      <c r="AA90" s="49"/>
      <c r="AB90" s="49"/>
      <c r="AC90" s="49"/>
      <c r="AD90" s="49"/>
      <c r="AE90" s="49"/>
      <c r="AF90" s="49"/>
      <c r="AG90" s="49"/>
      <c r="AH90" s="49"/>
      <c r="AI90" s="49"/>
      <c r="AJ90" s="49"/>
      <c r="AK90" s="49"/>
      <c r="AL90" s="49"/>
      <c r="AM90" s="49"/>
      <c r="AN90" s="49"/>
      <c r="AO90" s="49"/>
    </row>
    <row r="91" spans="3:41" ht="12.75" customHeight="1">
      <c r="C91" s="49"/>
      <c r="D91" s="49"/>
      <c r="E91" s="49"/>
      <c r="F91" s="49"/>
      <c r="G91" s="49"/>
      <c r="H91" s="49"/>
      <c r="I91" s="49"/>
      <c r="J91" s="49"/>
      <c r="K91" s="49"/>
      <c r="L91" s="49"/>
      <c r="M91" s="49"/>
      <c r="S91" s="49"/>
      <c r="T91" s="49"/>
      <c r="U91" s="49"/>
      <c r="W91" s="49"/>
      <c r="X91" s="49"/>
      <c r="Y91" s="49"/>
      <c r="Z91" s="49"/>
      <c r="AA91" s="49"/>
      <c r="AB91" s="49"/>
      <c r="AC91" s="49"/>
      <c r="AD91" s="49"/>
      <c r="AE91" s="49"/>
      <c r="AF91" s="49"/>
      <c r="AG91" s="49"/>
      <c r="AH91" s="49"/>
      <c r="AI91" s="49"/>
      <c r="AJ91" s="49"/>
      <c r="AK91" s="49"/>
      <c r="AL91" s="49"/>
      <c r="AM91" s="49"/>
      <c r="AN91" s="49"/>
      <c r="AO91" s="49"/>
    </row>
    <row r="92" spans="3:41" ht="12.75" customHeight="1">
      <c r="C92" s="49"/>
      <c r="D92" s="49"/>
      <c r="E92" s="49"/>
      <c r="F92" s="49"/>
      <c r="G92" s="49"/>
      <c r="H92" s="49"/>
      <c r="I92" s="49"/>
      <c r="J92" s="49"/>
      <c r="K92" s="49"/>
      <c r="L92" s="49"/>
      <c r="M92" s="49"/>
      <c r="S92" s="49"/>
      <c r="T92" s="49"/>
      <c r="U92" s="49"/>
      <c r="W92" s="49"/>
      <c r="X92" s="49"/>
      <c r="Y92" s="49"/>
      <c r="Z92" s="49"/>
      <c r="AA92" s="49"/>
      <c r="AB92" s="49"/>
      <c r="AC92" s="49"/>
      <c r="AD92" s="49"/>
      <c r="AE92" s="49"/>
      <c r="AF92" s="49"/>
      <c r="AG92" s="49"/>
      <c r="AH92" s="49"/>
      <c r="AI92" s="49"/>
      <c r="AJ92" s="49"/>
      <c r="AK92" s="49"/>
      <c r="AL92" s="49"/>
      <c r="AM92" s="49"/>
      <c r="AN92" s="49"/>
      <c r="AO92" s="49"/>
    </row>
    <row r="93" spans="3:41" ht="12.75" customHeight="1">
      <c r="C93" s="49"/>
      <c r="D93" s="49"/>
      <c r="E93" s="49"/>
      <c r="F93" s="49"/>
      <c r="G93" s="49"/>
      <c r="H93" s="49"/>
      <c r="I93" s="49"/>
      <c r="J93" s="49"/>
      <c r="K93" s="49"/>
      <c r="L93" s="49"/>
      <c r="M93" s="49"/>
      <c r="S93" s="49"/>
      <c r="T93" s="49"/>
      <c r="U93" s="49"/>
      <c r="W93" s="49"/>
      <c r="X93" s="49"/>
      <c r="Y93" s="49"/>
      <c r="Z93" s="49"/>
      <c r="AA93" s="49"/>
      <c r="AB93" s="49"/>
      <c r="AC93" s="49"/>
      <c r="AD93" s="49"/>
      <c r="AE93" s="49"/>
      <c r="AF93" s="49"/>
      <c r="AG93" s="49"/>
      <c r="AH93" s="49"/>
      <c r="AI93" s="49"/>
      <c r="AJ93" s="49"/>
      <c r="AK93" s="49"/>
      <c r="AL93" s="49"/>
      <c r="AM93" s="49"/>
      <c r="AN93" s="49"/>
      <c r="AO93" s="49"/>
    </row>
    <row r="94" spans="3:41" ht="12.75" customHeight="1">
      <c r="C94" s="49"/>
      <c r="D94" s="49"/>
      <c r="E94" s="49"/>
      <c r="F94" s="49"/>
      <c r="G94" s="49"/>
      <c r="H94" s="49"/>
      <c r="I94" s="49"/>
      <c r="J94" s="49"/>
      <c r="K94" s="49"/>
      <c r="L94" s="49"/>
      <c r="M94" s="49"/>
      <c r="S94" s="49"/>
      <c r="T94" s="49"/>
      <c r="U94" s="49"/>
      <c r="W94" s="49"/>
      <c r="X94" s="49"/>
      <c r="Y94" s="49"/>
      <c r="Z94" s="49"/>
      <c r="AA94" s="49"/>
      <c r="AB94" s="49"/>
      <c r="AC94" s="49"/>
      <c r="AD94" s="49"/>
      <c r="AE94" s="49"/>
      <c r="AF94" s="49"/>
      <c r="AG94" s="49"/>
      <c r="AH94" s="49"/>
      <c r="AI94" s="49"/>
      <c r="AJ94" s="49"/>
      <c r="AK94" s="49"/>
      <c r="AL94" s="49"/>
      <c r="AM94" s="49"/>
      <c r="AN94" s="49"/>
      <c r="AO94" s="49"/>
    </row>
    <row r="95" spans="3:41" ht="12.75" customHeight="1">
      <c r="C95" s="49"/>
      <c r="D95" s="49"/>
      <c r="E95" s="49"/>
      <c r="F95" s="49"/>
      <c r="G95" s="49"/>
      <c r="H95" s="49"/>
      <c r="I95" s="49"/>
      <c r="J95" s="49"/>
      <c r="K95" s="49"/>
      <c r="L95" s="49"/>
      <c r="M95" s="49"/>
      <c r="S95" s="49"/>
      <c r="T95" s="49"/>
      <c r="U95" s="49"/>
      <c r="W95" s="49"/>
      <c r="X95" s="49"/>
      <c r="Y95" s="49"/>
      <c r="Z95" s="49"/>
      <c r="AA95" s="49"/>
      <c r="AB95" s="49"/>
      <c r="AC95" s="49"/>
      <c r="AD95" s="49"/>
      <c r="AE95" s="49"/>
      <c r="AF95" s="49"/>
      <c r="AG95" s="49"/>
      <c r="AH95" s="49"/>
      <c r="AI95" s="49"/>
      <c r="AJ95" s="49"/>
      <c r="AK95" s="49"/>
      <c r="AL95" s="49"/>
      <c r="AM95" s="49"/>
      <c r="AN95" s="49"/>
      <c r="AO95" s="49"/>
    </row>
    <row r="96" spans="3:41" ht="12.75" customHeight="1">
      <c r="C96" s="49"/>
      <c r="D96" s="49"/>
      <c r="E96" s="49"/>
      <c r="F96" s="49"/>
      <c r="G96" s="49"/>
      <c r="H96" s="49"/>
      <c r="I96" s="49"/>
      <c r="J96" s="49"/>
      <c r="K96" s="49"/>
      <c r="L96" s="49"/>
      <c r="M96" s="49"/>
      <c r="S96" s="49"/>
      <c r="T96" s="49"/>
      <c r="U96" s="49"/>
      <c r="W96" s="49"/>
      <c r="X96" s="49"/>
      <c r="Y96" s="49"/>
      <c r="Z96" s="49"/>
      <c r="AA96" s="49"/>
      <c r="AB96" s="49"/>
      <c r="AC96" s="49"/>
      <c r="AD96" s="49"/>
      <c r="AE96" s="49"/>
      <c r="AF96" s="49"/>
      <c r="AG96" s="49"/>
      <c r="AH96" s="49"/>
      <c r="AI96" s="49"/>
      <c r="AJ96" s="49"/>
      <c r="AK96" s="49"/>
      <c r="AL96" s="49"/>
      <c r="AM96" s="49"/>
      <c r="AN96" s="49"/>
      <c r="AO96" s="49"/>
    </row>
    <row r="97" spans="3:41" ht="12.75" customHeight="1">
      <c r="C97" s="49"/>
      <c r="D97" s="49"/>
      <c r="E97" s="49"/>
      <c r="F97" s="49"/>
      <c r="G97" s="49"/>
      <c r="H97" s="49"/>
      <c r="I97" s="49"/>
      <c r="J97" s="49"/>
      <c r="K97" s="49"/>
      <c r="L97" s="49"/>
      <c r="M97" s="49"/>
      <c r="S97" s="49"/>
      <c r="T97" s="49"/>
      <c r="U97" s="49"/>
      <c r="W97" s="49"/>
      <c r="X97" s="49"/>
      <c r="Y97" s="49"/>
      <c r="Z97" s="49"/>
      <c r="AA97" s="49"/>
      <c r="AB97" s="49"/>
      <c r="AC97" s="49"/>
      <c r="AD97" s="49"/>
      <c r="AE97" s="49"/>
      <c r="AF97" s="49"/>
      <c r="AG97" s="49"/>
      <c r="AH97" s="49"/>
      <c r="AI97" s="49"/>
      <c r="AJ97" s="49"/>
      <c r="AK97" s="49"/>
      <c r="AL97" s="49"/>
      <c r="AM97" s="49"/>
      <c r="AN97" s="49"/>
      <c r="AO97" s="49"/>
    </row>
    <row r="98" spans="3:41" ht="12.75" customHeight="1">
      <c r="C98" s="49"/>
      <c r="D98" s="49"/>
      <c r="E98" s="49"/>
      <c r="F98" s="49"/>
      <c r="G98" s="49"/>
      <c r="H98" s="49"/>
      <c r="I98" s="49"/>
      <c r="J98" s="49"/>
      <c r="K98" s="49"/>
      <c r="L98" s="49"/>
      <c r="M98" s="49"/>
      <c r="S98" s="49"/>
      <c r="T98" s="49"/>
      <c r="U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S99" s="49"/>
      <c r="T99" s="49"/>
      <c r="U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S100" s="49"/>
      <c r="T100" s="49"/>
      <c r="U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S101" s="49"/>
      <c r="T101" s="49"/>
      <c r="U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S102" s="49"/>
      <c r="T102" s="49"/>
      <c r="U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S103" s="49"/>
      <c r="T103" s="49"/>
      <c r="U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S104" s="49"/>
      <c r="T104" s="49"/>
      <c r="U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S105" s="49"/>
      <c r="T105" s="49"/>
      <c r="U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S106" s="49"/>
      <c r="T106" s="49"/>
      <c r="U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S107" s="49"/>
      <c r="T107" s="49"/>
      <c r="U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S108" s="49"/>
      <c r="T108" s="49"/>
      <c r="U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S109" s="49"/>
      <c r="T109" s="49"/>
      <c r="U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S110" s="49"/>
      <c r="T110" s="49"/>
      <c r="U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S111" s="49"/>
      <c r="T111" s="49"/>
      <c r="U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S112" s="49"/>
      <c r="T112" s="49"/>
      <c r="U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S113" s="49"/>
      <c r="T113" s="49"/>
      <c r="U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S114" s="49"/>
      <c r="T114" s="49"/>
      <c r="U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S115" s="49"/>
      <c r="T115" s="49"/>
      <c r="U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S116" s="49"/>
      <c r="T116" s="49"/>
      <c r="U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S117" s="49"/>
      <c r="T117" s="49"/>
      <c r="U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S118" s="49"/>
      <c r="T118" s="49"/>
      <c r="U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S119" s="49"/>
      <c r="T119" s="49"/>
      <c r="U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S120" s="49"/>
      <c r="T120" s="49"/>
      <c r="U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S121" s="49"/>
      <c r="T121" s="49"/>
      <c r="U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S122" s="49"/>
      <c r="T122" s="49"/>
      <c r="U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S123" s="49"/>
      <c r="T123" s="49"/>
      <c r="U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S124" s="49"/>
      <c r="T124" s="49"/>
      <c r="U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S125" s="49"/>
      <c r="T125" s="49"/>
      <c r="U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S126" s="49"/>
      <c r="T126" s="49"/>
      <c r="U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S127" s="49"/>
      <c r="T127" s="49"/>
      <c r="U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S128" s="49"/>
      <c r="T128" s="49"/>
      <c r="U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S129" s="49"/>
      <c r="T129" s="49"/>
      <c r="U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S130" s="49"/>
      <c r="T130" s="49"/>
      <c r="U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S131" s="49"/>
      <c r="T131" s="49"/>
      <c r="U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S132" s="49"/>
      <c r="T132" s="49"/>
      <c r="U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S133" s="49"/>
      <c r="T133" s="49"/>
      <c r="U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S134" s="49"/>
      <c r="T134" s="49"/>
      <c r="U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S135" s="49"/>
      <c r="T135" s="49"/>
      <c r="U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S136" s="49"/>
      <c r="T136" s="49"/>
      <c r="U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S137" s="49"/>
      <c r="T137" s="49"/>
      <c r="U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S138" s="49"/>
      <c r="T138" s="49"/>
      <c r="U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S139" s="49"/>
      <c r="T139" s="49"/>
      <c r="U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S140" s="49"/>
      <c r="T140" s="49"/>
      <c r="U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S141" s="49"/>
      <c r="T141" s="49"/>
      <c r="U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S142" s="49"/>
      <c r="T142" s="49"/>
      <c r="U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S143" s="49"/>
      <c r="T143" s="49"/>
      <c r="U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S144" s="49"/>
      <c r="T144" s="49"/>
      <c r="U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S145" s="49"/>
      <c r="T145" s="49"/>
      <c r="U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S146" s="49"/>
      <c r="T146" s="49"/>
      <c r="U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S147" s="49"/>
      <c r="T147" s="49"/>
      <c r="U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S148" s="49"/>
      <c r="T148" s="49"/>
      <c r="U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S149" s="49"/>
      <c r="T149" s="49"/>
      <c r="U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S150" s="49"/>
      <c r="T150" s="49"/>
      <c r="U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S151" s="49"/>
      <c r="T151" s="49"/>
      <c r="U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S152" s="49"/>
      <c r="T152" s="49"/>
      <c r="U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S153" s="49"/>
      <c r="T153" s="49"/>
      <c r="U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S154" s="49"/>
      <c r="T154" s="49"/>
      <c r="U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S155" s="49"/>
      <c r="T155" s="49"/>
      <c r="U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S156" s="49"/>
      <c r="T156" s="49"/>
      <c r="U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S157" s="49"/>
      <c r="T157" s="49"/>
      <c r="U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S158" s="49"/>
      <c r="T158" s="49"/>
      <c r="U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S159" s="49"/>
      <c r="T159" s="49"/>
      <c r="U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S160" s="49"/>
      <c r="T160" s="49"/>
      <c r="U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S161" s="49"/>
      <c r="T161" s="49"/>
      <c r="U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S162" s="49"/>
      <c r="T162" s="49"/>
      <c r="U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S163" s="49"/>
      <c r="T163" s="49"/>
      <c r="U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S164" s="49"/>
      <c r="T164" s="49"/>
      <c r="U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S165" s="49"/>
      <c r="T165" s="49"/>
      <c r="U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S166" s="49"/>
      <c r="T166" s="49"/>
      <c r="U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S167" s="49"/>
      <c r="T167" s="49"/>
      <c r="U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S168" s="49"/>
      <c r="T168" s="49"/>
      <c r="U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S169" s="49"/>
      <c r="T169" s="49"/>
      <c r="U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S170" s="49"/>
      <c r="T170" s="49"/>
      <c r="U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S171" s="49"/>
      <c r="T171" s="49"/>
      <c r="U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S172" s="49"/>
      <c r="T172" s="49"/>
      <c r="U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S173" s="49"/>
      <c r="T173" s="49"/>
      <c r="U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S174" s="49"/>
      <c r="T174" s="49"/>
      <c r="U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S175" s="49"/>
      <c r="T175" s="49"/>
      <c r="U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S176" s="49"/>
      <c r="T176" s="49"/>
      <c r="U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S177" s="49"/>
      <c r="T177" s="49"/>
      <c r="U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S178" s="49"/>
      <c r="T178" s="49"/>
      <c r="U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S179" s="49"/>
      <c r="T179" s="49"/>
      <c r="U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S180" s="49"/>
      <c r="T180" s="49"/>
      <c r="U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S181" s="49"/>
      <c r="T181" s="49"/>
      <c r="U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S182" s="49"/>
      <c r="T182" s="49"/>
      <c r="U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S183" s="49"/>
      <c r="T183" s="49"/>
      <c r="U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S184" s="49"/>
      <c r="T184" s="49"/>
      <c r="U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S185" s="49"/>
      <c r="T185" s="49"/>
      <c r="U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S186" s="49"/>
      <c r="T186" s="49"/>
      <c r="U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S187" s="49"/>
      <c r="T187" s="49"/>
      <c r="U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S188" s="49"/>
      <c r="T188" s="49"/>
      <c r="U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S189" s="49"/>
      <c r="T189" s="49"/>
      <c r="U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S190" s="49"/>
      <c r="T190" s="49"/>
      <c r="U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S191" s="49"/>
      <c r="T191" s="49"/>
      <c r="U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S192" s="49"/>
      <c r="T192" s="49"/>
      <c r="U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S193" s="49"/>
      <c r="T193" s="49"/>
      <c r="U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S194" s="49"/>
      <c r="T194" s="49"/>
      <c r="U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S195" s="49"/>
      <c r="T195" s="49"/>
      <c r="U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S196" s="49"/>
      <c r="T196" s="49"/>
      <c r="U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S197" s="49"/>
      <c r="T197" s="49"/>
      <c r="U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S198" s="49"/>
      <c r="T198" s="49"/>
      <c r="U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S199" s="49"/>
      <c r="T199" s="49"/>
      <c r="U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S200" s="49"/>
      <c r="T200" s="49"/>
      <c r="U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S201" s="49"/>
      <c r="T201" s="49"/>
      <c r="U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S202" s="49"/>
      <c r="T202" s="49"/>
      <c r="U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S203" s="49"/>
      <c r="T203" s="49"/>
      <c r="U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S204" s="49"/>
      <c r="T204" s="49"/>
      <c r="U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S205" s="49"/>
      <c r="T205" s="49"/>
      <c r="U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S206" s="49"/>
      <c r="T206" s="49"/>
      <c r="U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S207" s="49"/>
      <c r="T207" s="49"/>
      <c r="U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S208" s="49"/>
      <c r="T208" s="49"/>
      <c r="U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S209" s="49"/>
      <c r="T209" s="49"/>
      <c r="U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S210" s="49"/>
      <c r="T210" s="49"/>
      <c r="U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S211" s="49"/>
      <c r="T211" s="49"/>
      <c r="U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S212" s="49"/>
      <c r="T212" s="49"/>
      <c r="U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S213" s="49"/>
      <c r="T213" s="49"/>
      <c r="U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S214" s="49"/>
      <c r="T214" s="49"/>
      <c r="U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S215" s="49"/>
      <c r="T215" s="49"/>
      <c r="U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S216" s="49"/>
      <c r="T216" s="49"/>
      <c r="U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S217" s="49"/>
      <c r="T217" s="49"/>
      <c r="U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S218" s="49"/>
      <c r="T218" s="49"/>
      <c r="U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S219" s="49"/>
      <c r="T219" s="49"/>
      <c r="U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S220" s="49"/>
      <c r="T220" s="49"/>
      <c r="U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S221" s="49"/>
      <c r="T221" s="49"/>
      <c r="U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S222" s="49"/>
      <c r="T222" s="49"/>
      <c r="U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S223" s="49"/>
      <c r="T223" s="49"/>
      <c r="U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S224" s="49"/>
      <c r="T224" s="49"/>
      <c r="U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S225" s="49"/>
      <c r="T225" s="49"/>
      <c r="U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S226" s="49"/>
      <c r="T226" s="49"/>
      <c r="U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S227" s="49"/>
      <c r="T227" s="49"/>
      <c r="U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S228" s="49"/>
      <c r="T228" s="49"/>
      <c r="U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S229" s="49"/>
      <c r="T229" s="49"/>
      <c r="U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S230" s="49"/>
      <c r="T230" s="49"/>
      <c r="U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S231" s="49"/>
      <c r="T231" s="49"/>
      <c r="U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S232" s="49"/>
      <c r="T232" s="49"/>
      <c r="U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S233" s="49"/>
      <c r="T233" s="49"/>
      <c r="U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S234" s="49"/>
      <c r="T234" s="49"/>
      <c r="U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S235" s="49"/>
      <c r="T235" s="49"/>
      <c r="U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S236" s="49"/>
      <c r="T236" s="49"/>
      <c r="U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S237" s="49"/>
      <c r="T237" s="49"/>
      <c r="U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S238" s="49"/>
      <c r="T238" s="49"/>
      <c r="U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S239" s="49"/>
      <c r="T239" s="49"/>
      <c r="U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S240" s="49"/>
      <c r="T240" s="49"/>
      <c r="U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S241" s="49"/>
      <c r="T241" s="49"/>
      <c r="U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S242" s="49"/>
      <c r="T242" s="49"/>
      <c r="U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S243" s="49"/>
      <c r="T243" s="49"/>
      <c r="U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S244" s="49"/>
      <c r="T244" s="49"/>
      <c r="U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S245" s="49"/>
      <c r="T245" s="49"/>
      <c r="U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S246" s="49"/>
      <c r="T246" s="49"/>
      <c r="U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S247" s="49"/>
      <c r="T247" s="49"/>
      <c r="U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S248" s="49"/>
      <c r="T248" s="49"/>
      <c r="U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S249" s="49"/>
      <c r="T249" s="49"/>
      <c r="U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S250" s="49"/>
      <c r="T250" s="49"/>
      <c r="U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S251" s="49"/>
      <c r="T251" s="49"/>
      <c r="U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S252" s="49"/>
      <c r="T252" s="49"/>
      <c r="U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S253" s="49"/>
      <c r="T253" s="49"/>
      <c r="U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S254" s="49"/>
      <c r="T254" s="49"/>
      <c r="U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S255" s="49"/>
      <c r="T255" s="49"/>
      <c r="U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S256" s="49"/>
      <c r="T256" s="49"/>
      <c r="U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S257" s="49"/>
      <c r="T257" s="49"/>
      <c r="U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S258" s="49"/>
      <c r="T258" s="49"/>
      <c r="U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S259" s="49"/>
      <c r="T259" s="49"/>
      <c r="U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S260" s="49"/>
      <c r="T260" s="49"/>
      <c r="U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S261" s="49"/>
      <c r="T261" s="49"/>
      <c r="U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S262" s="49"/>
      <c r="T262" s="49"/>
      <c r="U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S263" s="49"/>
      <c r="T263" s="49"/>
      <c r="U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S264" s="49"/>
      <c r="T264" s="49"/>
      <c r="U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S265" s="49"/>
      <c r="T265" s="49"/>
      <c r="U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S266" s="49"/>
      <c r="T266" s="49"/>
      <c r="U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S267" s="49"/>
      <c r="T267" s="49"/>
      <c r="U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S268" s="49"/>
      <c r="T268" s="49"/>
      <c r="U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S269" s="49"/>
      <c r="T269" s="49"/>
      <c r="U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S270" s="49"/>
      <c r="T270" s="49"/>
      <c r="U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S271" s="49"/>
      <c r="T271" s="49"/>
      <c r="U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S272" s="49"/>
      <c r="T272" s="49"/>
      <c r="U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S273" s="49"/>
      <c r="T273" s="49"/>
      <c r="U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S274" s="49"/>
      <c r="T274" s="49"/>
      <c r="U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S275" s="49"/>
      <c r="T275" s="49"/>
      <c r="U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S276" s="49"/>
      <c r="T276" s="49"/>
      <c r="U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S277" s="49"/>
      <c r="T277" s="49"/>
      <c r="U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S278" s="49"/>
      <c r="T278" s="49"/>
      <c r="U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S279" s="49"/>
      <c r="T279" s="49"/>
      <c r="U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S280" s="49"/>
      <c r="T280" s="49"/>
      <c r="U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S281" s="49"/>
      <c r="T281" s="49"/>
      <c r="U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S282" s="49"/>
      <c r="T282" s="49"/>
      <c r="U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S283" s="49"/>
      <c r="T283" s="49"/>
      <c r="U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S284" s="49"/>
      <c r="T284" s="49"/>
      <c r="U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S285" s="49"/>
      <c r="T285" s="49"/>
      <c r="U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S286" s="49"/>
      <c r="T286" s="49"/>
      <c r="U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S287" s="49"/>
      <c r="T287" s="49"/>
      <c r="U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S288" s="49"/>
      <c r="T288" s="49"/>
      <c r="U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S289" s="49"/>
      <c r="T289" s="49"/>
      <c r="U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S290" s="49"/>
      <c r="T290" s="49"/>
      <c r="U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S291" s="49"/>
      <c r="T291" s="49"/>
      <c r="U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S292" s="49"/>
      <c r="T292" s="49"/>
      <c r="U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S293" s="49"/>
      <c r="T293" s="49"/>
      <c r="U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S294" s="49"/>
      <c r="T294" s="49"/>
      <c r="U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S295" s="49"/>
      <c r="T295" s="49"/>
      <c r="U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S296" s="49"/>
      <c r="T296" s="49"/>
      <c r="U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S297" s="49"/>
      <c r="T297" s="49"/>
      <c r="U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S298" s="49"/>
      <c r="T298" s="49"/>
      <c r="U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S299" s="49"/>
      <c r="T299" s="49"/>
      <c r="U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S300" s="49"/>
      <c r="T300" s="49"/>
      <c r="U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S301" s="49"/>
      <c r="T301" s="49"/>
      <c r="U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S302" s="49"/>
      <c r="T302" s="49"/>
      <c r="U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S303" s="49"/>
      <c r="T303" s="49"/>
      <c r="U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S304" s="49"/>
      <c r="T304" s="49"/>
      <c r="U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S305" s="49"/>
      <c r="T305" s="49"/>
      <c r="U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S306" s="49"/>
      <c r="T306" s="49"/>
      <c r="U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S307" s="49"/>
      <c r="T307" s="49"/>
      <c r="U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S308" s="49"/>
      <c r="T308" s="49"/>
      <c r="U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S309" s="49"/>
      <c r="T309" s="49"/>
      <c r="U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S310" s="49"/>
      <c r="T310" s="49"/>
      <c r="U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S311" s="49"/>
      <c r="T311" s="49"/>
      <c r="U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S312" s="49"/>
      <c r="T312" s="49"/>
      <c r="U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S313" s="49"/>
      <c r="T313" s="49"/>
      <c r="U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S314" s="49"/>
      <c r="T314" s="49"/>
      <c r="U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S315" s="49"/>
      <c r="T315" s="49"/>
      <c r="U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S316" s="49"/>
      <c r="T316" s="49"/>
      <c r="U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S317" s="49"/>
      <c r="T317" s="49"/>
      <c r="U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S318" s="49"/>
      <c r="T318" s="49"/>
      <c r="U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S319" s="49"/>
      <c r="T319" s="49"/>
      <c r="U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S320" s="49"/>
      <c r="T320" s="49"/>
      <c r="U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S321" s="49"/>
      <c r="T321" s="49"/>
      <c r="U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S322" s="49"/>
      <c r="T322" s="49"/>
      <c r="U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S323" s="49"/>
      <c r="T323" s="49"/>
      <c r="U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S324" s="49"/>
      <c r="T324" s="49"/>
      <c r="U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S325" s="49"/>
      <c r="T325" s="49"/>
      <c r="U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S326" s="49"/>
      <c r="T326" s="49"/>
      <c r="U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S327" s="49"/>
      <c r="T327" s="49"/>
      <c r="U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S328" s="49"/>
      <c r="T328" s="49"/>
      <c r="U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S329" s="49"/>
      <c r="T329" s="49"/>
      <c r="U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S330" s="49"/>
      <c r="T330" s="49"/>
      <c r="U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S331" s="49"/>
      <c r="T331" s="49"/>
      <c r="U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S332" s="49"/>
      <c r="T332" s="49"/>
      <c r="U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S333" s="49"/>
      <c r="T333" s="49"/>
      <c r="U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S334" s="49"/>
      <c r="T334" s="49"/>
      <c r="U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S335" s="49"/>
      <c r="T335" s="49"/>
      <c r="U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S336" s="49"/>
      <c r="T336" s="49"/>
      <c r="U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S337" s="49"/>
      <c r="T337" s="49"/>
      <c r="U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S338" s="49"/>
      <c r="T338" s="49"/>
      <c r="U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S339" s="49"/>
      <c r="T339" s="49"/>
      <c r="U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S340" s="49"/>
      <c r="T340" s="49"/>
      <c r="U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S341" s="49"/>
      <c r="T341" s="49"/>
      <c r="U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S342" s="49"/>
      <c r="T342" s="49"/>
      <c r="U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S343" s="49"/>
      <c r="T343" s="49"/>
      <c r="U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S344" s="49"/>
      <c r="T344" s="49"/>
      <c r="U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S345" s="49"/>
      <c r="T345" s="49"/>
      <c r="U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S346" s="49"/>
      <c r="T346" s="49"/>
      <c r="U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S347" s="49"/>
      <c r="T347" s="49"/>
      <c r="U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S348" s="49"/>
      <c r="T348" s="49"/>
      <c r="U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S349" s="49"/>
      <c r="T349" s="49"/>
      <c r="U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S350" s="49"/>
      <c r="T350" s="49"/>
      <c r="U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S351" s="49"/>
      <c r="T351" s="49"/>
      <c r="U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S352" s="49"/>
      <c r="T352" s="49"/>
      <c r="U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S353" s="49"/>
      <c r="T353" s="49"/>
      <c r="U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S354" s="49"/>
      <c r="T354" s="49"/>
      <c r="U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S355" s="49"/>
      <c r="T355" s="49"/>
      <c r="U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S356" s="49"/>
      <c r="T356" s="49"/>
      <c r="U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S357" s="49"/>
      <c r="T357" s="49"/>
      <c r="U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S358" s="49"/>
      <c r="T358" s="49"/>
      <c r="U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S359" s="49"/>
      <c r="T359" s="49"/>
      <c r="U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S360" s="49"/>
      <c r="T360" s="49"/>
      <c r="U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S361" s="49"/>
      <c r="T361" s="49"/>
      <c r="U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S362" s="49"/>
      <c r="T362" s="49"/>
      <c r="U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S363" s="49"/>
      <c r="T363" s="49"/>
      <c r="U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S364" s="49"/>
      <c r="T364" s="49"/>
      <c r="U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S365" s="49"/>
      <c r="T365" s="49"/>
      <c r="U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S366" s="49"/>
      <c r="T366" s="49"/>
      <c r="U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S367" s="49"/>
      <c r="T367" s="49"/>
      <c r="U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S368" s="49"/>
      <c r="T368" s="49"/>
      <c r="U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S369" s="49"/>
      <c r="T369" s="49"/>
      <c r="U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S370" s="49"/>
      <c r="T370" s="49"/>
      <c r="U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S371" s="49"/>
      <c r="T371" s="49"/>
      <c r="U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S372" s="49"/>
      <c r="T372" s="49"/>
      <c r="U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S373" s="49"/>
      <c r="T373" s="49"/>
      <c r="U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S374" s="49"/>
      <c r="T374" s="49"/>
      <c r="U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S375" s="49"/>
      <c r="T375" s="49"/>
      <c r="U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S376" s="49"/>
      <c r="T376" s="49"/>
      <c r="U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S377" s="49"/>
      <c r="T377" s="49"/>
      <c r="U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S378" s="49"/>
      <c r="T378" s="49"/>
      <c r="U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S379" s="49"/>
      <c r="T379" s="49"/>
      <c r="U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S380" s="49"/>
      <c r="T380" s="49"/>
      <c r="U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S381" s="49"/>
      <c r="T381" s="49"/>
      <c r="U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S382" s="49"/>
      <c r="T382" s="49"/>
      <c r="U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S383" s="49"/>
      <c r="T383" s="49"/>
      <c r="U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S384" s="49"/>
      <c r="T384" s="49"/>
      <c r="U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S385" s="49"/>
      <c r="T385" s="49"/>
      <c r="U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S386" s="49"/>
      <c r="T386" s="49"/>
      <c r="U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S387" s="49"/>
      <c r="T387" s="49"/>
      <c r="U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S388" s="49"/>
      <c r="T388" s="49"/>
      <c r="U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S389" s="49"/>
      <c r="T389" s="49"/>
      <c r="U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S390" s="49"/>
      <c r="T390" s="49"/>
      <c r="U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S391" s="49"/>
      <c r="T391" s="49"/>
      <c r="U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S392" s="49"/>
      <c r="T392" s="49"/>
      <c r="U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S393" s="49"/>
      <c r="T393" s="49"/>
      <c r="U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S394" s="49"/>
      <c r="T394" s="49"/>
      <c r="U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S395" s="49"/>
      <c r="T395" s="49"/>
      <c r="U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S396" s="49"/>
      <c r="T396" s="49"/>
      <c r="U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S397" s="49"/>
      <c r="T397" s="49"/>
      <c r="U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S398" s="49"/>
      <c r="T398" s="49"/>
      <c r="U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S399" s="49"/>
      <c r="T399" s="49"/>
      <c r="U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S400" s="49"/>
      <c r="T400" s="49"/>
      <c r="U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S401" s="49"/>
      <c r="T401" s="49"/>
      <c r="U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S402" s="49"/>
      <c r="T402" s="49"/>
      <c r="U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S403" s="49"/>
      <c r="T403" s="49"/>
      <c r="U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S404" s="49"/>
      <c r="T404" s="49"/>
      <c r="U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S405" s="49"/>
      <c r="T405" s="49"/>
      <c r="U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S406" s="49"/>
      <c r="T406" s="49"/>
      <c r="U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S407" s="49"/>
      <c r="T407" s="49"/>
      <c r="U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S408" s="49"/>
      <c r="T408" s="49"/>
      <c r="U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S409" s="49"/>
      <c r="T409" s="49"/>
      <c r="U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S410" s="49"/>
      <c r="T410" s="49"/>
      <c r="U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S411" s="49"/>
      <c r="T411" s="49"/>
      <c r="U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S412" s="49"/>
      <c r="T412" s="49"/>
      <c r="U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S413" s="49"/>
      <c r="T413" s="49"/>
      <c r="U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S414" s="49"/>
      <c r="T414" s="49"/>
      <c r="U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S415" s="49"/>
      <c r="T415" s="49"/>
      <c r="U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S416" s="49"/>
      <c r="T416" s="49"/>
      <c r="U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S417" s="49"/>
      <c r="T417" s="49"/>
      <c r="U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S418" s="49"/>
      <c r="T418" s="49"/>
      <c r="U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S419" s="49"/>
      <c r="T419" s="49"/>
      <c r="U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S420" s="49"/>
      <c r="T420" s="49"/>
      <c r="U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S421" s="49"/>
      <c r="T421" s="49"/>
      <c r="U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S422" s="49"/>
      <c r="T422" s="49"/>
      <c r="U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S423" s="49"/>
      <c r="T423" s="49"/>
      <c r="U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S424" s="49"/>
      <c r="T424" s="49"/>
      <c r="U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S425" s="49"/>
      <c r="T425" s="49"/>
      <c r="U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S426" s="49"/>
      <c r="T426" s="49"/>
      <c r="U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S427" s="49"/>
      <c r="T427" s="49"/>
      <c r="U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S428" s="49"/>
      <c r="T428" s="49"/>
      <c r="U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S429" s="49"/>
      <c r="T429" s="49"/>
      <c r="U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S430" s="49"/>
      <c r="T430" s="49"/>
      <c r="U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S431" s="49"/>
      <c r="T431" s="49"/>
      <c r="U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S432" s="49"/>
      <c r="T432" s="49"/>
      <c r="U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S433" s="49"/>
      <c r="T433" s="49"/>
      <c r="U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S434" s="49"/>
      <c r="T434" s="49"/>
      <c r="U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S435" s="49"/>
      <c r="T435" s="49"/>
      <c r="U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S436" s="49"/>
      <c r="T436" s="49"/>
      <c r="U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S437" s="49"/>
      <c r="T437" s="49"/>
      <c r="U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S438" s="49"/>
      <c r="T438" s="49"/>
      <c r="U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S439" s="49"/>
      <c r="T439" s="49"/>
      <c r="U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S440" s="49"/>
      <c r="T440" s="49"/>
      <c r="U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S441" s="49"/>
      <c r="T441" s="49"/>
      <c r="U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S442" s="49"/>
      <c r="T442" s="49"/>
      <c r="U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S443" s="49"/>
      <c r="T443" s="49"/>
      <c r="U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S444" s="49"/>
      <c r="T444" s="49"/>
      <c r="U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S445" s="49"/>
      <c r="T445" s="49"/>
      <c r="U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S446" s="49"/>
      <c r="T446" s="49"/>
      <c r="U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S447" s="49"/>
      <c r="T447" s="49"/>
      <c r="U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S448" s="49"/>
      <c r="T448" s="49"/>
      <c r="U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S449" s="49"/>
      <c r="T449" s="49"/>
      <c r="U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S450" s="49"/>
      <c r="T450" s="49"/>
      <c r="U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S451" s="49"/>
      <c r="T451" s="49"/>
      <c r="U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S452" s="49"/>
      <c r="T452" s="49"/>
      <c r="U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S453" s="49"/>
      <c r="T453" s="49"/>
      <c r="U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S454" s="49"/>
      <c r="T454" s="49"/>
      <c r="U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S455" s="49"/>
      <c r="T455" s="49"/>
      <c r="U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S456" s="49"/>
      <c r="T456" s="49"/>
      <c r="U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S457" s="49"/>
      <c r="T457" s="49"/>
      <c r="U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S458" s="49"/>
      <c r="T458" s="49"/>
      <c r="U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S459" s="49"/>
      <c r="T459" s="49"/>
      <c r="U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S460" s="49"/>
      <c r="T460" s="49"/>
      <c r="U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S461" s="49"/>
      <c r="T461" s="49"/>
      <c r="U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S462" s="49"/>
      <c r="T462" s="49"/>
      <c r="U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S463" s="49"/>
      <c r="T463" s="49"/>
      <c r="U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S464" s="49"/>
      <c r="T464" s="49"/>
      <c r="U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S465" s="49"/>
      <c r="T465" s="49"/>
      <c r="U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S466" s="49"/>
      <c r="T466" s="49"/>
      <c r="U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S467" s="49"/>
      <c r="T467" s="49"/>
      <c r="U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S468" s="49"/>
      <c r="T468" s="49"/>
      <c r="U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S469" s="49"/>
      <c r="T469" s="49"/>
      <c r="U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S470" s="49"/>
      <c r="T470" s="49"/>
      <c r="U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S471" s="49"/>
      <c r="T471" s="49"/>
      <c r="U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S472" s="49"/>
      <c r="T472" s="49"/>
      <c r="U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S473" s="49"/>
      <c r="T473" s="49"/>
      <c r="U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S474" s="49"/>
      <c r="T474" s="49"/>
      <c r="U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S475" s="49"/>
      <c r="T475" s="49"/>
      <c r="U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S476" s="49"/>
      <c r="T476" s="49"/>
      <c r="U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S477" s="49"/>
      <c r="T477" s="49"/>
      <c r="U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S478" s="49"/>
      <c r="T478" s="49"/>
      <c r="U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S479" s="49"/>
      <c r="T479" s="49"/>
      <c r="U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S480" s="49"/>
      <c r="T480" s="49"/>
      <c r="U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S481" s="49"/>
      <c r="T481" s="49"/>
      <c r="U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S482" s="49"/>
      <c r="T482" s="49"/>
      <c r="U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S483" s="49"/>
      <c r="T483" s="49"/>
      <c r="U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S484" s="49"/>
      <c r="T484" s="49"/>
      <c r="U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S485" s="49"/>
      <c r="T485" s="49"/>
      <c r="U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S486" s="49"/>
      <c r="T486" s="49"/>
      <c r="U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S487" s="49"/>
      <c r="T487" s="49"/>
      <c r="U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S488" s="49"/>
      <c r="T488" s="49"/>
      <c r="U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S489" s="49"/>
      <c r="T489" s="49"/>
      <c r="U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S490" s="49"/>
      <c r="T490" s="49"/>
      <c r="U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S491" s="49"/>
      <c r="T491" s="49"/>
      <c r="U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S492" s="49"/>
      <c r="T492" s="49"/>
      <c r="U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S493" s="49"/>
      <c r="T493" s="49"/>
      <c r="U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S494" s="49"/>
      <c r="T494" s="49"/>
      <c r="U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S495" s="49"/>
      <c r="T495" s="49"/>
      <c r="U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S496" s="49"/>
      <c r="T496" s="49"/>
      <c r="U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S497" s="49"/>
      <c r="T497" s="49"/>
      <c r="U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S498" s="49"/>
      <c r="T498" s="49"/>
      <c r="U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S499" s="49"/>
      <c r="T499" s="49"/>
      <c r="U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S500" s="49"/>
      <c r="T500" s="49"/>
      <c r="U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S501" s="49"/>
      <c r="T501" s="49"/>
      <c r="U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S502" s="49"/>
      <c r="T502" s="49"/>
      <c r="U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S503" s="49"/>
      <c r="T503" s="49"/>
      <c r="U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S504" s="49"/>
      <c r="T504" s="49"/>
      <c r="U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S505" s="49"/>
      <c r="T505" s="49"/>
      <c r="U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S506" s="49"/>
      <c r="T506" s="49"/>
      <c r="U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S507" s="49"/>
      <c r="T507" s="49"/>
      <c r="U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S508" s="49"/>
      <c r="T508" s="49"/>
      <c r="U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S509" s="49"/>
      <c r="T509" s="49"/>
      <c r="U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S510" s="49"/>
      <c r="T510" s="49"/>
      <c r="U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S511" s="49"/>
      <c r="T511" s="49"/>
      <c r="U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S512" s="49"/>
      <c r="T512" s="49"/>
      <c r="U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S513" s="49"/>
      <c r="T513" s="49"/>
      <c r="U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S514" s="49"/>
      <c r="T514" s="49"/>
      <c r="U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ustomHeight="1">
      <c r="C515" s="49"/>
      <c r="D515" s="49"/>
      <c r="E515" s="49"/>
      <c r="F515" s="49"/>
      <c r="G515" s="49"/>
      <c r="H515" s="49"/>
      <c r="I515" s="49"/>
      <c r="J515" s="49"/>
      <c r="K515" s="49"/>
      <c r="L515" s="49"/>
      <c r="M515" s="49"/>
      <c r="S515" s="49"/>
      <c r="T515" s="49"/>
      <c r="U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ustomHeight="1">
      <c r="C516" s="49"/>
      <c r="D516" s="49"/>
      <c r="E516" s="49"/>
      <c r="F516" s="49"/>
      <c r="G516" s="49"/>
      <c r="H516" s="49"/>
      <c r="I516" s="49"/>
      <c r="J516" s="49"/>
      <c r="K516" s="49"/>
      <c r="L516" s="49"/>
      <c r="M516" s="49"/>
      <c r="S516" s="49"/>
      <c r="T516" s="49"/>
      <c r="U516" s="49"/>
      <c r="W516" s="49"/>
      <c r="X516" s="49"/>
      <c r="Y516" s="49"/>
      <c r="Z516" s="49"/>
      <c r="AA516" s="49"/>
      <c r="AB516" s="49"/>
      <c r="AC516" s="49"/>
      <c r="AD516" s="49"/>
      <c r="AE516" s="49"/>
      <c r="AF516" s="49"/>
      <c r="AG516" s="49"/>
      <c r="AH516" s="49"/>
      <c r="AI516" s="49"/>
      <c r="AJ516" s="49"/>
      <c r="AK516" s="49"/>
      <c r="AL516" s="49"/>
      <c r="AM516" s="49"/>
      <c r="AN516" s="49"/>
      <c r="AO516" s="49"/>
    </row>
    <row r="517" spans="3:41" ht="12.75" customHeight="1">
      <c r="C517" s="49"/>
      <c r="D517" s="49"/>
      <c r="E517" s="49"/>
      <c r="F517" s="49"/>
      <c r="G517" s="49"/>
      <c r="H517" s="49"/>
      <c r="I517" s="49"/>
      <c r="J517" s="49"/>
      <c r="K517" s="49"/>
      <c r="L517" s="49"/>
      <c r="M517" s="49"/>
      <c r="S517" s="49"/>
      <c r="T517" s="49"/>
      <c r="U517" s="49"/>
      <c r="W517" s="49"/>
      <c r="X517" s="49"/>
      <c r="Y517" s="49"/>
      <c r="Z517" s="49"/>
      <c r="AA517" s="49"/>
      <c r="AB517" s="49"/>
      <c r="AC517" s="49"/>
      <c r="AD517" s="49"/>
      <c r="AE517" s="49"/>
      <c r="AF517" s="49"/>
      <c r="AG517" s="49"/>
      <c r="AH517" s="49"/>
      <c r="AI517" s="49"/>
      <c r="AJ517" s="49"/>
      <c r="AK517" s="49"/>
      <c r="AL517" s="49"/>
      <c r="AM517" s="49"/>
      <c r="AN517" s="49"/>
      <c r="AO517" s="49"/>
    </row>
    <row r="518" spans="3:41" ht="12.75" customHeight="1">
      <c r="C518" s="49"/>
      <c r="D518" s="49"/>
      <c r="E518" s="49"/>
      <c r="F518" s="49"/>
      <c r="G518" s="49"/>
      <c r="H518" s="49"/>
      <c r="I518" s="49"/>
      <c r="J518" s="49"/>
      <c r="K518" s="49"/>
      <c r="L518" s="49"/>
      <c r="M518" s="49"/>
      <c r="S518" s="49"/>
      <c r="T518" s="49"/>
      <c r="U518" s="49"/>
      <c r="W518" s="49"/>
      <c r="X518" s="49"/>
      <c r="Y518" s="49"/>
      <c r="Z518" s="49"/>
      <c r="AA518" s="49"/>
      <c r="AB518" s="49"/>
      <c r="AC518" s="49"/>
      <c r="AD518" s="49"/>
      <c r="AE518" s="49"/>
      <c r="AF518" s="49"/>
      <c r="AG518" s="49"/>
      <c r="AH518" s="49"/>
      <c r="AI518" s="49"/>
      <c r="AJ518" s="49"/>
      <c r="AK518" s="49"/>
      <c r="AL518" s="49"/>
      <c r="AM518" s="49"/>
      <c r="AN518" s="49"/>
      <c r="AO518" s="49"/>
    </row>
    <row r="519" spans="3:41" ht="12.75" customHeight="1">
      <c r="C519" s="49"/>
      <c r="D519" s="49"/>
      <c r="E519" s="49"/>
      <c r="F519" s="49"/>
      <c r="G519" s="49"/>
      <c r="H519" s="49"/>
      <c r="I519" s="49"/>
      <c r="J519" s="49"/>
      <c r="K519" s="49"/>
      <c r="L519" s="49"/>
      <c r="M519" s="49"/>
      <c r="S519" s="49"/>
      <c r="T519" s="49"/>
      <c r="U519" s="49"/>
      <c r="W519" s="49"/>
      <c r="X519" s="49"/>
      <c r="Y519" s="49"/>
      <c r="Z519" s="49"/>
      <c r="AA519" s="49"/>
      <c r="AB519" s="49"/>
      <c r="AC519" s="49"/>
      <c r="AD519" s="49"/>
      <c r="AE519" s="49"/>
      <c r="AF519" s="49"/>
      <c r="AG519" s="49"/>
      <c r="AH519" s="49"/>
      <c r="AI519" s="49"/>
      <c r="AJ519" s="49"/>
      <c r="AK519" s="49"/>
      <c r="AL519" s="49"/>
      <c r="AM519" s="49"/>
      <c r="AN519" s="49"/>
      <c r="AO519" s="49"/>
    </row>
    <row r="520" spans="3:41" ht="12.75" customHeight="1">
      <c r="C520" s="49"/>
      <c r="D520" s="49"/>
      <c r="E520" s="49"/>
      <c r="F520" s="49"/>
      <c r="G520" s="49"/>
      <c r="H520" s="49"/>
      <c r="I520" s="49"/>
      <c r="J520" s="49"/>
      <c r="K520" s="49"/>
      <c r="L520" s="49"/>
      <c r="M520" s="49"/>
      <c r="S520" s="49"/>
      <c r="T520" s="49"/>
      <c r="U520" s="49"/>
      <c r="W520" s="49"/>
      <c r="X520" s="49"/>
      <c r="Y520" s="49"/>
      <c r="Z520" s="49"/>
      <c r="AA520" s="49"/>
      <c r="AB520" s="49"/>
      <c r="AC520" s="49"/>
      <c r="AD520" s="49"/>
      <c r="AE520" s="49"/>
      <c r="AF520" s="49"/>
      <c r="AG520" s="49"/>
      <c r="AH520" s="49"/>
      <c r="AI520" s="49"/>
      <c r="AJ520" s="49"/>
      <c r="AK520" s="49"/>
      <c r="AL520" s="49"/>
      <c r="AM520" s="49"/>
      <c r="AN520" s="49"/>
      <c r="AO520" s="49"/>
    </row>
    <row r="521" spans="3:41" ht="12.75">
      <c r="C521" s="49"/>
      <c r="D521" s="49"/>
      <c r="E521" s="49"/>
      <c r="F521" s="49"/>
      <c r="G521" s="49"/>
      <c r="H521" s="49"/>
      <c r="I521" s="49"/>
      <c r="J521" s="49"/>
      <c r="K521" s="49"/>
      <c r="L521" s="49"/>
      <c r="M521" s="49"/>
      <c r="S521" s="49"/>
      <c r="T521" s="49"/>
      <c r="U521" s="49"/>
      <c r="W521" s="49"/>
      <c r="X521" s="49"/>
      <c r="Y521" s="49"/>
      <c r="Z521" s="49"/>
      <c r="AA521" s="49"/>
      <c r="AB521" s="49"/>
      <c r="AC521" s="49"/>
      <c r="AD521" s="49"/>
      <c r="AE521" s="49"/>
      <c r="AF521" s="49"/>
      <c r="AG521" s="49"/>
      <c r="AH521" s="49"/>
      <c r="AI521" s="49"/>
      <c r="AJ521" s="49"/>
      <c r="AK521" s="49"/>
      <c r="AL521" s="49"/>
      <c r="AM521" s="49"/>
      <c r="AN521" s="49"/>
      <c r="AO521" s="49"/>
    </row>
    <row r="522" spans="3:41" ht="12.75">
      <c r="C522" s="49"/>
      <c r="D522" s="49"/>
      <c r="E522" s="49"/>
      <c r="F522" s="49"/>
      <c r="G522" s="49"/>
      <c r="H522" s="49"/>
      <c r="I522" s="49"/>
      <c r="J522" s="49"/>
      <c r="K522" s="49"/>
      <c r="L522" s="49"/>
      <c r="M522" s="49"/>
      <c r="S522" s="49"/>
      <c r="T522" s="49"/>
      <c r="U522" s="49"/>
      <c r="W522" s="49"/>
      <c r="X522" s="49"/>
      <c r="Y522" s="49"/>
      <c r="Z522" s="49"/>
      <c r="AA522" s="49"/>
      <c r="AB522" s="49"/>
      <c r="AC522" s="49"/>
      <c r="AD522" s="49"/>
      <c r="AE522" s="49"/>
      <c r="AF522" s="49"/>
      <c r="AG522" s="49"/>
      <c r="AH522" s="49"/>
      <c r="AI522" s="49"/>
      <c r="AJ522" s="49"/>
      <c r="AK522" s="49"/>
      <c r="AL522" s="49"/>
      <c r="AM522" s="49"/>
      <c r="AN522" s="49"/>
      <c r="AO522" s="49"/>
    </row>
    <row r="523" spans="3:30" ht="12.75">
      <c r="C523" s="49"/>
      <c r="D523" s="49"/>
      <c r="E523" s="49"/>
      <c r="F523" s="49"/>
      <c r="G523" s="49"/>
      <c r="H523" s="49"/>
      <c r="I523" s="49"/>
      <c r="J523" s="49"/>
      <c r="K523" s="49"/>
      <c r="L523" s="49"/>
      <c r="M523" s="49"/>
      <c r="S523" s="49"/>
      <c r="T523" s="49"/>
      <c r="U523" s="49"/>
      <c r="W523" s="49"/>
      <c r="X523" s="49"/>
      <c r="Y523" s="49"/>
      <c r="Z523" s="49"/>
      <c r="AA523" s="49"/>
      <c r="AB523" s="49"/>
      <c r="AC523" s="49"/>
      <c r="AD523" s="49"/>
    </row>
    <row r="524" spans="3:30" ht="12.75">
      <c r="C524" s="49"/>
      <c r="D524" s="49"/>
      <c r="E524" s="49"/>
      <c r="F524" s="49"/>
      <c r="G524" s="49"/>
      <c r="H524" s="49"/>
      <c r="I524" s="49"/>
      <c r="J524" s="49"/>
      <c r="K524" s="49"/>
      <c r="L524" s="49"/>
      <c r="M524" s="49"/>
      <c r="S524" s="49"/>
      <c r="T524" s="49"/>
      <c r="U524" s="49"/>
      <c r="W524" s="49"/>
      <c r="X524" s="49"/>
      <c r="Y524" s="49"/>
      <c r="Z524" s="49"/>
      <c r="AA524" s="49"/>
      <c r="AB524" s="49"/>
      <c r="AC524" s="49"/>
      <c r="AD524" s="4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9"/>
  <dimension ref="A1:AO519"/>
  <sheetViews>
    <sheetView workbookViewId="0" topLeftCell="A1">
      <pane xSplit="3" topLeftCell="V1" activePane="topRight" state="frozen"/>
      <selection pane="topLeft" activeCell="A30" sqref="A30"/>
      <selection pane="topRight" activeCell="K59" sqref="K59"/>
    </sheetView>
  </sheetViews>
  <sheetFormatPr defaultColWidth="9.140625" defaultRowHeight="12.75"/>
  <cols>
    <col min="1" max="1" width="19.57421875" style="0" customWidth="1"/>
    <col min="2" max="2" width="23.140625" style="0" customWidth="1"/>
    <col min="3" max="3" width="8.7109375" style="0" customWidth="1"/>
    <col min="4" max="4" width="9.28125" style="0" customWidth="1"/>
    <col min="5" max="6" width="8.7109375" style="0" customWidth="1"/>
    <col min="7" max="7" width="12.140625" style="0" customWidth="1"/>
    <col min="8" max="8" width="8.7109375" style="0" customWidth="1"/>
    <col min="9" max="13" width="8.7109375" style="111" customWidth="1"/>
    <col min="14" max="18" width="8.7109375" style="49" customWidth="1"/>
    <col min="19" max="21" width="8.7109375" style="0" customWidth="1"/>
    <col min="22" max="22" width="8.7109375" style="49" customWidth="1"/>
  </cols>
  <sheetData>
    <row r="1" spans="1:7" ht="14.25">
      <c r="A1" s="36" t="s">
        <v>127</v>
      </c>
      <c r="B1" s="37"/>
      <c r="C1" s="37"/>
      <c r="D1" s="37"/>
      <c r="E1" s="37"/>
      <c r="F1" s="37"/>
      <c r="G1" s="37"/>
    </row>
    <row r="2" spans="1:7" ht="12.75">
      <c r="A2" s="105">
        <v>2352</v>
      </c>
      <c r="B2" s="37"/>
      <c r="C2" s="37"/>
      <c r="D2" s="37"/>
      <c r="E2" s="37"/>
      <c r="F2" s="37"/>
      <c r="G2" s="37"/>
    </row>
    <row r="3" spans="1:7" ht="12.75">
      <c r="A3" s="37"/>
      <c r="B3" s="37"/>
      <c r="C3" s="37"/>
      <c r="D3" s="37"/>
      <c r="E3" s="37"/>
      <c r="F3" s="37"/>
      <c r="G3" s="37"/>
    </row>
    <row r="4" spans="1:22" ht="12.75">
      <c r="A4" s="112" t="s">
        <v>32</v>
      </c>
      <c r="B4" s="113"/>
      <c r="C4" s="113"/>
      <c r="D4" s="113"/>
      <c r="E4" s="113"/>
      <c r="F4" s="113"/>
      <c r="G4" s="114"/>
      <c r="H4" s="43"/>
      <c r="I4" s="44" t="s">
        <v>33</v>
      </c>
      <c r="J4" s="45"/>
      <c r="K4" s="45"/>
      <c r="L4" s="45"/>
      <c r="M4" s="45"/>
      <c r="N4" s="45"/>
      <c r="O4"/>
      <c r="P4"/>
      <c r="Q4"/>
      <c r="R4"/>
      <c r="V4"/>
    </row>
    <row r="5" spans="1:22" ht="38.25">
      <c r="A5" s="46" t="s">
        <v>34</v>
      </c>
      <c r="B5" s="46" t="s">
        <v>35</v>
      </c>
      <c r="C5" s="46" t="s">
        <v>128</v>
      </c>
      <c r="D5" s="46" t="s">
        <v>190</v>
      </c>
      <c r="E5" s="46" t="s">
        <v>191</v>
      </c>
      <c r="F5" s="46" t="s">
        <v>192</v>
      </c>
      <c r="G5" s="47" t="s">
        <v>38</v>
      </c>
      <c r="H5" s="47" t="s">
        <v>130</v>
      </c>
      <c r="I5" s="47" t="s">
        <v>39</v>
      </c>
      <c r="J5" s="47" t="s">
        <v>40</v>
      </c>
      <c r="K5" s="47" t="s">
        <v>41</v>
      </c>
      <c r="L5" s="47" t="s">
        <v>42</v>
      </c>
      <c r="M5" s="47" t="s">
        <v>43</v>
      </c>
      <c r="N5" s="47" t="s">
        <v>44</v>
      </c>
      <c r="O5"/>
      <c r="P5"/>
      <c r="Q5"/>
      <c r="R5"/>
      <c r="V5"/>
    </row>
    <row r="6" spans="1:26" ht="12.75" customHeight="1">
      <c r="A6" s="106" t="str">
        <f aca="true" t="shared" si="0" ref="A6:A15">B6</f>
        <v>FLOOR R33 </v>
      </c>
      <c r="B6" s="106" t="str">
        <f>UAOptimizer!AE36</f>
        <v>FLOOR R33 </v>
      </c>
      <c r="C6" s="108">
        <f>UAOptimizer!AJ36</f>
        <v>979.5573723059169</v>
      </c>
      <c r="D6" s="107">
        <v>45</v>
      </c>
      <c r="E6" s="109">
        <f>UAOptimizer!AG36</f>
        <v>355.6224</v>
      </c>
      <c r="F6" s="107">
        <v>0</v>
      </c>
      <c r="G6" s="110" t="s">
        <v>169</v>
      </c>
      <c r="H6" s="49"/>
      <c r="I6" s="49"/>
      <c r="J6" s="49"/>
      <c r="K6" s="49"/>
      <c r="L6" s="49"/>
      <c r="M6" s="49"/>
      <c r="S6" s="49"/>
      <c r="T6" s="49"/>
      <c r="U6" s="49"/>
      <c r="W6" s="49"/>
      <c r="X6" s="49"/>
      <c r="Y6" s="49"/>
      <c r="Z6" s="49"/>
    </row>
    <row r="7" spans="1:26" ht="12.75" customHeight="1">
      <c r="A7" s="106" t="str">
        <f t="shared" si="0"/>
        <v>ATTIC R30 </v>
      </c>
      <c r="B7" s="106" t="str">
        <f>UAOptimizer!AE37</f>
        <v>ATTIC R30 </v>
      </c>
      <c r="C7" s="108">
        <f>UAOptimizer!AJ37</f>
        <v>187.47493114542885</v>
      </c>
      <c r="D7" s="107">
        <v>45</v>
      </c>
      <c r="E7" s="109">
        <f>UAOptimizer!AG37</f>
        <v>94.34880000000001</v>
      </c>
      <c r="F7" s="107">
        <v>0</v>
      </c>
      <c r="G7" s="110" t="s">
        <v>169</v>
      </c>
      <c r="H7" s="49"/>
      <c r="I7" s="49"/>
      <c r="J7" s="49"/>
      <c r="K7" s="49"/>
      <c r="L7" s="49"/>
      <c r="M7" s="49"/>
      <c r="S7" s="49"/>
      <c r="T7" s="49"/>
      <c r="U7" s="49"/>
      <c r="W7" s="49"/>
      <c r="X7" s="49"/>
      <c r="Y7" s="49"/>
      <c r="Z7" s="49"/>
    </row>
    <row r="8" spans="1:26" ht="12.75" customHeight="1">
      <c r="A8" s="106" t="str">
        <f t="shared" si="0"/>
        <v>VAULT R30</v>
      </c>
      <c r="B8" s="106" t="str">
        <f>UAOptimizer!AE38</f>
        <v>VAULT R30</v>
      </c>
      <c r="C8" s="108">
        <f>UAOptimizer!AJ38</f>
        <v>266.2364315032719</v>
      </c>
      <c r="D8" s="107">
        <v>45</v>
      </c>
      <c r="E8" s="109">
        <f>UAOptimizer!AG38</f>
        <v>134.6112</v>
      </c>
      <c r="F8" s="107">
        <v>0</v>
      </c>
      <c r="G8" s="110" t="s">
        <v>169</v>
      </c>
      <c r="H8" s="49"/>
      <c r="I8" s="49"/>
      <c r="J8" s="49"/>
      <c r="K8" s="49"/>
      <c r="L8" s="49"/>
      <c r="M8" s="49"/>
      <c r="S8" s="49"/>
      <c r="T8" s="49"/>
      <c r="U8" s="49"/>
      <c r="W8" s="49"/>
      <c r="X8" s="49"/>
      <c r="Y8" s="49"/>
      <c r="Z8" s="49"/>
    </row>
    <row r="9" spans="1:26" ht="12.75" customHeight="1">
      <c r="A9" s="106" t="str">
        <f t="shared" si="0"/>
        <v>WINDOW CL40</v>
      </c>
      <c r="B9" s="106" t="str">
        <f>UAOptimizer!AE39</f>
        <v>WINDOW CL40</v>
      </c>
      <c r="C9" s="108">
        <f>UAOptimizer!AJ39</f>
        <v>1100.0996066686348</v>
      </c>
      <c r="D9" s="107">
        <v>45</v>
      </c>
      <c r="E9" s="109">
        <f>UAOptimizer!AG39</f>
        <v>674.23</v>
      </c>
      <c r="F9" s="107">
        <v>0</v>
      </c>
      <c r="G9" s="110" t="s">
        <v>169</v>
      </c>
      <c r="H9" s="49"/>
      <c r="I9" s="49"/>
      <c r="J9" s="49"/>
      <c r="K9" s="49"/>
      <c r="L9" s="49"/>
      <c r="M9" s="49"/>
      <c r="S9" s="49"/>
      <c r="T9" s="49"/>
      <c r="U9" s="49"/>
      <c r="W9" s="49"/>
      <c r="X9" s="49"/>
      <c r="Y9" s="49"/>
      <c r="Z9" s="49"/>
    </row>
    <row r="10" spans="1:26" ht="12.75" customHeight="1">
      <c r="A10" s="106" t="str">
        <f t="shared" si="0"/>
        <v>WINDOW CL35</v>
      </c>
      <c r="B10" s="106" t="str">
        <f>UAOptimizer!AE40</f>
        <v>WINDOW CL35</v>
      </c>
      <c r="C10" s="108">
        <f>UAOptimizer!AJ40</f>
        <v>568.1694041722149</v>
      </c>
      <c r="D10" s="107">
        <v>45</v>
      </c>
      <c r="E10" s="109">
        <f>UAOptimizer!AG40</f>
        <v>353</v>
      </c>
      <c r="F10" s="107">
        <v>0</v>
      </c>
      <c r="G10" s="110" t="s">
        <v>169</v>
      </c>
      <c r="H10" s="49"/>
      <c r="I10" s="49"/>
      <c r="J10" s="49"/>
      <c r="K10" s="49"/>
      <c r="L10" s="49"/>
      <c r="M10" s="49"/>
      <c r="S10" s="49"/>
      <c r="T10" s="49"/>
      <c r="U10" s="49"/>
      <c r="W10" s="49"/>
      <c r="X10" s="49"/>
      <c r="Y10" s="49"/>
      <c r="Z10" s="49"/>
    </row>
    <row r="11" spans="1:26" ht="12.75" customHeight="1">
      <c r="A11" s="106" t="str">
        <f t="shared" si="0"/>
        <v>WALL R21 ADV</v>
      </c>
      <c r="B11" s="106" t="str">
        <f>UAOptimizer!AE41</f>
        <v>WALL R21 ADV</v>
      </c>
      <c r="C11" s="108">
        <f>UAOptimizer!AJ41</f>
        <v>211.7909565309128</v>
      </c>
      <c r="D11" s="107">
        <v>45</v>
      </c>
      <c r="E11" s="109">
        <f>UAOptimizer!AG41</f>
        <v>157.2615</v>
      </c>
      <c r="F11" s="107">
        <v>0</v>
      </c>
      <c r="G11" s="110" t="s">
        <v>169</v>
      </c>
      <c r="H11" s="49"/>
      <c r="I11" s="49"/>
      <c r="J11" s="49"/>
      <c r="K11" s="49"/>
      <c r="L11" s="49"/>
      <c r="M11" s="49"/>
      <c r="S11" s="49"/>
      <c r="T11" s="49"/>
      <c r="U11" s="49"/>
      <c r="W11" s="49"/>
      <c r="X11" s="49"/>
      <c r="Y11" s="49"/>
      <c r="Z11" s="49"/>
    </row>
    <row r="12" spans="1:26" ht="12.75" customHeight="1">
      <c r="A12" s="106" t="str">
        <f t="shared" si="0"/>
        <v>ATTIC R38 </v>
      </c>
      <c r="B12" s="106" t="str">
        <f>UAOptimizer!AE42</f>
        <v>ATTIC R38 </v>
      </c>
      <c r="C12" s="108">
        <f>UAOptimizer!AJ42</f>
        <v>181.499006738959</v>
      </c>
      <c r="D12" s="107">
        <v>45</v>
      </c>
      <c r="E12" s="109">
        <f>UAOptimizer!AG42</f>
        <v>141.52320000000003</v>
      </c>
      <c r="F12" s="107">
        <v>0</v>
      </c>
      <c r="G12" s="110" t="s">
        <v>169</v>
      </c>
      <c r="H12" s="49"/>
      <c r="I12" s="49"/>
      <c r="J12" s="49"/>
      <c r="K12" s="49"/>
      <c r="L12" s="49"/>
      <c r="M12" s="49"/>
      <c r="S12" s="49"/>
      <c r="T12" s="49"/>
      <c r="U12" s="49"/>
      <c r="W12" s="49"/>
      <c r="X12" s="49"/>
      <c r="Y12" s="49"/>
      <c r="Z12" s="49"/>
    </row>
    <row r="13" spans="1:26" ht="12.75" customHeight="1">
      <c r="A13" s="106" t="str">
        <f t="shared" si="0"/>
        <v>VAULT  R38 </v>
      </c>
      <c r="B13" s="106" t="str">
        <f>UAOptimizer!AE43</f>
        <v>VAULT  R38 </v>
      </c>
      <c r="C13" s="108">
        <f>UAOptimizer!AJ43</f>
        <v>154.92771534713938</v>
      </c>
      <c r="D13" s="107">
        <v>45</v>
      </c>
      <c r="E13" s="109">
        <f>UAOptimizer!AG43</f>
        <v>201.91680000000002</v>
      </c>
      <c r="F13" s="107">
        <v>0</v>
      </c>
      <c r="G13" s="110" t="s">
        <v>169</v>
      </c>
      <c r="H13" s="49"/>
      <c r="I13" s="49"/>
      <c r="J13" s="49"/>
      <c r="K13" s="49"/>
      <c r="L13" s="49"/>
      <c r="M13" s="49"/>
      <c r="S13" s="49"/>
      <c r="T13" s="49"/>
      <c r="U13" s="49"/>
      <c r="W13" s="49"/>
      <c r="X13" s="49"/>
      <c r="Y13" s="49"/>
      <c r="Z13" s="49"/>
    </row>
    <row r="14" spans="1:26" ht="12.75" customHeight="1">
      <c r="A14" s="106" t="str">
        <f t="shared" si="0"/>
        <v>ATTIC R49 </v>
      </c>
      <c r="B14" s="106" t="str">
        <f>UAOptimizer!AE44</f>
        <v>ATTIC R49 </v>
      </c>
      <c r="C14" s="108">
        <f>UAOptimizer!AJ44</f>
        <v>144.55737943169697</v>
      </c>
      <c r="D14" s="107">
        <v>45</v>
      </c>
      <c r="E14" s="109">
        <f>UAOptimizer!AG44</f>
        <v>212.28480000000002</v>
      </c>
      <c r="F14" s="107">
        <v>0</v>
      </c>
      <c r="G14" s="110" t="s">
        <v>169</v>
      </c>
      <c r="H14" s="49"/>
      <c r="I14" s="49"/>
      <c r="J14" s="49"/>
      <c r="K14" s="49"/>
      <c r="L14" s="49"/>
      <c r="M14" s="49"/>
      <c r="S14" s="49"/>
      <c r="T14" s="49"/>
      <c r="U14" s="49"/>
      <c r="W14" s="49"/>
      <c r="X14" s="49"/>
      <c r="Y14" s="49"/>
      <c r="Z14" s="49"/>
    </row>
    <row r="15" spans="1:26" ht="12.75" customHeight="1">
      <c r="A15" s="106" t="str">
        <f t="shared" si="0"/>
        <v>FLOOR R44</v>
      </c>
      <c r="B15" s="106" t="str">
        <f>UAOptimizer!AE45</f>
        <v>FLOOR R44</v>
      </c>
      <c r="C15" s="108">
        <f>UAOptimizer!AJ45</f>
        <v>154.9899039554939</v>
      </c>
      <c r="D15" s="107">
        <v>45</v>
      </c>
      <c r="E15" s="109">
        <f>UAOptimizer!AG45</f>
        <v>355.6224</v>
      </c>
      <c r="F15" s="107">
        <v>0</v>
      </c>
      <c r="G15" s="110" t="s">
        <v>169</v>
      </c>
      <c r="H15" s="49"/>
      <c r="I15" s="49"/>
      <c r="J15" s="49"/>
      <c r="K15" s="49"/>
      <c r="L15" s="49"/>
      <c r="M15" s="49"/>
      <c r="S15" s="49"/>
      <c r="T15" s="49"/>
      <c r="U15" s="49"/>
      <c r="W15" s="49"/>
      <c r="X15" s="49"/>
      <c r="Y15" s="49"/>
      <c r="Z15" s="49"/>
    </row>
    <row r="16" spans="9:22" ht="12.75" customHeight="1">
      <c r="I16"/>
      <c r="J16"/>
      <c r="K16"/>
      <c r="L16"/>
      <c r="M16"/>
      <c r="N16"/>
      <c r="O16"/>
      <c r="P16"/>
      <c r="Q16"/>
      <c r="R16"/>
      <c r="V16"/>
    </row>
    <row r="17" spans="9:22" ht="12.75" customHeight="1" thickBot="1">
      <c r="I17"/>
      <c r="J17"/>
      <c r="K17"/>
      <c r="L17"/>
      <c r="M17"/>
      <c r="N17"/>
      <c r="O17"/>
      <c r="P17"/>
      <c r="Q17"/>
      <c r="R17"/>
      <c r="V17"/>
    </row>
    <row r="18" spans="1:22" ht="12.75" customHeight="1" thickBot="1">
      <c r="A18" s="86" t="s">
        <v>300</v>
      </c>
      <c r="B18" s="50"/>
      <c r="C18" s="50"/>
      <c r="D18" s="51"/>
      <c r="I18"/>
      <c r="J18"/>
      <c r="K18"/>
      <c r="L18"/>
      <c r="M18"/>
      <c r="N18"/>
      <c r="O18"/>
      <c r="P18"/>
      <c r="Q18"/>
      <c r="R18"/>
      <c r="V18"/>
    </row>
    <row r="19" spans="1:41" ht="12.75" customHeight="1" thickBot="1">
      <c r="A19" s="52" t="s">
        <v>131</v>
      </c>
      <c r="B19" s="53"/>
      <c r="C19" s="54" t="s">
        <v>78</v>
      </c>
      <c r="D19" s="56"/>
      <c r="E19" s="56"/>
      <c r="F19" s="56"/>
      <c r="G19" s="56"/>
      <c r="H19" s="56"/>
      <c r="I19" s="56"/>
      <c r="J19" s="55"/>
      <c r="K19" s="54" t="s">
        <v>45</v>
      </c>
      <c r="L19" s="56"/>
      <c r="M19" s="55"/>
      <c r="N19" s="54" t="s">
        <v>46</v>
      </c>
      <c r="O19" s="56"/>
      <c r="P19" s="56"/>
      <c r="Q19" s="55"/>
      <c r="R19" s="54" t="s">
        <v>47</v>
      </c>
      <c r="S19" s="55"/>
      <c r="T19" s="54" t="s">
        <v>48</v>
      </c>
      <c r="U19" s="56"/>
      <c r="V19" s="56"/>
      <c r="W19" s="56"/>
      <c r="X19" s="55"/>
      <c r="Y19" s="54" t="s">
        <v>49</v>
      </c>
      <c r="Z19" s="56"/>
      <c r="AA19" s="56"/>
      <c r="AB19" s="56"/>
      <c r="AC19" s="55"/>
      <c r="AD19" s="54" t="s">
        <v>79</v>
      </c>
      <c r="AE19" s="56"/>
      <c r="AF19" s="56"/>
      <c r="AG19" s="56"/>
      <c r="AH19" s="56"/>
      <c r="AI19" s="55"/>
      <c r="AJ19" s="54" t="s">
        <v>80</v>
      </c>
      <c r="AK19" s="56"/>
      <c r="AL19" s="56"/>
      <c r="AM19" s="56"/>
      <c r="AN19" s="56"/>
      <c r="AO19" s="55"/>
    </row>
    <row r="20" spans="1:41" ht="51">
      <c r="A20" s="57" t="s">
        <v>51</v>
      </c>
      <c r="B20" s="58" t="s">
        <v>52</v>
      </c>
      <c r="C20" s="59" t="s">
        <v>81</v>
      </c>
      <c r="D20" s="59" t="s">
        <v>82</v>
      </c>
      <c r="E20" s="59" t="s">
        <v>83</v>
      </c>
      <c r="F20" s="59" t="s">
        <v>84</v>
      </c>
      <c r="G20" s="59" t="s">
        <v>150</v>
      </c>
      <c r="H20" s="59" t="s">
        <v>86</v>
      </c>
      <c r="I20" s="59" t="s">
        <v>87</v>
      </c>
      <c r="J20" s="59" t="s">
        <v>88</v>
      </c>
      <c r="K20" s="59" t="s">
        <v>89</v>
      </c>
      <c r="L20" s="59" t="s">
        <v>90</v>
      </c>
      <c r="M20" s="59" t="s">
        <v>91</v>
      </c>
      <c r="N20" s="59" t="s">
        <v>20</v>
      </c>
      <c r="O20" s="59" t="s">
        <v>21</v>
      </c>
      <c r="P20" s="59" t="s">
        <v>22</v>
      </c>
      <c r="Q20" s="59" t="s">
        <v>4</v>
      </c>
      <c r="R20" s="59" t="s">
        <v>53</v>
      </c>
      <c r="S20" s="59" t="s">
        <v>4</v>
      </c>
      <c r="T20" s="59" t="s">
        <v>20</v>
      </c>
      <c r="U20" s="59" t="s">
        <v>21</v>
      </c>
      <c r="V20" s="59" t="s">
        <v>22</v>
      </c>
      <c r="W20" s="59" t="s">
        <v>4</v>
      </c>
      <c r="X20" s="59" t="s">
        <v>57</v>
      </c>
      <c r="Y20" s="59" t="s">
        <v>20</v>
      </c>
      <c r="Z20" s="59" t="s">
        <v>21</v>
      </c>
      <c r="AA20" s="59" t="s">
        <v>22</v>
      </c>
      <c r="AB20" s="59" t="s">
        <v>4</v>
      </c>
      <c r="AC20" s="59" t="s">
        <v>57</v>
      </c>
      <c r="AD20" s="59" t="s">
        <v>92</v>
      </c>
      <c r="AE20" s="59" t="s">
        <v>93</v>
      </c>
      <c r="AF20" s="59" t="s">
        <v>56</v>
      </c>
      <c r="AG20" s="59" t="s">
        <v>94</v>
      </c>
      <c r="AH20" s="59" t="s">
        <v>95</v>
      </c>
      <c r="AI20" s="59" t="s">
        <v>96</v>
      </c>
      <c r="AJ20" s="59" t="s">
        <v>97</v>
      </c>
      <c r="AK20" s="59" t="s">
        <v>54</v>
      </c>
      <c r="AL20" s="59" t="s">
        <v>55</v>
      </c>
      <c r="AM20" s="59" t="s">
        <v>98</v>
      </c>
      <c r="AN20" s="59" t="s">
        <v>99</v>
      </c>
      <c r="AO20" s="59" t="s">
        <v>100</v>
      </c>
    </row>
    <row r="21" spans="1:41" ht="12.75" customHeight="1">
      <c r="A21" t="s">
        <v>174</v>
      </c>
      <c r="B21" t="s">
        <v>175</v>
      </c>
      <c r="C21" s="49">
        <v>45</v>
      </c>
      <c r="D21" s="49">
        <v>979.5573723059169</v>
      </c>
      <c r="E21" s="49">
        <v>355.62</v>
      </c>
      <c r="F21" s="49">
        <v>0</v>
      </c>
      <c r="G21" s="49">
        <v>0</v>
      </c>
      <c r="H21" s="49" t="s">
        <v>169</v>
      </c>
      <c r="I21" s="49">
        <v>0.178</v>
      </c>
      <c r="J21" s="49">
        <v>0.3659999966621399</v>
      </c>
      <c r="K21" s="49">
        <v>1054.248621944243</v>
      </c>
      <c r="L21" s="60">
        <v>0.2474571546564174</v>
      </c>
      <c r="M21" s="49">
        <v>0.6761124505824759</v>
      </c>
      <c r="P21" s="49">
        <v>355.62247588334947</v>
      </c>
      <c r="Q21" s="49">
        <v>0</v>
      </c>
      <c r="R21" s="49">
        <v>0</v>
      </c>
      <c r="S21" s="49">
        <v>0</v>
      </c>
      <c r="T21" s="49">
        <v>0</v>
      </c>
      <c r="U21" s="49">
        <v>0</v>
      </c>
      <c r="V21" s="49">
        <v>355.62247588334947</v>
      </c>
      <c r="W21" s="49">
        <v>0</v>
      </c>
      <c r="X21" s="49">
        <v>355.62247588334947</v>
      </c>
      <c r="Y21" s="49">
        <v>0</v>
      </c>
      <c r="Z21" s="49">
        <v>0</v>
      </c>
      <c r="AA21" s="49">
        <v>18.288820266723633</v>
      </c>
      <c r="AB21" s="49">
        <v>0</v>
      </c>
      <c r="AC21" s="49">
        <v>18.28882054672524</v>
      </c>
      <c r="AD21" s="49">
        <v>437.86097593106024</v>
      </c>
      <c r="AE21" s="49">
        <v>13.69246793001114</v>
      </c>
      <c r="AF21" s="49">
        <v>68.90303039550781</v>
      </c>
      <c r="AG21" s="49">
        <v>519.8355745776619</v>
      </c>
      <c r="AH21" s="49">
        <v>355.62247588334947</v>
      </c>
      <c r="AI21" s="48">
        <v>1.461762430190653</v>
      </c>
      <c r="AJ21" s="49">
        <v>249.4074249267578</v>
      </c>
      <c r="AK21" s="49">
        <v>0</v>
      </c>
      <c r="AL21" s="49">
        <v>0</v>
      </c>
      <c r="AM21" s="49">
        <v>769.2429809570312</v>
      </c>
      <c r="AN21" s="49">
        <v>355.62247588334947</v>
      </c>
      <c r="AO21" s="48">
        <v>2.163088798522949</v>
      </c>
    </row>
    <row r="22" spans="1:41" ht="12.75" customHeight="1">
      <c r="A22" t="s">
        <v>178</v>
      </c>
      <c r="B22" t="s">
        <v>179</v>
      </c>
      <c r="C22" s="49">
        <v>45</v>
      </c>
      <c r="D22" s="49">
        <v>187.47493114542885</v>
      </c>
      <c r="E22" s="49">
        <v>94.35</v>
      </c>
      <c r="F22" s="49">
        <v>0</v>
      </c>
      <c r="G22" s="49">
        <v>0</v>
      </c>
      <c r="H22" s="49" t="s">
        <v>169</v>
      </c>
      <c r="I22" s="49">
        <v>0.178</v>
      </c>
      <c r="J22" s="49">
        <v>0.3659999966621399</v>
      </c>
      <c r="K22" s="49">
        <v>201.7698946452678</v>
      </c>
      <c r="L22" s="60">
        <v>0.04736017954869448</v>
      </c>
      <c r="M22" s="49">
        <v>0.12939939885413</v>
      </c>
      <c r="P22" s="49">
        <v>94.34882013231719</v>
      </c>
      <c r="Q22" s="49">
        <v>0</v>
      </c>
      <c r="R22" s="49">
        <v>0</v>
      </c>
      <c r="S22" s="49">
        <v>0</v>
      </c>
      <c r="T22" s="49">
        <v>0</v>
      </c>
      <c r="U22" s="49">
        <v>0</v>
      </c>
      <c r="V22" s="49">
        <v>94.34882013231719</v>
      </c>
      <c r="W22" s="49">
        <v>0</v>
      </c>
      <c r="X22" s="49">
        <v>94.34882013231719</v>
      </c>
      <c r="Y22" s="49">
        <v>0</v>
      </c>
      <c r="Z22" s="49">
        <v>0</v>
      </c>
      <c r="AA22" s="49">
        <v>25.352432250976562</v>
      </c>
      <c r="AB22" s="49">
        <v>0</v>
      </c>
      <c r="AC22" s="49">
        <v>25.352433113654314</v>
      </c>
      <c r="AD22" s="49">
        <v>83.8010703964256</v>
      </c>
      <c r="AE22" s="49">
        <v>2.6205657319969173</v>
      </c>
      <c r="AF22" s="49">
        <v>13.18717098236084</v>
      </c>
      <c r="AG22" s="49">
        <v>99.4899747403228</v>
      </c>
      <c r="AH22" s="49">
        <v>94.34882013231719</v>
      </c>
      <c r="AI22" s="48">
        <v>1.0544909263390418</v>
      </c>
      <c r="AJ22" s="49">
        <v>47.733428955078125</v>
      </c>
      <c r="AK22" s="49">
        <v>0</v>
      </c>
      <c r="AL22" s="49">
        <v>0</v>
      </c>
      <c r="AM22" s="49">
        <v>147.22340393066406</v>
      </c>
      <c r="AN22" s="49">
        <v>94.34882013231719</v>
      </c>
      <c r="AO22" s="48">
        <v>1.5604159832000732</v>
      </c>
    </row>
    <row r="23" spans="1:41" ht="12.75" customHeight="1">
      <c r="A23" t="s">
        <v>180</v>
      </c>
      <c r="B23" t="s">
        <v>180</v>
      </c>
      <c r="C23" s="49">
        <v>45</v>
      </c>
      <c r="D23" s="49">
        <v>266.2364315032719</v>
      </c>
      <c r="E23" s="49">
        <v>134.61</v>
      </c>
      <c r="F23" s="49">
        <v>0</v>
      </c>
      <c r="G23" s="49">
        <v>0</v>
      </c>
      <c r="H23" s="49" t="s">
        <v>169</v>
      </c>
      <c r="I23" s="49">
        <v>0.178</v>
      </c>
      <c r="J23" s="49">
        <v>0.3659999966621399</v>
      </c>
      <c r="K23" s="49">
        <v>286.5369594053964</v>
      </c>
      <c r="L23" s="60">
        <v>0.0672570200258804</v>
      </c>
      <c r="M23" s="49">
        <v>0.18376235147337</v>
      </c>
      <c r="P23" s="49">
        <v>134.61122872358075</v>
      </c>
      <c r="Q23" s="49">
        <v>0</v>
      </c>
      <c r="R23" s="49">
        <v>0</v>
      </c>
      <c r="S23" s="49">
        <v>0</v>
      </c>
      <c r="T23" s="49">
        <v>0</v>
      </c>
      <c r="U23" s="49">
        <v>0</v>
      </c>
      <c r="V23" s="49">
        <v>134.61122872358075</v>
      </c>
      <c r="W23" s="49">
        <v>0</v>
      </c>
      <c r="X23" s="49">
        <v>134.61122872358075</v>
      </c>
      <c r="Y23" s="49">
        <v>0</v>
      </c>
      <c r="Z23" s="49">
        <v>0</v>
      </c>
      <c r="AA23" s="49">
        <v>25.470659255981445</v>
      </c>
      <c r="AB23" s="49">
        <v>0</v>
      </c>
      <c r="AC23" s="49">
        <v>25.47065889347078</v>
      </c>
      <c r="AD23" s="49">
        <v>119.00736702333636</v>
      </c>
      <c r="AE23" s="49">
        <v>3.7215112695009003</v>
      </c>
      <c r="AF23" s="49">
        <v>18.727333068847656</v>
      </c>
      <c r="AG23" s="49">
        <v>141.28745543221106</v>
      </c>
      <c r="AH23" s="49">
        <v>134.61122872358075</v>
      </c>
      <c r="AI23" s="48">
        <v>1.0495963581339838</v>
      </c>
      <c r="AJ23" s="49">
        <v>67.78707885742188</v>
      </c>
      <c r="AK23" s="49">
        <v>0</v>
      </c>
      <c r="AL23" s="49">
        <v>0</v>
      </c>
      <c r="AM23" s="49">
        <v>209.0745391845703</v>
      </c>
      <c r="AN23" s="49">
        <v>134.61122872358075</v>
      </c>
      <c r="AO23" s="48">
        <v>1.5531730651855469</v>
      </c>
    </row>
    <row r="24" spans="1:41" ht="12.75" customHeight="1">
      <c r="A24" t="s">
        <v>218</v>
      </c>
      <c r="B24" t="s">
        <v>218</v>
      </c>
      <c r="C24" s="49">
        <v>45</v>
      </c>
      <c r="D24" s="49">
        <v>1100.0996066686348</v>
      </c>
      <c r="E24" s="49">
        <v>674.23</v>
      </c>
      <c r="F24" s="49">
        <v>0</v>
      </c>
      <c r="G24" s="49">
        <v>0</v>
      </c>
      <c r="H24" s="49" t="s">
        <v>169</v>
      </c>
      <c r="I24" s="49">
        <v>0.178</v>
      </c>
      <c r="J24" s="49">
        <v>0.3659999966621399</v>
      </c>
      <c r="K24" s="49">
        <v>1183.9822016771182</v>
      </c>
      <c r="L24" s="60">
        <v>0.2779087026460022</v>
      </c>
      <c r="M24" s="49">
        <v>0.7593134021324702</v>
      </c>
      <c r="P24" s="49">
        <v>674.2301438684141</v>
      </c>
      <c r="Q24" s="49">
        <v>0</v>
      </c>
      <c r="R24" s="49">
        <v>0</v>
      </c>
      <c r="S24" s="49">
        <v>0</v>
      </c>
      <c r="T24" s="49">
        <v>0</v>
      </c>
      <c r="U24" s="49">
        <v>0</v>
      </c>
      <c r="V24" s="49">
        <v>674.2301438684141</v>
      </c>
      <c r="W24" s="49">
        <v>0</v>
      </c>
      <c r="X24" s="49">
        <v>674.2301438684141</v>
      </c>
      <c r="Y24" s="49">
        <v>0</v>
      </c>
      <c r="Z24" s="49">
        <v>0</v>
      </c>
      <c r="AA24" s="49">
        <v>30.874685287475586</v>
      </c>
      <c r="AB24" s="49">
        <v>0</v>
      </c>
      <c r="AC24" s="49">
        <v>30.874684671136293</v>
      </c>
      <c r="AD24" s="49">
        <v>491.743210776296</v>
      </c>
      <c r="AE24" s="49">
        <v>15.377433736902073</v>
      </c>
      <c r="AF24" s="49">
        <v>77.38209533691406</v>
      </c>
      <c r="AG24" s="49">
        <v>583.8054335851921</v>
      </c>
      <c r="AH24" s="49">
        <v>674.2301438684141</v>
      </c>
      <c r="AI24" s="69">
        <v>0.8658845038217845</v>
      </c>
      <c r="AJ24" s="49">
        <v>280.0989990234375</v>
      </c>
      <c r="AK24" s="49">
        <v>0</v>
      </c>
      <c r="AL24" s="49">
        <v>0</v>
      </c>
      <c r="AM24" s="49">
        <v>863.9044189453125</v>
      </c>
      <c r="AN24" s="49">
        <v>674.2301438684141</v>
      </c>
      <c r="AO24" s="48">
        <v>1.2813197374343872</v>
      </c>
    </row>
    <row r="25" spans="1:41" ht="12.75" customHeight="1">
      <c r="A25" t="s">
        <v>181</v>
      </c>
      <c r="B25" t="s">
        <v>181</v>
      </c>
      <c r="C25" s="49">
        <v>45</v>
      </c>
      <c r="D25" s="49">
        <v>568.1694041722149</v>
      </c>
      <c r="E25" s="49">
        <v>353</v>
      </c>
      <c r="F25" s="49">
        <v>0</v>
      </c>
      <c r="G25" s="49">
        <v>0</v>
      </c>
      <c r="H25" s="49" t="s">
        <v>169</v>
      </c>
      <c r="I25" s="49">
        <v>0.178</v>
      </c>
      <c r="J25" s="49">
        <v>0.3659999966621399</v>
      </c>
      <c r="K25" s="49">
        <v>611.4923212403462</v>
      </c>
      <c r="L25" s="60">
        <v>0.14353175025196946</v>
      </c>
      <c r="M25" s="49">
        <v>0.39216325563102605</v>
      </c>
      <c r="P25" s="49">
        <v>353.00007532377697</v>
      </c>
      <c r="Q25" s="49">
        <v>0</v>
      </c>
      <c r="R25" s="49">
        <v>0</v>
      </c>
      <c r="S25" s="49">
        <v>0</v>
      </c>
      <c r="T25" s="49">
        <v>0</v>
      </c>
      <c r="U25" s="49">
        <v>0</v>
      </c>
      <c r="V25" s="49">
        <v>353.00007532377697</v>
      </c>
      <c r="W25" s="49">
        <v>0</v>
      </c>
      <c r="X25" s="49">
        <v>353.00007532377697</v>
      </c>
      <c r="Y25" s="49">
        <v>0</v>
      </c>
      <c r="Z25" s="49">
        <v>0</v>
      </c>
      <c r="AA25" s="49">
        <v>31.298486709594727</v>
      </c>
      <c r="AB25" s="49">
        <v>0</v>
      </c>
      <c r="AC25" s="49">
        <v>31.298485973553777</v>
      </c>
      <c r="AD25" s="49">
        <v>253.97104532976775</v>
      </c>
      <c r="AE25" s="49">
        <v>7.941996625606531</v>
      </c>
      <c r="AF25" s="49">
        <v>39.96559524536133</v>
      </c>
      <c r="AG25" s="49">
        <v>301.5184988253889</v>
      </c>
      <c r="AH25" s="49">
        <v>353.00007532377697</v>
      </c>
      <c r="AI25" s="69">
        <v>0.8541598710675391</v>
      </c>
      <c r="AJ25" s="49">
        <v>144.66293334960938</v>
      </c>
      <c r="AK25" s="49">
        <v>0</v>
      </c>
      <c r="AL25" s="49">
        <v>0</v>
      </c>
      <c r="AM25" s="49">
        <v>446.1814270019531</v>
      </c>
      <c r="AN25" s="49">
        <v>353.00007532377697</v>
      </c>
      <c r="AO25" s="48">
        <v>1.2639697790145874</v>
      </c>
    </row>
    <row r="26" spans="1:41" ht="12.75" customHeight="1">
      <c r="A26" t="s">
        <v>182</v>
      </c>
      <c r="B26" t="s">
        <v>182</v>
      </c>
      <c r="C26" s="49">
        <v>45</v>
      </c>
      <c r="D26" s="49">
        <v>211.7909565309128</v>
      </c>
      <c r="E26" s="49">
        <v>157.26</v>
      </c>
      <c r="F26" s="49">
        <v>0</v>
      </c>
      <c r="G26" s="49">
        <v>0</v>
      </c>
      <c r="H26" s="49" t="s">
        <v>169</v>
      </c>
      <c r="I26" s="49">
        <v>0.178</v>
      </c>
      <c r="J26" s="49">
        <v>0.3659999966621399</v>
      </c>
      <c r="K26" s="49">
        <v>227.9400169663949</v>
      </c>
      <c r="L26" s="60">
        <v>0.053502927921135805</v>
      </c>
      <c r="M26" s="49">
        <v>0.146182864505666</v>
      </c>
      <c r="P26" s="49">
        <v>157.26153355674265</v>
      </c>
      <c r="Q26" s="49">
        <v>0</v>
      </c>
      <c r="R26" s="49">
        <v>0</v>
      </c>
      <c r="S26" s="49">
        <v>0</v>
      </c>
      <c r="T26" s="49">
        <v>0</v>
      </c>
      <c r="U26" s="49">
        <v>0</v>
      </c>
      <c r="V26" s="49">
        <v>157.26153355674265</v>
      </c>
      <c r="W26" s="49">
        <v>0</v>
      </c>
      <c r="X26" s="49">
        <v>157.26153355674265</v>
      </c>
      <c r="Y26" s="49">
        <v>0</v>
      </c>
      <c r="Z26" s="49">
        <v>0</v>
      </c>
      <c r="AA26" s="49">
        <v>37.4060173034668</v>
      </c>
      <c r="AB26" s="49">
        <v>0</v>
      </c>
      <c r="AC26" s="49">
        <v>37.4060172227453</v>
      </c>
      <c r="AD26" s="49">
        <v>94.6703047129298</v>
      </c>
      <c r="AE26" s="49">
        <v>2.96046047138549</v>
      </c>
      <c r="AF26" s="49">
        <v>14.897583961486816</v>
      </c>
      <c r="AG26" s="49">
        <v>112.39410388296665</v>
      </c>
      <c r="AH26" s="49">
        <v>157.26153355674265</v>
      </c>
      <c r="AI26" s="69">
        <v>0.7146954588384001</v>
      </c>
      <c r="AJ26" s="49">
        <v>53.92459487915039</v>
      </c>
      <c r="AK26" s="49">
        <v>0</v>
      </c>
      <c r="AL26" s="49">
        <v>0</v>
      </c>
      <c r="AM26" s="49">
        <v>166.31869506835938</v>
      </c>
      <c r="AN26" s="49">
        <v>157.26153355674265</v>
      </c>
      <c r="AO26" s="48">
        <v>1.0575929880142212</v>
      </c>
    </row>
    <row r="27" spans="1:41" ht="12.75" customHeight="1">
      <c r="A27" t="s">
        <v>183</v>
      </c>
      <c r="B27" t="s">
        <v>184</v>
      </c>
      <c r="C27" s="49">
        <v>45</v>
      </c>
      <c r="D27" s="49">
        <v>181.499006738959</v>
      </c>
      <c r="E27" s="49">
        <v>141.52</v>
      </c>
      <c r="F27" s="49">
        <v>0</v>
      </c>
      <c r="G27" s="49">
        <v>0</v>
      </c>
      <c r="H27" s="49" t="s">
        <v>169</v>
      </c>
      <c r="I27" s="49">
        <v>0.178</v>
      </c>
      <c r="J27" s="49">
        <v>0.3659999966621399</v>
      </c>
      <c r="K27" s="49">
        <v>195.33830600280461</v>
      </c>
      <c r="L27" s="60">
        <v>0.0458505331595445</v>
      </c>
      <c r="M27" s="49">
        <v>0.1252746819062674</v>
      </c>
      <c r="P27" s="49">
        <v>141.5232301984758</v>
      </c>
      <c r="Q27" s="49">
        <v>0</v>
      </c>
      <c r="R27" s="49">
        <v>0</v>
      </c>
      <c r="S27" s="49">
        <v>0</v>
      </c>
      <c r="T27" s="49">
        <v>0</v>
      </c>
      <c r="U27" s="49">
        <v>0</v>
      </c>
      <c r="V27" s="49">
        <v>141.5232301984758</v>
      </c>
      <c r="W27" s="49">
        <v>0</v>
      </c>
      <c r="X27" s="49">
        <v>141.5232301984758</v>
      </c>
      <c r="Y27" s="49">
        <v>0</v>
      </c>
      <c r="Z27" s="49">
        <v>0</v>
      </c>
      <c r="AA27" s="49">
        <v>39.280757904052734</v>
      </c>
      <c r="AB27" s="49">
        <v>0</v>
      </c>
      <c r="AC27" s="49">
        <v>39.28075754585831</v>
      </c>
      <c r="AD27" s="49">
        <v>81.12983932136613</v>
      </c>
      <c r="AE27" s="49">
        <v>2.537032949128732</v>
      </c>
      <c r="AF27" s="49">
        <v>12.76681900024414</v>
      </c>
      <c r="AG27" s="49">
        <v>96.31864678412283</v>
      </c>
      <c r="AH27" s="49">
        <v>141.5232301984758</v>
      </c>
      <c r="AI27" s="69">
        <v>0.6805854180196643</v>
      </c>
      <c r="AJ27" s="49">
        <v>46.211891174316406</v>
      </c>
      <c r="AK27" s="49">
        <v>0</v>
      </c>
      <c r="AL27" s="49">
        <v>0</v>
      </c>
      <c r="AM27" s="49">
        <v>142.53053283691406</v>
      </c>
      <c r="AN27" s="49">
        <v>141.5232301984758</v>
      </c>
      <c r="AO27" s="48">
        <v>1.0071176290512085</v>
      </c>
    </row>
    <row r="28" spans="1:41" ht="12.75" customHeight="1">
      <c r="A28" t="s">
        <v>185</v>
      </c>
      <c r="B28" t="s">
        <v>186</v>
      </c>
      <c r="C28" s="49">
        <v>45</v>
      </c>
      <c r="D28" s="49">
        <v>154.92771534713938</v>
      </c>
      <c r="E28" s="49">
        <v>201.92</v>
      </c>
      <c r="F28" s="49">
        <v>0</v>
      </c>
      <c r="G28" s="49">
        <v>0</v>
      </c>
      <c r="H28" s="49" t="s">
        <v>169</v>
      </c>
      <c r="I28" s="49">
        <v>0.178</v>
      </c>
      <c r="J28" s="49">
        <v>0.3659999966621399</v>
      </c>
      <c r="K28" s="49">
        <v>166.74095364235873</v>
      </c>
      <c r="L28" s="60">
        <v>0.03913805633147691</v>
      </c>
      <c r="M28" s="49">
        <v>0.10693458111587319</v>
      </c>
      <c r="P28" s="49">
        <v>201.91684308537114</v>
      </c>
      <c r="Q28" s="49">
        <v>0</v>
      </c>
      <c r="R28" s="49">
        <v>0</v>
      </c>
      <c r="S28" s="49">
        <v>0</v>
      </c>
      <c r="T28" s="49">
        <v>0</v>
      </c>
      <c r="U28" s="49">
        <v>0</v>
      </c>
      <c r="V28" s="49">
        <v>201.91684308537114</v>
      </c>
      <c r="W28" s="49">
        <v>0</v>
      </c>
      <c r="X28" s="49">
        <v>201.91684308537114</v>
      </c>
      <c r="Y28" s="49">
        <v>0</v>
      </c>
      <c r="Z28" s="49">
        <v>0</v>
      </c>
      <c r="AA28" s="49">
        <v>65.65530395507812</v>
      </c>
      <c r="AB28" s="49">
        <v>0</v>
      </c>
      <c r="AC28" s="49">
        <v>65.65530237737364</v>
      </c>
      <c r="AD28" s="49">
        <v>69.25250379258263</v>
      </c>
      <c r="AE28" s="49">
        <v>2.1656136065485123</v>
      </c>
      <c r="AF28" s="49">
        <v>10.8977689743042</v>
      </c>
      <c r="AG28" s="49">
        <v>82.21768429621757</v>
      </c>
      <c r="AH28" s="49">
        <v>201.91684308537114</v>
      </c>
      <c r="AI28" s="69">
        <v>0.40718586443754795</v>
      </c>
      <c r="AJ28" s="49">
        <v>39.44651794433594</v>
      </c>
      <c r="AK28" s="49">
        <v>0</v>
      </c>
      <c r="AL28" s="49">
        <v>0</v>
      </c>
      <c r="AM28" s="49">
        <v>121.66419982910156</v>
      </c>
      <c r="AN28" s="49">
        <v>201.91684308537114</v>
      </c>
      <c r="AO28" s="69">
        <v>0.6025460958480835</v>
      </c>
    </row>
    <row r="29" spans="1:41" ht="12.75" customHeight="1">
      <c r="A29" t="s">
        <v>187</v>
      </c>
      <c r="B29" t="s">
        <v>188</v>
      </c>
      <c r="C29" s="49">
        <v>45</v>
      </c>
      <c r="D29" s="49">
        <v>144.55737943169697</v>
      </c>
      <c r="E29" s="49">
        <v>212.28</v>
      </c>
      <c r="F29" s="49">
        <v>0</v>
      </c>
      <c r="G29" s="49">
        <v>0</v>
      </c>
      <c r="H29" s="49" t="s">
        <v>169</v>
      </c>
      <c r="I29" s="49">
        <v>0.178</v>
      </c>
      <c r="J29" s="49">
        <v>0.3659999966621399</v>
      </c>
      <c r="K29" s="49">
        <v>155.57987961336386</v>
      </c>
      <c r="L29" s="60">
        <v>0.03651828755527378</v>
      </c>
      <c r="M29" s="49">
        <v>0.09977674286424751</v>
      </c>
      <c r="P29" s="49">
        <v>212.28484529771367</v>
      </c>
      <c r="Q29" s="49">
        <v>0</v>
      </c>
      <c r="R29" s="49">
        <v>0</v>
      </c>
      <c r="S29" s="49">
        <v>0</v>
      </c>
      <c r="T29" s="49">
        <v>0</v>
      </c>
      <c r="U29" s="49">
        <v>0</v>
      </c>
      <c r="V29" s="49">
        <v>212.28484529771367</v>
      </c>
      <c r="W29" s="49">
        <v>0</v>
      </c>
      <c r="X29" s="49">
        <v>212.28484529771367</v>
      </c>
      <c r="Y29" s="49">
        <v>0</v>
      </c>
      <c r="Z29" s="49">
        <v>0</v>
      </c>
      <c r="AA29" s="49">
        <v>73.97843170166016</v>
      </c>
      <c r="AB29" s="49">
        <v>0</v>
      </c>
      <c r="AC29" s="49">
        <v>73.97842821883525</v>
      </c>
      <c r="AD29" s="49">
        <v>64.61697601948318</v>
      </c>
      <c r="AE29" s="49">
        <v>2.020654775182286</v>
      </c>
      <c r="AF29" s="49">
        <v>10.16830825805664</v>
      </c>
      <c r="AG29" s="49">
        <v>76.71431028955638</v>
      </c>
      <c r="AH29" s="49">
        <v>212.28484529771367</v>
      </c>
      <c r="AI29" s="69">
        <v>0.361374407965723</v>
      </c>
      <c r="AJ29" s="49">
        <v>36.806095123291016</v>
      </c>
      <c r="AK29" s="49">
        <v>0</v>
      </c>
      <c r="AL29" s="49">
        <v>0</v>
      </c>
      <c r="AM29" s="49">
        <v>113.5204086303711</v>
      </c>
      <c r="AN29" s="49">
        <v>212.28484529771367</v>
      </c>
      <c r="AO29" s="69">
        <v>0.5347551107406616</v>
      </c>
    </row>
    <row r="30" spans="1:41" ht="12.75" customHeight="1">
      <c r="A30" t="s">
        <v>189</v>
      </c>
      <c r="B30" t="s">
        <v>189</v>
      </c>
      <c r="C30" s="49">
        <v>45</v>
      </c>
      <c r="D30" s="49">
        <v>154.9899039554939</v>
      </c>
      <c r="E30" s="49">
        <v>355.62</v>
      </c>
      <c r="F30" s="49">
        <v>0</v>
      </c>
      <c r="G30" s="49">
        <v>0</v>
      </c>
      <c r="H30" s="49" t="s">
        <v>169</v>
      </c>
      <c r="I30" s="49">
        <v>0.178</v>
      </c>
      <c r="J30" s="49">
        <v>0.3659999966621399</v>
      </c>
      <c r="K30" s="49">
        <v>166.8078841321003</v>
      </c>
      <c r="L30" s="60">
        <v>0.03915376650477613</v>
      </c>
      <c r="M30" s="49">
        <v>0.10697750508702754</v>
      </c>
      <c r="P30" s="49">
        <v>355.62247588334947</v>
      </c>
      <c r="Q30" s="49">
        <v>0</v>
      </c>
      <c r="R30" s="49">
        <v>0</v>
      </c>
      <c r="S30" s="49">
        <v>0</v>
      </c>
      <c r="T30" s="49">
        <v>0</v>
      </c>
      <c r="U30" s="49">
        <v>0</v>
      </c>
      <c r="V30" s="49">
        <v>355.62247588334947</v>
      </c>
      <c r="W30" s="49">
        <v>0</v>
      </c>
      <c r="X30" s="49">
        <v>355.62247588334947</v>
      </c>
      <c r="Y30" s="49">
        <v>0</v>
      </c>
      <c r="Z30" s="49">
        <v>0</v>
      </c>
      <c r="AA30" s="49">
        <v>115.58784484863281</v>
      </c>
      <c r="AB30" s="49">
        <v>0</v>
      </c>
      <c r="AC30" s="49">
        <v>115.58784501517599</v>
      </c>
      <c r="AD30" s="49">
        <v>69.2803020262704</v>
      </c>
      <c r="AE30" s="49">
        <v>2.1664828925644017</v>
      </c>
      <c r="AF30" s="49">
        <v>10.902143478393555</v>
      </c>
      <c r="AG30" s="49">
        <v>82.25068690130163</v>
      </c>
      <c r="AH30" s="49">
        <v>355.62247588334947</v>
      </c>
      <c r="AI30" s="69">
        <v>0.23128652568146826</v>
      </c>
      <c r="AJ30" s="49">
        <v>39.46235275268555</v>
      </c>
      <c r="AK30" s="49">
        <v>0</v>
      </c>
      <c r="AL30" s="49">
        <v>0</v>
      </c>
      <c r="AM30" s="49">
        <v>121.71304321289062</v>
      </c>
      <c r="AN30" s="49">
        <v>355.62247588334947</v>
      </c>
      <c r="AO30" s="69">
        <v>0.34225350618362427</v>
      </c>
    </row>
    <row r="31" spans="3:41" ht="12.75" customHeight="1">
      <c r="C31" s="49"/>
      <c r="D31" s="49"/>
      <c r="E31" s="49"/>
      <c r="F31" s="49"/>
      <c r="G31" s="49"/>
      <c r="H31" s="49"/>
      <c r="I31" s="49"/>
      <c r="J31" s="49"/>
      <c r="K31" s="49"/>
      <c r="L31" s="60"/>
      <c r="M31" s="49"/>
      <c r="S31" s="49"/>
      <c r="T31" s="49"/>
      <c r="U31" s="49"/>
      <c r="W31" s="49"/>
      <c r="X31" s="49"/>
      <c r="Y31" s="49"/>
      <c r="Z31" s="49"/>
      <c r="AA31" s="49"/>
      <c r="AB31" s="49"/>
      <c r="AC31" s="49"/>
      <c r="AD31" s="49"/>
      <c r="AE31" s="49"/>
      <c r="AF31" s="49"/>
      <c r="AG31" s="49"/>
      <c r="AH31" s="49"/>
      <c r="AI31" s="49"/>
      <c r="AJ31" s="49"/>
      <c r="AK31" s="49"/>
      <c r="AL31" s="49"/>
      <c r="AM31" s="49"/>
      <c r="AN31" s="49"/>
      <c r="AO31" s="61"/>
    </row>
    <row r="32" spans="3:41" ht="12.75" customHeight="1" thickBot="1">
      <c r="C32" s="49"/>
      <c r="D32" s="49"/>
      <c r="E32" s="49"/>
      <c r="F32" s="49"/>
      <c r="G32" s="49"/>
      <c r="H32" s="49"/>
      <c r="I32" s="49"/>
      <c r="J32" s="49"/>
      <c r="K32" s="49"/>
      <c r="L32" s="49"/>
      <c r="M32" s="49"/>
      <c r="S32" s="49"/>
      <c r="T32" s="49"/>
      <c r="U32" s="49"/>
      <c r="W32" s="49"/>
      <c r="X32" s="49"/>
      <c r="Y32" s="49"/>
      <c r="Z32" s="49"/>
      <c r="AA32" s="49"/>
      <c r="AB32" s="49"/>
      <c r="AC32" s="49"/>
      <c r="AD32" s="49"/>
      <c r="AE32" s="49"/>
      <c r="AF32" s="49"/>
      <c r="AG32" s="49"/>
      <c r="AH32" s="49"/>
      <c r="AI32" s="49"/>
      <c r="AJ32" s="49"/>
      <c r="AK32" s="49"/>
      <c r="AL32" s="49"/>
      <c r="AM32" s="49"/>
      <c r="AN32" s="49"/>
      <c r="AO32" s="49"/>
    </row>
    <row r="33" spans="1:41" ht="12.75" customHeight="1" thickBot="1">
      <c r="A33" s="62" t="s">
        <v>132</v>
      </c>
      <c r="B33" s="71"/>
      <c r="C33" s="72" t="s">
        <v>101</v>
      </c>
      <c r="D33" s="63"/>
      <c r="E33" s="63"/>
      <c r="F33" s="63"/>
      <c r="G33" s="63"/>
      <c r="H33" s="63"/>
      <c r="I33" s="63"/>
      <c r="J33" s="64"/>
      <c r="K33" s="72" t="s">
        <v>45</v>
      </c>
      <c r="L33" s="63"/>
      <c r="M33" s="64"/>
      <c r="N33" s="72" t="s">
        <v>102</v>
      </c>
      <c r="O33" s="63"/>
      <c r="P33" s="63"/>
      <c r="Q33" s="63"/>
      <c r="R33" s="73" t="s">
        <v>103</v>
      </c>
      <c r="S33" s="72" t="s">
        <v>79</v>
      </c>
      <c r="T33" s="63"/>
      <c r="U33" s="63"/>
      <c r="V33" s="63"/>
      <c r="W33" s="63"/>
      <c r="X33" s="64"/>
      <c r="Y33" s="72" t="s">
        <v>80</v>
      </c>
      <c r="Z33" s="63"/>
      <c r="AA33" s="63"/>
      <c r="AB33" s="63"/>
      <c r="AC33" s="63"/>
      <c r="AD33" s="64"/>
      <c r="AE33" s="49"/>
      <c r="AF33" s="49"/>
      <c r="AG33" s="49"/>
      <c r="AH33" s="49"/>
      <c r="AI33" s="49"/>
      <c r="AJ33" s="49"/>
      <c r="AK33" s="49"/>
      <c r="AL33" s="49"/>
      <c r="AM33" s="49"/>
      <c r="AN33" s="49"/>
      <c r="AO33" s="49"/>
    </row>
    <row r="34" spans="1:41" ht="51">
      <c r="A34" s="57"/>
      <c r="B34" s="58" t="s">
        <v>51</v>
      </c>
      <c r="C34" s="59" t="s">
        <v>104</v>
      </c>
      <c r="D34" s="59" t="s">
        <v>82</v>
      </c>
      <c r="E34" s="59" t="s">
        <v>83</v>
      </c>
      <c r="F34" s="59" t="s">
        <v>84</v>
      </c>
      <c r="G34" s="59" t="s">
        <v>85</v>
      </c>
      <c r="H34" s="59" t="s">
        <v>86</v>
      </c>
      <c r="I34" s="59" t="s">
        <v>105</v>
      </c>
      <c r="J34" s="59" t="s">
        <v>106</v>
      </c>
      <c r="K34" s="59" t="s">
        <v>89</v>
      </c>
      <c r="L34" s="59" t="s">
        <v>90</v>
      </c>
      <c r="M34" s="59" t="s">
        <v>91</v>
      </c>
      <c r="N34" s="59" t="s">
        <v>46</v>
      </c>
      <c r="O34" s="59" t="s">
        <v>107</v>
      </c>
      <c r="P34" s="59" t="s">
        <v>108</v>
      </c>
      <c r="Q34" s="59" t="s">
        <v>109</v>
      </c>
      <c r="R34" s="59" t="s">
        <v>110</v>
      </c>
      <c r="S34" s="59" t="s">
        <v>92</v>
      </c>
      <c r="T34" s="59" t="s">
        <v>93</v>
      </c>
      <c r="U34" s="59" t="s">
        <v>56</v>
      </c>
      <c r="V34" s="59" t="s">
        <v>94</v>
      </c>
      <c r="W34" s="59" t="s">
        <v>95</v>
      </c>
      <c r="X34" s="59" t="s">
        <v>96</v>
      </c>
      <c r="Y34" s="59" t="s">
        <v>97</v>
      </c>
      <c r="Z34" s="59" t="s">
        <v>54</v>
      </c>
      <c r="AA34" s="59" t="s">
        <v>55</v>
      </c>
      <c r="AB34" s="59" t="s">
        <v>98</v>
      </c>
      <c r="AC34" s="59" t="s">
        <v>99</v>
      </c>
      <c r="AD34" s="59" t="s">
        <v>100</v>
      </c>
      <c r="AE34" s="49"/>
      <c r="AF34" s="49"/>
      <c r="AG34" s="49"/>
      <c r="AH34" s="49"/>
      <c r="AI34" s="49"/>
      <c r="AJ34" s="49"/>
      <c r="AK34" s="49"/>
      <c r="AL34" s="49"/>
      <c r="AM34" s="49"/>
      <c r="AN34" s="49"/>
      <c r="AO34" s="49"/>
    </row>
    <row r="35" spans="2:41" ht="12.75" customHeight="1">
      <c r="B35" t="s">
        <v>174</v>
      </c>
      <c r="C35" s="49">
        <v>45</v>
      </c>
      <c r="D35" s="49">
        <v>979.5573723059169</v>
      </c>
      <c r="E35" s="49">
        <v>355.62</v>
      </c>
      <c r="F35" s="49">
        <v>0</v>
      </c>
      <c r="G35" s="49">
        <v>0</v>
      </c>
      <c r="H35" s="49"/>
      <c r="I35" s="49">
        <v>0.178</v>
      </c>
      <c r="J35" s="49">
        <v>0.3659999966621399</v>
      </c>
      <c r="K35" s="49">
        <v>1054.248621944243</v>
      </c>
      <c r="L35" s="49">
        <v>0.2474571546564174</v>
      </c>
      <c r="M35" s="49">
        <v>0.6761124730110168</v>
      </c>
      <c r="N35" s="49">
        <v>355.62247588334947</v>
      </c>
      <c r="O35" s="49">
        <v>0</v>
      </c>
      <c r="P35" s="49">
        <v>0</v>
      </c>
      <c r="Q35" s="49">
        <v>355.6224670410156</v>
      </c>
      <c r="R35" s="49">
        <v>18.288820179873994</v>
      </c>
      <c r="S35" s="49">
        <v>437.86097593106024</v>
      </c>
      <c r="T35" s="49">
        <v>13.69246768951416</v>
      </c>
      <c r="U35" s="49">
        <v>68.90303039550781</v>
      </c>
      <c r="V35" s="49">
        <v>519.8355745776619</v>
      </c>
      <c r="W35" s="49">
        <v>355.62247588334947</v>
      </c>
      <c r="X35" s="48">
        <v>1.461762430190653</v>
      </c>
      <c r="Y35" s="60">
        <v>249.4074249267578</v>
      </c>
      <c r="Z35" s="60">
        <v>0</v>
      </c>
      <c r="AA35" s="60">
        <v>0</v>
      </c>
      <c r="AB35" s="60">
        <v>769.2429809570312</v>
      </c>
      <c r="AC35" s="60">
        <v>355.6224670410156</v>
      </c>
      <c r="AD35" s="48">
        <v>2.163088798522949</v>
      </c>
      <c r="AE35" s="60"/>
      <c r="AF35" s="60"/>
      <c r="AG35" s="60"/>
      <c r="AH35" s="60"/>
      <c r="AI35" s="60"/>
      <c r="AJ35" s="60"/>
      <c r="AK35" s="60"/>
      <c r="AL35" s="49"/>
      <c r="AM35" s="49"/>
      <c r="AN35" s="49"/>
      <c r="AO35" s="49"/>
    </row>
    <row r="36" spans="2:41" ht="12.75" customHeight="1">
      <c r="B36" t="s">
        <v>178</v>
      </c>
      <c r="C36" s="49">
        <v>45</v>
      </c>
      <c r="D36" s="49">
        <v>187.47493114542885</v>
      </c>
      <c r="E36" s="49">
        <v>94.35</v>
      </c>
      <c r="F36" s="49">
        <v>0</v>
      </c>
      <c r="G36" s="49">
        <v>0</v>
      </c>
      <c r="H36" s="49"/>
      <c r="I36" s="49">
        <v>0.17800000000000002</v>
      </c>
      <c r="J36" s="49">
        <v>0.3659999966621399</v>
      </c>
      <c r="K36" s="49">
        <v>201.7698946452678</v>
      </c>
      <c r="L36" s="49">
        <v>0.04736017954869448</v>
      </c>
      <c r="M36" s="49">
        <v>0.1293994039297104</v>
      </c>
      <c r="N36" s="49">
        <v>94.34882013231719</v>
      </c>
      <c r="O36" s="49">
        <v>0</v>
      </c>
      <c r="P36" s="49">
        <v>0</v>
      </c>
      <c r="Q36" s="49">
        <v>94.34882354736328</v>
      </c>
      <c r="R36" s="49">
        <v>25.352433162071165</v>
      </c>
      <c r="S36" s="49">
        <v>83.8010703964256</v>
      </c>
      <c r="T36" s="49">
        <v>2.62056565284729</v>
      </c>
      <c r="U36" s="49">
        <v>13.18717098236084</v>
      </c>
      <c r="V36" s="49">
        <v>99.4899747403228</v>
      </c>
      <c r="W36" s="49">
        <v>94.34882013231719</v>
      </c>
      <c r="X36" s="48">
        <v>1.0544909263390418</v>
      </c>
      <c r="Y36" s="60">
        <v>47.733428955078125</v>
      </c>
      <c r="Z36" s="60">
        <v>0</v>
      </c>
      <c r="AA36" s="60">
        <v>0</v>
      </c>
      <c r="AB36" s="60">
        <v>147.22340393066406</v>
      </c>
      <c r="AC36" s="60">
        <v>94.34882354736328</v>
      </c>
      <c r="AD36" s="48">
        <v>1.5604158639907837</v>
      </c>
      <c r="AE36" s="60"/>
      <c r="AF36" s="60"/>
      <c r="AG36" s="60"/>
      <c r="AH36" s="60"/>
      <c r="AI36" s="60"/>
      <c r="AJ36" s="60"/>
      <c r="AK36" s="60"/>
      <c r="AL36" s="49"/>
      <c r="AM36" s="49"/>
      <c r="AN36" s="49"/>
      <c r="AO36" s="49"/>
    </row>
    <row r="37" spans="2:41" ht="12.75" customHeight="1">
      <c r="B37" t="s">
        <v>180</v>
      </c>
      <c r="C37" s="49">
        <v>45</v>
      </c>
      <c r="D37" s="49">
        <v>266.2364315032719</v>
      </c>
      <c r="E37" s="49">
        <v>134.61</v>
      </c>
      <c r="F37" s="49">
        <v>0</v>
      </c>
      <c r="G37" s="49">
        <v>0</v>
      </c>
      <c r="H37" s="49"/>
      <c r="I37" s="49">
        <v>0.178</v>
      </c>
      <c r="J37" s="49">
        <v>0.3659999966621399</v>
      </c>
      <c r="K37" s="49">
        <v>286.5369594053964</v>
      </c>
      <c r="L37" s="49">
        <v>0.0672570200258804</v>
      </c>
      <c r="M37" s="49">
        <v>0.1837623566389084</v>
      </c>
      <c r="N37" s="49">
        <v>134.61122872358075</v>
      </c>
      <c r="O37" s="49">
        <v>0</v>
      </c>
      <c r="P37" s="49">
        <v>0</v>
      </c>
      <c r="Q37" s="49">
        <v>134.61122131347656</v>
      </c>
      <c r="R37" s="49">
        <v>25.470657006305235</v>
      </c>
      <c r="S37" s="49">
        <v>119.00736702333636</v>
      </c>
      <c r="T37" s="49">
        <v>3.7215113639831543</v>
      </c>
      <c r="U37" s="49">
        <v>18.727333068847656</v>
      </c>
      <c r="V37" s="49">
        <v>141.28745543221106</v>
      </c>
      <c r="W37" s="49">
        <v>134.61122872358075</v>
      </c>
      <c r="X37" s="48">
        <v>1.0495963581339838</v>
      </c>
      <c r="Y37" s="60">
        <v>67.78707885742188</v>
      </c>
      <c r="Z37" s="60">
        <v>0</v>
      </c>
      <c r="AA37" s="60">
        <v>0</v>
      </c>
      <c r="AB37" s="60">
        <v>209.0745391845703</v>
      </c>
      <c r="AC37" s="60">
        <v>134.61122131347656</v>
      </c>
      <c r="AD37" s="48">
        <v>1.5531731843948364</v>
      </c>
      <c r="AE37" s="60"/>
      <c r="AF37" s="60"/>
      <c r="AG37" s="60"/>
      <c r="AH37" s="60"/>
      <c r="AI37" s="60"/>
      <c r="AJ37" s="60"/>
      <c r="AK37" s="60"/>
      <c r="AL37" s="49"/>
      <c r="AM37" s="49"/>
      <c r="AN37" s="49"/>
      <c r="AO37" s="49"/>
    </row>
    <row r="38" spans="2:41" ht="12.75" customHeight="1">
      <c r="B38" t="s">
        <v>218</v>
      </c>
      <c r="C38" s="49">
        <v>45</v>
      </c>
      <c r="D38" s="49">
        <v>1100.0996066686348</v>
      </c>
      <c r="E38" s="49">
        <v>674.23</v>
      </c>
      <c r="F38" s="49">
        <v>0</v>
      </c>
      <c r="G38" s="49">
        <v>0</v>
      </c>
      <c r="H38" s="49"/>
      <c r="I38" s="49">
        <v>0.178</v>
      </c>
      <c r="J38" s="49">
        <v>0.3659999966621399</v>
      </c>
      <c r="K38" s="49">
        <v>1183.9822016771182</v>
      </c>
      <c r="L38" s="49">
        <v>0.2779087026460022</v>
      </c>
      <c r="M38" s="49">
        <v>0.7593134045600891</v>
      </c>
      <c r="N38" s="49">
        <v>674.2301438684141</v>
      </c>
      <c r="O38" s="49">
        <v>0</v>
      </c>
      <c r="P38" s="49">
        <v>0</v>
      </c>
      <c r="Q38" s="49">
        <v>674.2301635742188</v>
      </c>
      <c r="R38" s="49">
        <v>30.87468666913574</v>
      </c>
      <c r="S38" s="49">
        <v>491.743210776296</v>
      </c>
      <c r="T38" s="49">
        <v>15.377433776855469</v>
      </c>
      <c r="U38" s="49">
        <v>77.38209533691406</v>
      </c>
      <c r="V38" s="49">
        <v>583.8054335851921</v>
      </c>
      <c r="W38" s="49">
        <v>674.2301438684141</v>
      </c>
      <c r="X38" s="69">
        <v>0.8658845038217845</v>
      </c>
      <c r="Y38" s="60">
        <v>280.0989990234375</v>
      </c>
      <c r="Z38" s="60">
        <v>0</v>
      </c>
      <c r="AA38" s="60">
        <v>0</v>
      </c>
      <c r="AB38" s="60">
        <v>863.9044189453125</v>
      </c>
      <c r="AC38" s="60">
        <v>674.2301635742188</v>
      </c>
      <c r="AD38" s="48">
        <v>1.2813197374343872</v>
      </c>
      <c r="AE38" s="60"/>
      <c r="AF38" s="60"/>
      <c r="AG38" s="60"/>
      <c r="AH38" s="60"/>
      <c r="AI38" s="60"/>
      <c r="AJ38" s="60"/>
      <c r="AK38" s="60"/>
      <c r="AL38" s="49"/>
      <c r="AM38" s="49"/>
      <c r="AN38" s="49"/>
      <c r="AO38" s="49"/>
    </row>
    <row r="39" spans="2:41" ht="12.75" customHeight="1">
      <c r="B39" t="s">
        <v>181</v>
      </c>
      <c r="C39" s="49">
        <v>45</v>
      </c>
      <c r="D39" s="49">
        <v>568.1694041722149</v>
      </c>
      <c r="E39" s="49">
        <v>353</v>
      </c>
      <c r="F39" s="49">
        <v>0</v>
      </c>
      <c r="G39" s="49">
        <v>0</v>
      </c>
      <c r="H39" s="49"/>
      <c r="I39" s="49">
        <v>0.178</v>
      </c>
      <c r="J39" s="49">
        <v>0.3659999966621399</v>
      </c>
      <c r="K39" s="49">
        <v>611.4923212403462</v>
      </c>
      <c r="L39" s="49">
        <v>0.14353175025196946</v>
      </c>
      <c r="M39" s="49">
        <v>0.3921632468700409</v>
      </c>
      <c r="N39" s="49">
        <v>353.00007532377697</v>
      </c>
      <c r="O39" s="49">
        <v>0</v>
      </c>
      <c r="P39" s="49">
        <v>0</v>
      </c>
      <c r="Q39" s="49">
        <v>353.00006103515625</v>
      </c>
      <c r="R39" s="49">
        <v>31.298484836543242</v>
      </c>
      <c r="S39" s="49">
        <v>253.97104532976775</v>
      </c>
      <c r="T39" s="49">
        <v>7.9419965744018555</v>
      </c>
      <c r="U39" s="49">
        <v>39.96559524536133</v>
      </c>
      <c r="V39" s="49">
        <v>301.5184988253889</v>
      </c>
      <c r="W39" s="49">
        <v>353.00007532377697</v>
      </c>
      <c r="X39" s="69">
        <v>0.8541598710675391</v>
      </c>
      <c r="Y39" s="60">
        <v>144.66293334960938</v>
      </c>
      <c r="Z39" s="60">
        <v>0</v>
      </c>
      <c r="AA39" s="60">
        <v>0</v>
      </c>
      <c r="AB39" s="60">
        <v>446.18145751953125</v>
      </c>
      <c r="AC39" s="60">
        <v>353.00006103515625</v>
      </c>
      <c r="AD39" s="48">
        <v>1.263969898223877</v>
      </c>
      <c r="AE39" s="60"/>
      <c r="AF39" s="60"/>
      <c r="AG39" s="60"/>
      <c r="AH39" s="60"/>
      <c r="AI39" s="60"/>
      <c r="AJ39" s="60"/>
      <c r="AK39" s="60"/>
      <c r="AL39" s="49"/>
      <c r="AM39" s="49"/>
      <c r="AN39" s="49"/>
      <c r="AO39" s="49"/>
    </row>
    <row r="40" spans="2:41" ht="12.75" customHeight="1">
      <c r="B40" t="s">
        <v>182</v>
      </c>
      <c r="C40" s="49">
        <v>45</v>
      </c>
      <c r="D40" s="49">
        <v>211.7909565309128</v>
      </c>
      <c r="E40" s="49">
        <v>157.26</v>
      </c>
      <c r="F40" s="49">
        <v>0</v>
      </c>
      <c r="G40" s="49">
        <v>0</v>
      </c>
      <c r="H40" s="49"/>
      <c r="I40" s="49">
        <v>0.178</v>
      </c>
      <c r="J40" s="49">
        <v>0.3659999966621399</v>
      </c>
      <c r="K40" s="49">
        <v>227.9400169663949</v>
      </c>
      <c r="L40" s="49">
        <v>0.053502927921135805</v>
      </c>
      <c r="M40" s="49">
        <v>0.1461828649044037</v>
      </c>
      <c r="N40" s="49">
        <v>157.26153355674265</v>
      </c>
      <c r="O40" s="49">
        <v>0</v>
      </c>
      <c r="P40" s="49">
        <v>0</v>
      </c>
      <c r="Q40" s="49">
        <v>157.26153564453125</v>
      </c>
      <c r="R40" s="49">
        <v>37.406016674066585</v>
      </c>
      <c r="S40" s="49">
        <v>94.6703047129298</v>
      </c>
      <c r="T40" s="49">
        <v>2.9604604244232178</v>
      </c>
      <c r="U40" s="49">
        <v>14.897583961486816</v>
      </c>
      <c r="V40" s="49">
        <v>112.39410388296665</v>
      </c>
      <c r="W40" s="49">
        <v>157.26153355674265</v>
      </c>
      <c r="X40" s="69">
        <v>0.7146954588384001</v>
      </c>
      <c r="Y40" s="60">
        <v>53.92459487915039</v>
      </c>
      <c r="Z40" s="60">
        <v>0</v>
      </c>
      <c r="AA40" s="60">
        <v>0</v>
      </c>
      <c r="AB40" s="60">
        <v>166.31869506835938</v>
      </c>
      <c r="AC40" s="60">
        <v>157.26153564453125</v>
      </c>
      <c r="AD40" s="48">
        <v>1.0575929880142212</v>
      </c>
      <c r="AE40" s="60"/>
      <c r="AF40" s="60"/>
      <c r="AG40" s="60"/>
      <c r="AH40" s="60"/>
      <c r="AI40" s="60"/>
      <c r="AJ40" s="60"/>
      <c r="AK40" s="60"/>
      <c r="AL40" s="49"/>
      <c r="AM40" s="49"/>
      <c r="AN40" s="49"/>
      <c r="AO40" s="49"/>
    </row>
    <row r="41" spans="2:41" ht="12.75" customHeight="1">
      <c r="B41" t="s">
        <v>183</v>
      </c>
      <c r="C41" s="49">
        <v>45</v>
      </c>
      <c r="D41" s="49">
        <v>181.499006738959</v>
      </c>
      <c r="E41" s="49">
        <v>141.52</v>
      </c>
      <c r="F41" s="49">
        <v>0</v>
      </c>
      <c r="G41" s="49">
        <v>0</v>
      </c>
      <c r="H41" s="49"/>
      <c r="I41" s="49">
        <v>0.178</v>
      </c>
      <c r="J41" s="49">
        <v>0.3659999966621399</v>
      </c>
      <c r="K41" s="49">
        <v>195.33830600280461</v>
      </c>
      <c r="L41" s="49">
        <v>0.0458505331595445</v>
      </c>
      <c r="M41" s="49">
        <v>0.1252746880054474</v>
      </c>
      <c r="N41" s="49">
        <v>141.5232301984758</v>
      </c>
      <c r="O41" s="49">
        <v>0</v>
      </c>
      <c r="P41" s="49">
        <v>0</v>
      </c>
      <c r="Q41" s="49">
        <v>141.52322387695312</v>
      </c>
      <c r="R41" s="49">
        <v>39.280754368254165</v>
      </c>
      <c r="S41" s="49">
        <v>81.12983932136613</v>
      </c>
      <c r="T41" s="49">
        <v>2.5370328426361084</v>
      </c>
      <c r="U41" s="49">
        <v>12.76681900024414</v>
      </c>
      <c r="V41" s="49">
        <v>96.31864678412283</v>
      </c>
      <c r="W41" s="49">
        <v>141.5232301984758</v>
      </c>
      <c r="X41" s="69">
        <v>0.6805854180196643</v>
      </c>
      <c r="Y41" s="60">
        <v>46.211891174316406</v>
      </c>
      <c r="Z41" s="60">
        <v>0</v>
      </c>
      <c r="AA41" s="60">
        <v>0</v>
      </c>
      <c r="AB41" s="60">
        <v>142.53054809570312</v>
      </c>
      <c r="AC41" s="60">
        <v>141.52322387695312</v>
      </c>
      <c r="AD41" s="48">
        <v>1.007117748260498</v>
      </c>
      <c r="AE41" s="60"/>
      <c r="AF41" s="60"/>
      <c r="AG41" s="60"/>
      <c r="AH41" s="60"/>
      <c r="AI41" s="60"/>
      <c r="AJ41" s="60"/>
      <c r="AK41" s="60"/>
      <c r="AL41" s="49"/>
      <c r="AM41" s="49"/>
      <c r="AN41" s="49"/>
      <c r="AO41" s="49"/>
    </row>
    <row r="42" spans="2:41" ht="12.75" customHeight="1">
      <c r="B42" t="s">
        <v>185</v>
      </c>
      <c r="C42" s="49">
        <v>45</v>
      </c>
      <c r="D42" s="49">
        <v>154.92771534713938</v>
      </c>
      <c r="E42" s="49">
        <v>201.92</v>
      </c>
      <c r="F42" s="49">
        <v>0</v>
      </c>
      <c r="G42" s="49">
        <v>0</v>
      </c>
      <c r="H42" s="49"/>
      <c r="I42" s="49">
        <v>0.178</v>
      </c>
      <c r="J42" s="49">
        <v>0.3659999966621399</v>
      </c>
      <c r="K42" s="49">
        <v>166.74095364235873</v>
      </c>
      <c r="L42" s="49">
        <v>0.03913805633147691</v>
      </c>
      <c r="M42" s="49">
        <v>0.10693458467721939</v>
      </c>
      <c r="N42" s="49">
        <v>201.91684308537114</v>
      </c>
      <c r="O42" s="49">
        <v>0</v>
      </c>
      <c r="P42" s="49">
        <v>0</v>
      </c>
      <c r="Q42" s="49">
        <v>201.91683959960938</v>
      </c>
      <c r="R42" s="49">
        <v>65.65530259348444</v>
      </c>
      <c r="S42" s="49">
        <v>69.25250379258263</v>
      </c>
      <c r="T42" s="49">
        <v>2.1656136512756348</v>
      </c>
      <c r="U42" s="49">
        <v>10.8977689743042</v>
      </c>
      <c r="V42" s="49">
        <v>82.21768429621757</v>
      </c>
      <c r="W42" s="49">
        <v>201.91684308537114</v>
      </c>
      <c r="X42" s="69">
        <v>0.40718586443754795</v>
      </c>
      <c r="Y42" s="60">
        <v>39.44651794433594</v>
      </c>
      <c r="Z42" s="60">
        <v>0</v>
      </c>
      <c r="AA42" s="60">
        <v>0</v>
      </c>
      <c r="AB42" s="60">
        <v>121.6642074584961</v>
      </c>
      <c r="AC42" s="60">
        <v>201.91683959960938</v>
      </c>
      <c r="AD42" s="69">
        <v>0.6025460958480835</v>
      </c>
      <c r="AE42" s="60"/>
      <c r="AF42" s="60"/>
      <c r="AG42" s="60"/>
      <c r="AH42" s="60"/>
      <c r="AI42" s="60"/>
      <c r="AJ42" s="60"/>
      <c r="AK42" s="60"/>
      <c r="AL42" s="49"/>
      <c r="AM42" s="49"/>
      <c r="AN42" s="49"/>
      <c r="AO42" s="49"/>
    </row>
    <row r="43" spans="2:41" ht="12.75" customHeight="1">
      <c r="B43" t="s">
        <v>187</v>
      </c>
      <c r="C43" s="49">
        <v>45</v>
      </c>
      <c r="D43" s="49">
        <v>144.55737943169697</v>
      </c>
      <c r="E43" s="49">
        <v>212.28</v>
      </c>
      <c r="F43" s="49">
        <v>0</v>
      </c>
      <c r="G43" s="49">
        <v>0</v>
      </c>
      <c r="H43" s="49"/>
      <c r="I43" s="49">
        <v>0.178</v>
      </c>
      <c r="J43" s="49">
        <v>0.3659999966621399</v>
      </c>
      <c r="K43" s="49">
        <v>155.57987961336386</v>
      </c>
      <c r="L43" s="49">
        <v>0.03651828755527378</v>
      </c>
      <c r="M43" s="49">
        <v>0.0997767448425293</v>
      </c>
      <c r="N43" s="49">
        <v>212.28484529771367</v>
      </c>
      <c r="O43" s="49">
        <v>0</v>
      </c>
      <c r="P43" s="49">
        <v>0</v>
      </c>
      <c r="Q43" s="49">
        <v>212.28485107421875</v>
      </c>
      <c r="R43" s="49">
        <v>73.97842767947775</v>
      </c>
      <c r="S43" s="49">
        <v>64.61697601948318</v>
      </c>
      <c r="T43" s="49">
        <v>2.0206546783447266</v>
      </c>
      <c r="U43" s="49">
        <v>10.16830825805664</v>
      </c>
      <c r="V43" s="49">
        <v>76.71431028955638</v>
      </c>
      <c r="W43" s="49">
        <v>212.28484529771367</v>
      </c>
      <c r="X43" s="69">
        <v>0.361374407965723</v>
      </c>
      <c r="Y43" s="60">
        <v>36.806095123291016</v>
      </c>
      <c r="Z43" s="60">
        <v>0</v>
      </c>
      <c r="AA43" s="60">
        <v>0</v>
      </c>
      <c r="AB43" s="60">
        <v>113.5204086303711</v>
      </c>
      <c r="AC43" s="60">
        <v>212.28485107421875</v>
      </c>
      <c r="AD43" s="69">
        <v>0.5347551107406616</v>
      </c>
      <c r="AE43" s="60"/>
      <c r="AF43" s="60"/>
      <c r="AG43" s="60"/>
      <c r="AH43" s="60"/>
      <c r="AI43" s="60"/>
      <c r="AJ43" s="60"/>
      <c r="AK43" s="60"/>
      <c r="AL43" s="49"/>
      <c r="AM43" s="49"/>
      <c r="AN43" s="49"/>
      <c r="AO43" s="49"/>
    </row>
    <row r="44" spans="2:41" ht="12.75" customHeight="1">
      <c r="B44" t="s">
        <v>189</v>
      </c>
      <c r="C44" s="49">
        <v>45</v>
      </c>
      <c r="D44" s="49">
        <v>154.9899039554939</v>
      </c>
      <c r="E44" s="49">
        <v>355.62</v>
      </c>
      <c r="F44" s="49">
        <v>0</v>
      </c>
      <c r="G44" s="49">
        <v>0</v>
      </c>
      <c r="H44" s="49"/>
      <c r="I44" s="49">
        <v>0.178</v>
      </c>
      <c r="J44" s="49">
        <v>0.3659999966621399</v>
      </c>
      <c r="K44" s="49">
        <v>166.8078841321003</v>
      </c>
      <c r="L44" s="49">
        <v>0.03915376650477613</v>
      </c>
      <c r="M44" s="49">
        <v>0.10697750747203827</v>
      </c>
      <c r="N44" s="49">
        <v>355.62247588334947</v>
      </c>
      <c r="O44" s="49">
        <v>0</v>
      </c>
      <c r="P44" s="49">
        <v>0</v>
      </c>
      <c r="Q44" s="49">
        <v>355.6224670410156</v>
      </c>
      <c r="R44" s="49">
        <v>115.58784269662597</v>
      </c>
      <c r="S44" s="49">
        <v>69.2803020262704</v>
      </c>
      <c r="T44" s="49">
        <v>2.166482925415039</v>
      </c>
      <c r="U44" s="49">
        <v>10.902143478393555</v>
      </c>
      <c r="V44" s="49">
        <v>82.25068690130163</v>
      </c>
      <c r="W44" s="49">
        <v>355.62247588334947</v>
      </c>
      <c r="X44" s="69">
        <v>0.23128652568146826</v>
      </c>
      <c r="Y44" s="60">
        <v>39.46235275268555</v>
      </c>
      <c r="Z44" s="60">
        <v>0</v>
      </c>
      <c r="AA44" s="60">
        <v>0</v>
      </c>
      <c r="AB44" s="60">
        <v>121.71305084228516</v>
      </c>
      <c r="AC44" s="60">
        <v>355.6224670410156</v>
      </c>
      <c r="AD44" s="69">
        <v>0.34225353598594666</v>
      </c>
      <c r="AE44" s="60"/>
      <c r="AF44" s="60"/>
      <c r="AG44" s="60"/>
      <c r="AH44" s="60"/>
      <c r="AI44" s="60"/>
      <c r="AJ44" s="60"/>
      <c r="AK44" s="60"/>
      <c r="AL44" s="49"/>
      <c r="AM44" s="49"/>
      <c r="AN44" s="49"/>
      <c r="AO44" s="49"/>
    </row>
    <row r="45" spans="3:41" ht="12.75" customHeight="1">
      <c r="C45" s="49"/>
      <c r="D45" s="49"/>
      <c r="E45" s="49"/>
      <c r="F45" s="49"/>
      <c r="G45" s="49"/>
      <c r="H45" s="49"/>
      <c r="I45" s="49"/>
      <c r="J45" s="49"/>
      <c r="K45" s="49"/>
      <c r="L45" s="49"/>
      <c r="M45" s="49"/>
      <c r="S45" s="49"/>
      <c r="T45" s="49"/>
      <c r="U45" s="49"/>
      <c r="W45" s="49"/>
      <c r="X45" s="60"/>
      <c r="Y45" s="60"/>
      <c r="Z45" s="60"/>
      <c r="AA45" s="60"/>
      <c r="AB45" s="60"/>
      <c r="AC45" s="60"/>
      <c r="AD45" s="60"/>
      <c r="AE45" s="60"/>
      <c r="AF45" s="60"/>
      <c r="AG45" s="60"/>
      <c r="AH45" s="60"/>
      <c r="AI45" s="60"/>
      <c r="AJ45" s="60"/>
      <c r="AK45" s="60"/>
      <c r="AL45" s="49"/>
      <c r="AM45" s="49"/>
      <c r="AN45" s="49"/>
      <c r="AO45" s="49"/>
    </row>
    <row r="46" spans="3:41" ht="12.75" customHeight="1" thickBot="1">
      <c r="C46" s="49"/>
      <c r="D46" s="49"/>
      <c r="E46" s="49"/>
      <c r="F46" s="49"/>
      <c r="G46" s="49"/>
      <c r="H46" s="49"/>
      <c r="I46" s="49"/>
      <c r="J46" s="49"/>
      <c r="K46" s="49"/>
      <c r="L46" s="49"/>
      <c r="M46" s="49"/>
      <c r="S46" s="49"/>
      <c r="T46" s="49"/>
      <c r="U46" s="49"/>
      <c r="W46" s="49"/>
      <c r="X46" s="49"/>
      <c r="Y46" s="49"/>
      <c r="Z46" s="49"/>
      <c r="AA46" s="49"/>
      <c r="AB46" s="49"/>
      <c r="AC46" s="49"/>
      <c r="AD46" s="49"/>
      <c r="AE46" s="49"/>
      <c r="AF46" s="49"/>
      <c r="AG46" s="49"/>
      <c r="AH46" s="49"/>
      <c r="AI46" s="49"/>
      <c r="AJ46" s="49"/>
      <c r="AK46" s="49"/>
      <c r="AL46" s="49"/>
      <c r="AM46" s="49"/>
      <c r="AN46" s="49"/>
      <c r="AO46" s="49"/>
    </row>
    <row r="47" spans="1:41" ht="12.75" customHeight="1" thickBot="1">
      <c r="A47" s="65" t="s">
        <v>62</v>
      </c>
      <c r="B47" s="66"/>
      <c r="C47" s="67"/>
      <c r="D47" s="67"/>
      <c r="E47" s="67"/>
      <c r="F47" s="67"/>
      <c r="G47" s="67"/>
      <c r="H47" s="67"/>
      <c r="I47" s="67"/>
      <c r="J47" s="67"/>
      <c r="K47" s="68"/>
      <c r="L47" s="49"/>
      <c r="M47" s="49"/>
      <c r="S47" s="49"/>
      <c r="T47" s="49"/>
      <c r="U47" s="49"/>
      <c r="W47" s="49"/>
      <c r="X47" s="49"/>
      <c r="Y47" s="49"/>
      <c r="Z47" s="49"/>
      <c r="AA47" s="49"/>
      <c r="AB47" s="49"/>
      <c r="AC47" s="49"/>
      <c r="AD47" s="49"/>
      <c r="AE47" s="49"/>
      <c r="AF47" s="49"/>
      <c r="AG47" s="49"/>
      <c r="AH47" s="49"/>
      <c r="AI47" s="49"/>
      <c r="AJ47" s="49"/>
      <c r="AK47" s="49"/>
      <c r="AL47" s="49"/>
      <c r="AM47" s="49"/>
      <c r="AN47" s="49"/>
      <c r="AO47" s="49"/>
    </row>
    <row r="48" spans="1:41" ht="25.5">
      <c r="A48" s="57"/>
      <c r="B48" s="58" t="s">
        <v>63</v>
      </c>
      <c r="C48" s="59" t="s">
        <v>59</v>
      </c>
      <c r="D48" s="59" t="s">
        <v>60</v>
      </c>
      <c r="E48" s="59" t="s">
        <v>64</v>
      </c>
      <c r="F48" s="59" t="s">
        <v>65</v>
      </c>
      <c r="G48" s="59" t="s">
        <v>66</v>
      </c>
      <c r="H48" s="59" t="s">
        <v>67</v>
      </c>
      <c r="I48" s="59" t="s">
        <v>61</v>
      </c>
      <c r="J48" s="59" t="s">
        <v>50</v>
      </c>
      <c r="K48" s="59" t="s">
        <v>58</v>
      </c>
      <c r="L48" s="49"/>
      <c r="M48" s="49"/>
      <c r="S48" s="49"/>
      <c r="T48" s="49"/>
      <c r="U48" s="49"/>
      <c r="W48" s="49"/>
      <c r="X48" s="49"/>
      <c r="Y48" s="49"/>
      <c r="Z48" s="49"/>
      <c r="AA48" s="49"/>
      <c r="AB48" s="49"/>
      <c r="AC48" s="49"/>
      <c r="AD48" s="49"/>
      <c r="AE48" s="49"/>
      <c r="AF48" s="49"/>
      <c r="AG48" s="49"/>
      <c r="AH48" s="49"/>
      <c r="AI48" s="49"/>
      <c r="AJ48" s="49"/>
      <c r="AK48" s="49"/>
      <c r="AL48" s="49"/>
      <c r="AM48" s="49"/>
      <c r="AN48" s="49"/>
      <c r="AO48" s="49"/>
    </row>
    <row r="49" spans="2:41" ht="12.75" customHeight="1">
      <c r="B49" t="s">
        <v>68</v>
      </c>
      <c r="C49" s="49">
        <v>1054.248621944243</v>
      </c>
      <c r="D49" s="49">
        <v>355.62247588334947</v>
      </c>
      <c r="E49" s="49">
        <v>355.62</v>
      </c>
      <c r="F49" s="49">
        <v>71.12448</v>
      </c>
      <c r="G49" s="49">
        <v>426.7469558833495</v>
      </c>
      <c r="H49" s="49">
        <v>3545.94091796875</v>
      </c>
      <c r="I49" s="49">
        <v>21.94658387557015</v>
      </c>
      <c r="J49" s="49">
        <v>437.86097593106024</v>
      </c>
      <c r="K49" s="48">
        <v>1.0260435836612007</v>
      </c>
      <c r="L49" s="49"/>
      <c r="M49" s="49"/>
      <c r="S49" s="49"/>
      <c r="T49" s="49"/>
      <c r="U49" s="49"/>
      <c r="W49" s="49"/>
      <c r="X49" s="49"/>
      <c r="Y49" s="49"/>
      <c r="Z49" s="49"/>
      <c r="AA49" s="49"/>
      <c r="AB49" s="49"/>
      <c r="AC49" s="49"/>
      <c r="AD49" s="49"/>
      <c r="AE49" s="49"/>
      <c r="AF49" s="49"/>
      <c r="AG49" s="49"/>
      <c r="AH49" s="49"/>
      <c r="AI49" s="49"/>
      <c r="AJ49" s="49"/>
      <c r="AK49" s="49"/>
      <c r="AL49" s="49"/>
      <c r="AM49" s="49"/>
      <c r="AN49" s="49"/>
      <c r="AO49" s="49"/>
    </row>
    <row r="50" spans="2:41" ht="12.75" customHeight="1">
      <c r="B50" t="s">
        <v>69</v>
      </c>
      <c r="C50" s="49">
        <v>0</v>
      </c>
      <c r="D50" s="49">
        <v>0</v>
      </c>
      <c r="E50" s="49">
        <v>0</v>
      </c>
      <c r="F50" s="49">
        <v>0</v>
      </c>
      <c r="G50" s="49">
        <v>0</v>
      </c>
      <c r="H50" s="49">
        <v>0</v>
      </c>
      <c r="I50" s="49">
        <v>0</v>
      </c>
      <c r="J50" s="49">
        <v>1765.3335953295182</v>
      </c>
      <c r="K50" s="69">
        <v>0</v>
      </c>
      <c r="L50" s="49"/>
      <c r="M50" s="49"/>
      <c r="S50" s="49"/>
      <c r="T50" s="49"/>
      <c r="U50" s="49"/>
      <c r="W50" s="49"/>
      <c r="X50" s="49"/>
      <c r="Y50" s="49"/>
      <c r="Z50" s="49"/>
      <c r="AA50" s="49"/>
      <c r="AB50" s="49"/>
      <c r="AC50" s="49"/>
      <c r="AD50" s="49"/>
      <c r="AE50" s="49"/>
      <c r="AF50" s="49"/>
      <c r="AG50" s="49"/>
      <c r="AH50" s="49"/>
      <c r="AI50" s="49"/>
      <c r="AJ50" s="49"/>
      <c r="AK50" s="49"/>
      <c r="AL50" s="49"/>
      <c r="AM50" s="49"/>
      <c r="AN50" s="49"/>
      <c r="AO50" s="49"/>
    </row>
    <row r="51" spans="2:41" ht="12.75" customHeight="1">
      <c r="B51" t="s">
        <v>70</v>
      </c>
      <c r="C51" s="49">
        <v>1293.00509028389</v>
      </c>
      <c r="D51" s="49">
        <v>1400.8812255859375</v>
      </c>
      <c r="E51" s="49">
        <v>1400.8809648104018</v>
      </c>
      <c r="F51" s="49">
        <v>280.1761929620804</v>
      </c>
      <c r="G51" s="49">
        <v>1681.057418548018</v>
      </c>
      <c r="H51" s="49">
        <v>11389.021484375</v>
      </c>
      <c r="I51" s="49">
        <v>70.48908160975002</v>
      </c>
      <c r="J51" s="49">
        <v>537.0236763235487</v>
      </c>
      <c r="K51" s="69">
        <v>0.3194558796137926</v>
      </c>
      <c r="L51" s="49"/>
      <c r="M51" s="49"/>
      <c r="S51" s="49"/>
      <c r="T51" s="49"/>
      <c r="U51" s="49"/>
      <c r="W51" s="49"/>
      <c r="X51" s="49"/>
      <c r="Y51" s="49"/>
      <c r="Z51" s="49"/>
      <c r="AA51" s="49"/>
      <c r="AB51" s="49"/>
      <c r="AC51" s="49"/>
      <c r="AD51" s="49"/>
      <c r="AE51" s="49"/>
      <c r="AF51" s="49"/>
      <c r="AG51" s="49"/>
      <c r="AH51" s="49"/>
      <c r="AI51" s="49"/>
      <c r="AJ51" s="49"/>
      <c r="AK51" s="49"/>
      <c r="AL51" s="49"/>
      <c r="AM51" s="49"/>
      <c r="AN51" s="49"/>
      <c r="AO51" s="49"/>
    </row>
    <row r="52" spans="2:41" ht="12.75" customHeight="1">
      <c r="B52" t="s">
        <v>71</v>
      </c>
      <c r="C52" s="49">
        <v>0</v>
      </c>
      <c r="D52" s="49">
        <v>0</v>
      </c>
      <c r="E52" s="49">
        <v>0</v>
      </c>
      <c r="F52" s="49">
        <v>0</v>
      </c>
      <c r="G52" s="49">
        <v>0</v>
      </c>
      <c r="H52" s="49">
        <v>0</v>
      </c>
      <c r="I52" s="49">
        <v>0</v>
      </c>
      <c r="J52" s="49">
        <v>0</v>
      </c>
      <c r="K52" s="69">
        <v>0</v>
      </c>
      <c r="L52" s="49"/>
      <c r="M52" s="49"/>
      <c r="S52" s="49"/>
      <c r="T52" s="49"/>
      <c r="U52" s="49"/>
      <c r="W52" s="49"/>
      <c r="X52" s="49"/>
      <c r="Y52" s="49"/>
      <c r="Z52" s="49"/>
      <c r="AA52" s="49"/>
      <c r="AB52" s="49"/>
      <c r="AC52" s="49"/>
      <c r="AD52" s="49"/>
      <c r="AE52" s="49"/>
      <c r="AF52" s="49"/>
      <c r="AG52" s="49"/>
      <c r="AH52" s="49"/>
      <c r="AI52" s="49"/>
      <c r="AJ52" s="49"/>
      <c r="AK52" s="49"/>
      <c r="AL52" s="49"/>
      <c r="AM52" s="49"/>
      <c r="AN52" s="49"/>
      <c r="AO52" s="49"/>
    </row>
    <row r="53" spans="2:41" ht="12.75" customHeight="1">
      <c r="B53" t="s">
        <v>72</v>
      </c>
      <c r="C53" s="49">
        <v>0</v>
      </c>
      <c r="D53" s="49">
        <v>0</v>
      </c>
      <c r="E53" s="49">
        <v>0</v>
      </c>
      <c r="F53" s="49">
        <v>0</v>
      </c>
      <c r="G53" s="49">
        <v>0</v>
      </c>
      <c r="H53" s="49">
        <v>0</v>
      </c>
      <c r="I53" s="49">
        <v>0</v>
      </c>
      <c r="J53" s="49">
        <v>0</v>
      </c>
      <c r="K53" s="70">
        <v>0</v>
      </c>
      <c r="L53" s="49"/>
      <c r="M53" s="49"/>
      <c r="S53" s="49"/>
      <c r="T53" s="49"/>
      <c r="U53" s="49"/>
      <c r="W53" s="49"/>
      <c r="X53" s="49"/>
      <c r="Y53" s="49"/>
      <c r="Z53" s="49"/>
      <c r="AA53" s="49"/>
      <c r="AB53" s="49"/>
      <c r="AC53" s="49"/>
      <c r="AD53" s="49"/>
      <c r="AE53" s="49"/>
      <c r="AF53" s="49"/>
      <c r="AG53" s="49"/>
      <c r="AH53" s="49"/>
      <c r="AI53" s="49"/>
      <c r="AJ53" s="49"/>
      <c r="AK53" s="49"/>
      <c r="AL53" s="49"/>
      <c r="AM53" s="49"/>
      <c r="AN53" s="49"/>
      <c r="AO53" s="49"/>
    </row>
    <row r="54" spans="2:41" ht="12.75" customHeight="1">
      <c r="B54" t="s">
        <v>73</v>
      </c>
      <c r="C54" s="49">
        <v>1054.248621944243</v>
      </c>
      <c r="D54" s="49">
        <v>355.62247588334947</v>
      </c>
      <c r="E54" s="49">
        <v>355.62</v>
      </c>
      <c r="F54" s="49">
        <v>71.12448</v>
      </c>
      <c r="G54" s="49">
        <v>426.7469558833495</v>
      </c>
      <c r="H54" s="49">
        <v>3545.94091796875</v>
      </c>
      <c r="I54" s="49">
        <v>21.94658387557015</v>
      </c>
      <c r="J54" s="49">
        <v>437.86097593106024</v>
      </c>
      <c r="K54" s="103">
        <v>1.0260435836612007</v>
      </c>
      <c r="L54" s="49"/>
      <c r="M54" s="49"/>
      <c r="S54" s="49"/>
      <c r="T54" s="49"/>
      <c r="U54" s="49"/>
      <c r="W54" s="49"/>
      <c r="X54" s="49"/>
      <c r="Y54" s="49"/>
      <c r="Z54" s="49"/>
      <c r="AA54" s="49"/>
      <c r="AB54" s="49"/>
      <c r="AC54" s="49"/>
      <c r="AD54" s="49"/>
      <c r="AE54" s="49"/>
      <c r="AF54" s="49"/>
      <c r="AG54" s="49"/>
      <c r="AH54" s="49"/>
      <c r="AI54" s="49"/>
      <c r="AJ54" s="49"/>
      <c r="AK54" s="49"/>
      <c r="AL54" s="49"/>
      <c r="AM54" s="49"/>
      <c r="AN54" s="49"/>
      <c r="AO54" s="49"/>
    </row>
    <row r="55" spans="2:41" ht="12.75" customHeight="1">
      <c r="B55" t="s">
        <v>74</v>
      </c>
      <c r="C55" s="49">
        <v>2283.781376968129</v>
      </c>
      <c r="D55" s="49">
        <v>1256.190268048089</v>
      </c>
      <c r="E55" s="49">
        <v>1256.19</v>
      </c>
      <c r="F55" s="49">
        <v>251.23800000000003</v>
      </c>
      <c r="G55" s="49">
        <v>1507.428268048089</v>
      </c>
      <c r="H55" s="49">
        <v>5782.1083984375</v>
      </c>
      <c r="I55" s="49">
        <v>35.78670120462755</v>
      </c>
      <c r="J55" s="49">
        <v>948.5226935258257</v>
      </c>
      <c r="K55" s="70">
        <v>0.6292323911067632</v>
      </c>
      <c r="L55" s="49"/>
      <c r="M55" s="49"/>
      <c r="S55" s="49"/>
      <c r="T55" s="49"/>
      <c r="U55" s="49"/>
      <c r="W55" s="49"/>
      <c r="X55" s="49"/>
      <c r="Y55" s="49"/>
      <c r="Z55" s="49"/>
      <c r="AA55" s="49"/>
      <c r="AB55" s="49"/>
      <c r="AC55" s="49"/>
      <c r="AD55" s="49"/>
      <c r="AE55" s="49"/>
      <c r="AF55" s="49"/>
      <c r="AG55" s="49"/>
      <c r="AH55" s="49"/>
      <c r="AI55" s="49"/>
      <c r="AJ55" s="49"/>
      <c r="AK55" s="49"/>
      <c r="AL55" s="49"/>
      <c r="AM55" s="49"/>
      <c r="AN55" s="49"/>
      <c r="AO55" s="49"/>
    </row>
    <row r="56" spans="2:41" ht="12.75" customHeight="1">
      <c r="B56" t="s">
        <v>75</v>
      </c>
      <c r="C56" s="49">
        <v>423.2783229691995</v>
      </c>
      <c r="D56" s="49">
        <v>298.7847637552185</v>
      </c>
      <c r="E56" s="49">
        <v>298.78</v>
      </c>
      <c r="F56" s="49">
        <v>59.75694</v>
      </c>
      <c r="G56" s="49">
        <v>358.54170375521846</v>
      </c>
      <c r="H56" s="49">
        <v>7420.23681640625</v>
      </c>
      <c r="I56" s="49">
        <v>45.925425563500774</v>
      </c>
      <c r="J56" s="49">
        <v>175.80014403429595</v>
      </c>
      <c r="K56" s="70">
        <v>0.4903199326411335</v>
      </c>
      <c r="L56" s="49"/>
      <c r="M56" s="49"/>
      <c r="S56" s="49"/>
      <c r="T56" s="49"/>
      <c r="U56" s="49"/>
      <c r="W56" s="49"/>
      <c r="X56" s="49"/>
      <c r="Y56" s="49"/>
      <c r="Z56" s="49"/>
      <c r="AA56" s="49"/>
      <c r="AB56" s="49"/>
      <c r="AC56" s="49"/>
      <c r="AD56" s="49"/>
      <c r="AE56" s="49"/>
      <c r="AF56" s="49"/>
      <c r="AG56" s="49"/>
      <c r="AH56" s="49"/>
      <c r="AI56" s="49"/>
      <c r="AJ56" s="49"/>
      <c r="AK56" s="49"/>
      <c r="AL56" s="49"/>
      <c r="AM56" s="49"/>
      <c r="AN56" s="49"/>
      <c r="AO56" s="49"/>
    </row>
    <row r="57" spans="2:41" ht="12.75" customHeight="1">
      <c r="B57" t="s">
        <v>76</v>
      </c>
      <c r="C57" s="49">
        <v>0</v>
      </c>
      <c r="D57" s="49">
        <v>0</v>
      </c>
      <c r="E57" s="49">
        <v>0</v>
      </c>
      <c r="F57" s="49">
        <v>0</v>
      </c>
      <c r="G57" s="49">
        <v>0</v>
      </c>
      <c r="H57" s="49">
        <v>0</v>
      </c>
      <c r="I57" s="49">
        <v>0</v>
      </c>
      <c r="J57" s="49">
        <v>0</v>
      </c>
      <c r="K57" s="70">
        <v>0</v>
      </c>
      <c r="L57" s="49"/>
      <c r="M57" s="49"/>
      <c r="S57" s="49"/>
      <c r="T57" s="49"/>
      <c r="U57" s="49"/>
      <c r="W57" s="49"/>
      <c r="X57" s="49"/>
      <c r="Y57" s="49"/>
      <c r="Z57" s="49"/>
      <c r="AA57" s="49"/>
      <c r="AB57" s="49"/>
      <c r="AC57" s="49"/>
      <c r="AD57" s="49"/>
      <c r="AE57" s="49"/>
      <c r="AF57" s="49"/>
      <c r="AG57" s="49"/>
      <c r="AH57" s="49"/>
      <c r="AI57" s="49"/>
      <c r="AJ57" s="49"/>
      <c r="AK57" s="49"/>
      <c r="AL57" s="49"/>
      <c r="AM57" s="49"/>
      <c r="AN57" s="49"/>
      <c r="AO57" s="49"/>
    </row>
    <row r="58" spans="2:41" ht="12.75" customHeight="1">
      <c r="B58" t="s">
        <v>77</v>
      </c>
      <c r="C58" s="49">
        <v>489.1287173878229</v>
      </c>
      <c r="D58" s="49">
        <v>769.8241642664343</v>
      </c>
      <c r="E58" s="49">
        <v>769.82</v>
      </c>
      <c r="F58" s="49">
        <v>153.9648</v>
      </c>
      <c r="G58" s="49">
        <v>923.7889642664343</v>
      </c>
      <c r="H58" s="49">
        <v>16544.501953125</v>
      </c>
      <c r="I58" s="49">
        <v>102.39745141100144</v>
      </c>
      <c r="J58" s="49">
        <v>203.1497818383362</v>
      </c>
      <c r="K58" s="70">
        <v>0.2199092971408834</v>
      </c>
      <c r="L58" s="49"/>
      <c r="M58" s="49"/>
      <c r="S58" s="49"/>
      <c r="T58" s="49"/>
      <c r="U58" s="49"/>
      <c r="W58" s="49"/>
      <c r="X58" s="49"/>
      <c r="Y58" s="49"/>
      <c r="Z58" s="49"/>
      <c r="AA58" s="49"/>
      <c r="AB58" s="49"/>
      <c r="AC58" s="49"/>
      <c r="AD58" s="49"/>
      <c r="AE58" s="49"/>
      <c r="AF58" s="49"/>
      <c r="AG58" s="49"/>
      <c r="AH58" s="49"/>
      <c r="AI58" s="49"/>
      <c r="AJ58" s="49"/>
      <c r="AK58" s="49"/>
      <c r="AL58" s="49"/>
      <c r="AM58" s="49"/>
      <c r="AN58" s="49"/>
      <c r="AO58" s="49"/>
    </row>
    <row r="59" spans="3:41" ht="12.75" customHeight="1">
      <c r="C59" s="49"/>
      <c r="D59" s="49"/>
      <c r="E59" s="49"/>
      <c r="F59" s="49"/>
      <c r="G59" s="49"/>
      <c r="H59" s="49"/>
      <c r="I59" s="49"/>
      <c r="J59" s="49"/>
      <c r="K59" s="49"/>
      <c r="L59" s="49"/>
      <c r="M59" s="49"/>
      <c r="S59" s="49"/>
      <c r="T59" s="49"/>
      <c r="U59" s="49"/>
      <c r="W59" s="49"/>
      <c r="X59" s="49"/>
      <c r="Y59" s="49"/>
      <c r="Z59" s="49"/>
      <c r="AA59" s="49"/>
      <c r="AB59" s="49"/>
      <c r="AC59" s="49"/>
      <c r="AD59" s="49"/>
      <c r="AE59" s="49"/>
      <c r="AF59" s="49"/>
      <c r="AG59" s="49"/>
      <c r="AH59" s="49"/>
      <c r="AI59" s="49"/>
      <c r="AJ59" s="49"/>
      <c r="AK59" s="49"/>
      <c r="AL59" s="49"/>
      <c r="AM59" s="49"/>
      <c r="AN59" s="49"/>
      <c r="AO59" s="49"/>
    </row>
    <row r="60" spans="3:41" ht="12.75" customHeight="1">
      <c r="C60" s="49"/>
      <c r="D60" s="49"/>
      <c r="E60" s="49"/>
      <c r="F60" s="49"/>
      <c r="G60" s="49"/>
      <c r="H60" s="49"/>
      <c r="I60" s="49"/>
      <c r="J60" s="49"/>
      <c r="K60" s="49"/>
      <c r="L60" s="49"/>
      <c r="M60" s="49"/>
      <c r="S60" s="49"/>
      <c r="T60" s="49"/>
      <c r="U60" s="49"/>
      <c r="W60" s="49"/>
      <c r="X60" s="49"/>
      <c r="Y60" s="49"/>
      <c r="Z60" s="49"/>
      <c r="AA60" s="49"/>
      <c r="AB60" s="49"/>
      <c r="AC60" s="49"/>
      <c r="AD60" s="49"/>
      <c r="AE60" s="49"/>
      <c r="AF60" s="49"/>
      <c r="AG60" s="49"/>
      <c r="AH60" s="49"/>
      <c r="AI60" s="49"/>
      <c r="AJ60" s="49"/>
      <c r="AK60" s="49"/>
      <c r="AL60" s="49"/>
      <c r="AM60" s="49"/>
      <c r="AN60" s="49"/>
      <c r="AO60" s="49"/>
    </row>
    <row r="61" spans="3:41" ht="12.75" customHeight="1">
      <c r="C61" s="49"/>
      <c r="D61" s="49"/>
      <c r="E61" s="49"/>
      <c r="F61" s="49"/>
      <c r="G61" s="49"/>
      <c r="H61" s="49"/>
      <c r="I61" s="49"/>
      <c r="J61" s="49"/>
      <c r="K61" s="49"/>
      <c r="L61" s="49"/>
      <c r="M61" s="49"/>
      <c r="S61" s="49"/>
      <c r="T61" s="49"/>
      <c r="U61" s="49"/>
      <c r="W61" s="49"/>
      <c r="X61" s="49"/>
      <c r="Y61" s="49"/>
      <c r="Z61" s="49"/>
      <c r="AA61" s="49"/>
      <c r="AB61" s="49"/>
      <c r="AC61" s="49"/>
      <c r="AD61" s="49"/>
      <c r="AE61" s="49"/>
      <c r="AF61" s="49"/>
      <c r="AG61" s="49"/>
      <c r="AH61" s="49"/>
      <c r="AI61" s="49"/>
      <c r="AJ61" s="49"/>
      <c r="AK61" s="49"/>
      <c r="AL61" s="49"/>
      <c r="AM61" s="49"/>
      <c r="AN61" s="49"/>
      <c r="AO61" s="49"/>
    </row>
    <row r="62" spans="3:41" ht="12.75" customHeight="1">
      <c r="C62" s="49"/>
      <c r="D62" s="49"/>
      <c r="E62" s="49"/>
      <c r="F62" s="49"/>
      <c r="G62" s="49"/>
      <c r="H62" s="49"/>
      <c r="I62" s="49"/>
      <c r="J62" s="49"/>
      <c r="K62" s="49"/>
      <c r="L62" s="49"/>
      <c r="M62" s="49"/>
      <c r="S62" s="49"/>
      <c r="T62" s="49"/>
      <c r="U62" s="49"/>
      <c r="W62" s="49"/>
      <c r="X62" s="49"/>
      <c r="Y62" s="49"/>
      <c r="Z62" s="49"/>
      <c r="AA62" s="49"/>
      <c r="AB62" s="49"/>
      <c r="AC62" s="49"/>
      <c r="AD62" s="49"/>
      <c r="AE62" s="49"/>
      <c r="AF62" s="49"/>
      <c r="AG62" s="49"/>
      <c r="AH62" s="49"/>
      <c r="AI62" s="49"/>
      <c r="AJ62" s="49"/>
      <c r="AK62" s="49"/>
      <c r="AL62" s="49"/>
      <c r="AM62" s="49"/>
      <c r="AN62" s="49"/>
      <c r="AO62" s="49"/>
    </row>
    <row r="63" spans="3:41" ht="12.75" customHeight="1">
      <c r="C63" s="49"/>
      <c r="D63" s="49"/>
      <c r="E63" s="49"/>
      <c r="F63" s="49"/>
      <c r="G63" s="49"/>
      <c r="H63" s="49"/>
      <c r="I63" s="49"/>
      <c r="J63" s="49"/>
      <c r="K63" s="49"/>
      <c r="L63" s="49"/>
      <c r="M63" s="49"/>
      <c r="S63" s="49"/>
      <c r="T63" s="49"/>
      <c r="U63" s="49"/>
      <c r="W63" s="49"/>
      <c r="X63" s="49"/>
      <c r="Y63" s="49"/>
      <c r="Z63" s="49"/>
      <c r="AA63" s="49"/>
      <c r="AB63" s="49"/>
      <c r="AC63" s="49"/>
      <c r="AD63" s="49"/>
      <c r="AE63" s="49"/>
      <c r="AF63" s="49"/>
      <c r="AG63" s="49"/>
      <c r="AH63" s="49"/>
      <c r="AI63" s="49"/>
      <c r="AJ63" s="49"/>
      <c r="AK63" s="49"/>
      <c r="AL63" s="49"/>
      <c r="AM63" s="49"/>
      <c r="AN63" s="49"/>
      <c r="AO63" s="49"/>
    </row>
    <row r="64" spans="3:41" ht="12.75" customHeight="1">
      <c r="C64" s="49"/>
      <c r="D64" s="49"/>
      <c r="E64" s="49"/>
      <c r="F64" s="49"/>
      <c r="G64" s="49"/>
      <c r="H64" s="49"/>
      <c r="I64" s="49"/>
      <c r="J64" s="49"/>
      <c r="K64" s="49"/>
      <c r="L64" s="49"/>
      <c r="M64" s="49"/>
      <c r="S64" s="49"/>
      <c r="T64" s="49"/>
      <c r="U64" s="49"/>
      <c r="W64" s="49"/>
      <c r="X64" s="49"/>
      <c r="Y64" s="49"/>
      <c r="Z64" s="49"/>
      <c r="AA64" s="49"/>
      <c r="AB64" s="49"/>
      <c r="AC64" s="49"/>
      <c r="AD64" s="49"/>
      <c r="AE64" s="49"/>
      <c r="AF64" s="49"/>
      <c r="AG64" s="49"/>
      <c r="AH64" s="49"/>
      <c r="AI64" s="49"/>
      <c r="AJ64" s="49"/>
      <c r="AK64" s="49"/>
      <c r="AL64" s="49"/>
      <c r="AM64" s="49"/>
      <c r="AN64" s="49"/>
      <c r="AO64" s="49"/>
    </row>
    <row r="65" spans="3:41" ht="12.75" customHeight="1">
      <c r="C65" s="49"/>
      <c r="D65" s="49"/>
      <c r="E65" s="49"/>
      <c r="F65" s="49"/>
      <c r="G65" s="49"/>
      <c r="H65" s="49"/>
      <c r="I65" s="49"/>
      <c r="J65" s="49"/>
      <c r="K65" s="49"/>
      <c r="L65" s="49"/>
      <c r="M65" s="49"/>
      <c r="S65" s="49"/>
      <c r="T65" s="49"/>
      <c r="U65" s="49"/>
      <c r="W65" s="49"/>
      <c r="X65" s="49"/>
      <c r="Y65" s="49"/>
      <c r="Z65" s="49"/>
      <c r="AA65" s="49"/>
      <c r="AB65" s="49"/>
      <c r="AC65" s="49"/>
      <c r="AD65" s="49"/>
      <c r="AE65" s="49"/>
      <c r="AF65" s="49"/>
      <c r="AG65" s="49"/>
      <c r="AH65" s="49"/>
      <c r="AI65" s="49"/>
      <c r="AJ65" s="49"/>
      <c r="AK65" s="49"/>
      <c r="AL65" s="49"/>
      <c r="AM65" s="49"/>
      <c r="AN65" s="49"/>
      <c r="AO65" s="49"/>
    </row>
    <row r="66" spans="3:41" ht="12.75" customHeight="1">
      <c r="C66" s="49"/>
      <c r="D66" s="49"/>
      <c r="E66" s="49"/>
      <c r="F66" s="49"/>
      <c r="G66" s="49"/>
      <c r="H66" s="49"/>
      <c r="I66" s="49"/>
      <c r="J66" s="49"/>
      <c r="K66" s="49"/>
      <c r="L66" s="49"/>
      <c r="M66" s="49"/>
      <c r="S66" s="49"/>
      <c r="T66" s="49"/>
      <c r="U66" s="49"/>
      <c r="W66" s="49"/>
      <c r="X66" s="49"/>
      <c r="Y66" s="49"/>
      <c r="Z66" s="49"/>
      <c r="AA66" s="49"/>
      <c r="AB66" s="49"/>
      <c r="AC66" s="49"/>
      <c r="AD66" s="49"/>
      <c r="AE66" s="49"/>
      <c r="AF66" s="49"/>
      <c r="AG66" s="49"/>
      <c r="AH66" s="49"/>
      <c r="AI66" s="49"/>
      <c r="AJ66" s="49"/>
      <c r="AK66" s="49"/>
      <c r="AL66" s="49"/>
      <c r="AM66" s="49"/>
      <c r="AN66" s="49"/>
      <c r="AO66" s="49"/>
    </row>
    <row r="67" spans="3:41" ht="12.75" customHeight="1">
      <c r="C67" s="49"/>
      <c r="D67" s="49"/>
      <c r="E67" s="49"/>
      <c r="F67" s="49"/>
      <c r="G67" s="49"/>
      <c r="H67" s="49"/>
      <c r="I67" s="49"/>
      <c r="J67" s="49"/>
      <c r="K67" s="49"/>
      <c r="L67" s="49"/>
      <c r="M67" s="49"/>
      <c r="S67" s="49"/>
      <c r="T67" s="49"/>
      <c r="U67" s="49"/>
      <c r="W67" s="49"/>
      <c r="X67" s="49"/>
      <c r="Y67" s="49"/>
      <c r="Z67" s="49"/>
      <c r="AA67" s="49"/>
      <c r="AB67" s="49"/>
      <c r="AC67" s="49"/>
      <c r="AD67" s="49"/>
      <c r="AE67" s="49"/>
      <c r="AF67" s="49"/>
      <c r="AG67" s="49"/>
      <c r="AH67" s="49"/>
      <c r="AI67" s="49"/>
      <c r="AJ67" s="49"/>
      <c r="AK67" s="49"/>
      <c r="AL67" s="49"/>
      <c r="AM67" s="49"/>
      <c r="AN67" s="49"/>
      <c r="AO67" s="49"/>
    </row>
    <row r="68" spans="3:41" ht="12.75" customHeight="1">
      <c r="C68" s="49"/>
      <c r="D68" s="49"/>
      <c r="E68" s="49"/>
      <c r="F68" s="49"/>
      <c r="G68" s="49"/>
      <c r="H68" s="49"/>
      <c r="I68" s="49"/>
      <c r="J68" s="49"/>
      <c r="K68" s="49"/>
      <c r="L68" s="49"/>
      <c r="M68" s="49"/>
      <c r="S68" s="49"/>
      <c r="T68" s="49"/>
      <c r="U68" s="49"/>
      <c r="W68" s="49"/>
      <c r="X68" s="49"/>
      <c r="Y68" s="49"/>
      <c r="Z68" s="49"/>
      <c r="AA68" s="49"/>
      <c r="AB68" s="49"/>
      <c r="AC68" s="49"/>
      <c r="AD68" s="49"/>
      <c r="AE68" s="49"/>
      <c r="AF68" s="49"/>
      <c r="AG68" s="49"/>
      <c r="AH68" s="49"/>
      <c r="AI68" s="49"/>
      <c r="AJ68" s="49"/>
      <c r="AK68" s="49"/>
      <c r="AL68" s="49"/>
      <c r="AM68" s="49"/>
      <c r="AN68" s="49"/>
      <c r="AO68" s="49"/>
    </row>
    <row r="69" spans="3:41" ht="12.75" customHeight="1">
      <c r="C69" s="49"/>
      <c r="D69" s="49"/>
      <c r="E69" s="49"/>
      <c r="F69" s="49"/>
      <c r="G69" s="49"/>
      <c r="H69" s="49"/>
      <c r="I69" s="49"/>
      <c r="J69" s="49"/>
      <c r="K69" s="49"/>
      <c r="L69" s="49"/>
      <c r="M69" s="49"/>
      <c r="S69" s="49"/>
      <c r="T69" s="49"/>
      <c r="U69" s="49"/>
      <c r="W69" s="49"/>
      <c r="X69" s="49"/>
      <c r="Y69" s="49"/>
      <c r="Z69" s="49"/>
      <c r="AA69" s="49"/>
      <c r="AB69" s="49"/>
      <c r="AC69" s="49"/>
      <c r="AD69" s="49"/>
      <c r="AE69" s="49"/>
      <c r="AF69" s="49"/>
      <c r="AG69" s="49"/>
      <c r="AH69" s="49"/>
      <c r="AI69" s="49"/>
      <c r="AJ69" s="49"/>
      <c r="AK69" s="49"/>
      <c r="AL69" s="49"/>
      <c r="AM69" s="49"/>
      <c r="AN69" s="49"/>
      <c r="AO69" s="49"/>
    </row>
    <row r="70" spans="3:41" ht="12.75" customHeight="1">
      <c r="C70" s="49"/>
      <c r="D70" s="49"/>
      <c r="E70" s="49"/>
      <c r="F70" s="49"/>
      <c r="G70" s="49"/>
      <c r="H70" s="49"/>
      <c r="I70" s="49"/>
      <c r="J70" s="49"/>
      <c r="K70" s="49"/>
      <c r="L70" s="49"/>
      <c r="M70" s="49"/>
      <c r="S70" s="49"/>
      <c r="T70" s="49"/>
      <c r="U70" s="49"/>
      <c r="W70" s="49"/>
      <c r="X70" s="49"/>
      <c r="Y70" s="49"/>
      <c r="Z70" s="49"/>
      <c r="AA70" s="49"/>
      <c r="AB70" s="49"/>
      <c r="AC70" s="49"/>
      <c r="AD70" s="49"/>
      <c r="AE70" s="49"/>
      <c r="AF70" s="49"/>
      <c r="AG70" s="49"/>
      <c r="AH70" s="49"/>
      <c r="AI70" s="49"/>
      <c r="AJ70" s="49"/>
      <c r="AK70" s="49"/>
      <c r="AL70" s="49"/>
      <c r="AM70" s="49"/>
      <c r="AN70" s="49"/>
      <c r="AO70" s="49"/>
    </row>
    <row r="71" spans="3:41" ht="12.75" customHeight="1">
      <c r="C71" s="49"/>
      <c r="D71" s="49"/>
      <c r="E71" s="49"/>
      <c r="F71" s="49"/>
      <c r="G71" s="49"/>
      <c r="H71" s="49"/>
      <c r="I71" s="49"/>
      <c r="J71" s="49"/>
      <c r="K71" s="49"/>
      <c r="L71" s="49"/>
      <c r="M71" s="49"/>
      <c r="S71" s="49"/>
      <c r="T71" s="49"/>
      <c r="U71" s="49"/>
      <c r="W71" s="49"/>
      <c r="X71" s="49"/>
      <c r="Y71" s="49"/>
      <c r="Z71" s="49"/>
      <c r="AA71" s="49"/>
      <c r="AB71" s="49"/>
      <c r="AC71" s="49"/>
      <c r="AD71" s="49"/>
      <c r="AE71" s="49"/>
      <c r="AF71" s="49"/>
      <c r="AG71" s="49"/>
      <c r="AH71" s="49"/>
      <c r="AI71" s="49"/>
      <c r="AJ71" s="49"/>
      <c r="AK71" s="49"/>
      <c r="AL71" s="49"/>
      <c r="AM71" s="49"/>
      <c r="AN71" s="49"/>
      <c r="AO71" s="49"/>
    </row>
    <row r="72" spans="3:41" ht="12.75" customHeight="1">
      <c r="C72" s="49"/>
      <c r="D72" s="49"/>
      <c r="E72" s="49"/>
      <c r="F72" s="49"/>
      <c r="G72" s="49"/>
      <c r="H72" s="49"/>
      <c r="I72" s="49"/>
      <c r="J72" s="49"/>
      <c r="K72" s="49"/>
      <c r="L72" s="49"/>
      <c r="M72" s="49"/>
      <c r="S72" s="49"/>
      <c r="T72" s="49"/>
      <c r="U72" s="49"/>
      <c r="W72" s="49"/>
      <c r="X72" s="49"/>
      <c r="Y72" s="49"/>
      <c r="Z72" s="49"/>
      <c r="AA72" s="49"/>
      <c r="AB72" s="49"/>
      <c r="AC72" s="49"/>
      <c r="AD72" s="49"/>
      <c r="AE72" s="49"/>
      <c r="AF72" s="49"/>
      <c r="AG72" s="49"/>
      <c r="AH72" s="49"/>
      <c r="AI72" s="49"/>
      <c r="AJ72" s="49"/>
      <c r="AK72" s="49"/>
      <c r="AL72" s="49"/>
      <c r="AM72" s="49"/>
      <c r="AN72" s="49"/>
      <c r="AO72" s="49"/>
    </row>
    <row r="73" spans="3:41" ht="12.75" customHeight="1">
      <c r="C73" s="49"/>
      <c r="D73" s="49"/>
      <c r="E73" s="49"/>
      <c r="F73" s="49"/>
      <c r="G73" s="49"/>
      <c r="H73" s="49"/>
      <c r="I73" s="49"/>
      <c r="J73" s="49"/>
      <c r="K73" s="49"/>
      <c r="L73" s="49"/>
      <c r="M73" s="49"/>
      <c r="S73" s="49"/>
      <c r="T73" s="49"/>
      <c r="U73" s="49"/>
      <c r="W73" s="49"/>
      <c r="X73" s="49"/>
      <c r="Y73" s="49"/>
      <c r="Z73" s="49"/>
      <c r="AA73" s="49"/>
      <c r="AB73" s="49"/>
      <c r="AC73" s="49"/>
      <c r="AD73" s="49"/>
      <c r="AE73" s="49"/>
      <c r="AF73" s="49"/>
      <c r="AG73" s="49"/>
      <c r="AH73" s="49"/>
      <c r="AI73" s="49"/>
      <c r="AJ73" s="49"/>
      <c r="AK73" s="49"/>
      <c r="AL73" s="49"/>
      <c r="AM73" s="49"/>
      <c r="AN73" s="49"/>
      <c r="AO73" s="49"/>
    </row>
    <row r="74" spans="3:41" ht="12.75" customHeight="1">
      <c r="C74" s="49"/>
      <c r="D74" s="49"/>
      <c r="E74" s="49"/>
      <c r="F74" s="49"/>
      <c r="G74" s="49"/>
      <c r="H74" s="49"/>
      <c r="I74" s="49"/>
      <c r="J74" s="49"/>
      <c r="K74" s="49"/>
      <c r="L74" s="49"/>
      <c r="M74" s="49"/>
      <c r="S74" s="49"/>
      <c r="T74" s="49"/>
      <c r="U74" s="49"/>
      <c r="W74" s="49"/>
      <c r="X74" s="49"/>
      <c r="Y74" s="49"/>
      <c r="Z74" s="49"/>
      <c r="AA74" s="49"/>
      <c r="AB74" s="49"/>
      <c r="AC74" s="49"/>
      <c r="AD74" s="49"/>
      <c r="AE74" s="49"/>
      <c r="AF74" s="49"/>
      <c r="AG74" s="49"/>
      <c r="AH74" s="49"/>
      <c r="AI74" s="49"/>
      <c r="AJ74" s="49"/>
      <c r="AK74" s="49"/>
      <c r="AL74" s="49"/>
      <c r="AM74" s="49"/>
      <c r="AN74" s="49"/>
      <c r="AO74" s="49"/>
    </row>
    <row r="75" spans="3:41" ht="12.75" customHeight="1">
      <c r="C75" s="49"/>
      <c r="D75" s="49"/>
      <c r="E75" s="49"/>
      <c r="F75" s="49"/>
      <c r="G75" s="49"/>
      <c r="H75" s="49"/>
      <c r="I75" s="49"/>
      <c r="J75" s="49"/>
      <c r="K75" s="49"/>
      <c r="L75" s="49"/>
      <c r="M75" s="49"/>
      <c r="S75" s="49"/>
      <c r="T75" s="49"/>
      <c r="U75" s="49"/>
      <c r="W75" s="49"/>
      <c r="X75" s="49"/>
      <c r="Y75" s="49"/>
      <c r="Z75" s="49"/>
      <c r="AA75" s="49"/>
      <c r="AB75" s="49"/>
      <c r="AC75" s="49"/>
      <c r="AD75" s="49"/>
      <c r="AE75" s="49"/>
      <c r="AF75" s="49"/>
      <c r="AG75" s="49"/>
      <c r="AH75" s="49"/>
      <c r="AI75" s="49"/>
      <c r="AJ75" s="49"/>
      <c r="AK75" s="49"/>
      <c r="AL75" s="49"/>
      <c r="AM75" s="49"/>
      <c r="AN75" s="49"/>
      <c r="AO75" s="49"/>
    </row>
    <row r="76" spans="3:41" ht="12.75" customHeight="1">
      <c r="C76" s="49"/>
      <c r="D76" s="49"/>
      <c r="E76" s="49"/>
      <c r="F76" s="49"/>
      <c r="G76" s="49"/>
      <c r="H76" s="49"/>
      <c r="I76" s="49"/>
      <c r="J76" s="49"/>
      <c r="K76" s="49"/>
      <c r="L76" s="49"/>
      <c r="M76" s="49"/>
      <c r="S76" s="49"/>
      <c r="T76" s="49"/>
      <c r="U76" s="49"/>
      <c r="W76" s="49"/>
      <c r="X76" s="49"/>
      <c r="Y76" s="49"/>
      <c r="Z76" s="49"/>
      <c r="AA76" s="49"/>
      <c r="AB76" s="49"/>
      <c r="AC76" s="49"/>
      <c r="AD76" s="49"/>
      <c r="AE76" s="49"/>
      <c r="AF76" s="49"/>
      <c r="AG76" s="49"/>
      <c r="AH76" s="49"/>
      <c r="AI76" s="49"/>
      <c r="AJ76" s="49"/>
      <c r="AK76" s="49"/>
      <c r="AL76" s="49"/>
      <c r="AM76" s="49"/>
      <c r="AN76" s="49"/>
      <c r="AO76" s="49"/>
    </row>
    <row r="77" spans="3:41" ht="12.75" customHeight="1">
      <c r="C77" s="49"/>
      <c r="D77" s="49"/>
      <c r="E77" s="49"/>
      <c r="F77" s="49"/>
      <c r="G77" s="49"/>
      <c r="H77" s="49"/>
      <c r="I77" s="49"/>
      <c r="J77" s="49"/>
      <c r="K77" s="49"/>
      <c r="L77" s="49"/>
      <c r="M77" s="49"/>
      <c r="S77" s="49"/>
      <c r="T77" s="49"/>
      <c r="U77" s="49"/>
      <c r="W77" s="49"/>
      <c r="X77" s="49"/>
      <c r="Y77" s="49"/>
      <c r="Z77" s="49"/>
      <c r="AA77" s="49"/>
      <c r="AB77" s="49"/>
      <c r="AC77" s="49"/>
      <c r="AD77" s="49"/>
      <c r="AE77" s="49"/>
      <c r="AF77" s="49"/>
      <c r="AG77" s="49"/>
      <c r="AH77" s="49"/>
      <c r="AI77" s="49"/>
      <c r="AJ77" s="49"/>
      <c r="AK77" s="49"/>
      <c r="AL77" s="49"/>
      <c r="AM77" s="49"/>
      <c r="AN77" s="49"/>
      <c r="AO77" s="49"/>
    </row>
    <row r="78" spans="3:41" ht="12.75" customHeight="1">
      <c r="C78" s="49"/>
      <c r="D78" s="49"/>
      <c r="E78" s="49"/>
      <c r="F78" s="49"/>
      <c r="G78" s="49"/>
      <c r="H78" s="49"/>
      <c r="I78" s="49"/>
      <c r="J78" s="49"/>
      <c r="K78" s="49"/>
      <c r="L78" s="49"/>
      <c r="M78" s="49"/>
      <c r="S78" s="49"/>
      <c r="T78" s="49"/>
      <c r="U78" s="49"/>
      <c r="W78" s="49"/>
      <c r="X78" s="49"/>
      <c r="Y78" s="49"/>
      <c r="Z78" s="49"/>
      <c r="AA78" s="49"/>
      <c r="AB78" s="49"/>
      <c r="AC78" s="49"/>
      <c r="AD78" s="49"/>
      <c r="AE78" s="49"/>
      <c r="AF78" s="49"/>
      <c r="AG78" s="49"/>
      <c r="AH78" s="49"/>
      <c r="AI78" s="49"/>
      <c r="AJ78" s="49"/>
      <c r="AK78" s="49"/>
      <c r="AL78" s="49"/>
      <c r="AM78" s="49"/>
      <c r="AN78" s="49"/>
      <c r="AO78" s="49"/>
    </row>
    <row r="79" spans="3:41" ht="12.75" customHeight="1">
      <c r="C79" s="49"/>
      <c r="D79" s="49"/>
      <c r="E79" s="49"/>
      <c r="F79" s="49"/>
      <c r="G79" s="49"/>
      <c r="H79" s="49"/>
      <c r="I79" s="49"/>
      <c r="J79" s="49"/>
      <c r="K79" s="49"/>
      <c r="L79" s="49"/>
      <c r="M79" s="49"/>
      <c r="S79" s="49"/>
      <c r="T79" s="49"/>
      <c r="U79" s="49"/>
      <c r="W79" s="49"/>
      <c r="X79" s="49"/>
      <c r="Y79" s="49"/>
      <c r="Z79" s="49"/>
      <c r="AA79" s="49"/>
      <c r="AB79" s="49"/>
      <c r="AC79" s="49"/>
      <c r="AD79" s="49"/>
      <c r="AE79" s="49"/>
      <c r="AF79" s="49"/>
      <c r="AG79" s="49"/>
      <c r="AH79" s="49"/>
      <c r="AI79" s="49"/>
      <c r="AJ79" s="49"/>
      <c r="AK79" s="49"/>
      <c r="AL79" s="49"/>
      <c r="AM79" s="49"/>
      <c r="AN79" s="49"/>
      <c r="AO79" s="49"/>
    </row>
    <row r="80" spans="3:41" ht="12.75" customHeight="1">
      <c r="C80" s="49"/>
      <c r="D80" s="49"/>
      <c r="E80" s="49"/>
      <c r="F80" s="49"/>
      <c r="G80" s="49"/>
      <c r="H80" s="49"/>
      <c r="I80" s="49"/>
      <c r="J80" s="49"/>
      <c r="K80" s="49"/>
      <c r="L80" s="49"/>
      <c r="M80" s="49"/>
      <c r="S80" s="49"/>
      <c r="T80" s="49"/>
      <c r="U80" s="49"/>
      <c r="W80" s="49"/>
      <c r="X80" s="49"/>
      <c r="Y80" s="49"/>
      <c r="Z80" s="49"/>
      <c r="AA80" s="49"/>
      <c r="AB80" s="49"/>
      <c r="AC80" s="49"/>
      <c r="AD80" s="49"/>
      <c r="AE80" s="49"/>
      <c r="AF80" s="49"/>
      <c r="AG80" s="49"/>
      <c r="AH80" s="49"/>
      <c r="AI80" s="49"/>
      <c r="AJ80" s="49"/>
      <c r="AK80" s="49"/>
      <c r="AL80" s="49"/>
      <c r="AM80" s="49"/>
      <c r="AN80" s="49"/>
      <c r="AO80" s="49"/>
    </row>
    <row r="81" spans="3:41" ht="12.75" customHeight="1">
      <c r="C81" s="49"/>
      <c r="D81" s="49"/>
      <c r="E81" s="49"/>
      <c r="F81" s="49"/>
      <c r="G81" s="49"/>
      <c r="H81" s="49"/>
      <c r="I81" s="49"/>
      <c r="J81" s="49"/>
      <c r="K81" s="49"/>
      <c r="L81" s="49"/>
      <c r="M81" s="49"/>
      <c r="S81" s="49"/>
      <c r="T81" s="49"/>
      <c r="U81" s="49"/>
      <c r="W81" s="49"/>
      <c r="X81" s="49"/>
      <c r="Y81" s="49"/>
      <c r="Z81" s="49"/>
      <c r="AA81" s="49"/>
      <c r="AB81" s="49"/>
      <c r="AC81" s="49"/>
      <c r="AD81" s="49"/>
      <c r="AE81" s="49"/>
      <c r="AF81" s="49"/>
      <c r="AG81" s="49"/>
      <c r="AH81" s="49"/>
      <c r="AI81" s="49"/>
      <c r="AJ81" s="49"/>
      <c r="AK81" s="49"/>
      <c r="AL81" s="49"/>
      <c r="AM81" s="49"/>
      <c r="AN81" s="49"/>
      <c r="AO81" s="49"/>
    </row>
    <row r="82" spans="3:41" ht="12.75" customHeight="1">
      <c r="C82" s="49"/>
      <c r="D82" s="49"/>
      <c r="E82" s="49"/>
      <c r="F82" s="49"/>
      <c r="G82" s="49"/>
      <c r="H82" s="49"/>
      <c r="I82" s="49"/>
      <c r="J82" s="49"/>
      <c r="K82" s="49"/>
      <c r="L82" s="49"/>
      <c r="M82" s="49"/>
      <c r="S82" s="49"/>
      <c r="T82" s="49"/>
      <c r="U82" s="49"/>
      <c r="W82" s="49"/>
      <c r="X82" s="49"/>
      <c r="Y82" s="49"/>
      <c r="Z82" s="49"/>
      <c r="AA82" s="49"/>
      <c r="AB82" s="49"/>
      <c r="AC82" s="49"/>
      <c r="AD82" s="49"/>
      <c r="AE82" s="49"/>
      <c r="AF82" s="49"/>
      <c r="AG82" s="49"/>
      <c r="AH82" s="49"/>
      <c r="AI82" s="49"/>
      <c r="AJ82" s="49"/>
      <c r="AK82" s="49"/>
      <c r="AL82" s="49"/>
      <c r="AM82" s="49"/>
      <c r="AN82" s="49"/>
      <c r="AO82" s="49"/>
    </row>
    <row r="83" spans="3:41" ht="12.75" customHeight="1">
      <c r="C83" s="49"/>
      <c r="D83" s="49"/>
      <c r="E83" s="49"/>
      <c r="F83" s="49"/>
      <c r="G83" s="49"/>
      <c r="H83" s="49"/>
      <c r="I83" s="49"/>
      <c r="J83" s="49"/>
      <c r="K83" s="49"/>
      <c r="L83" s="49"/>
      <c r="M83" s="49"/>
      <c r="S83" s="49"/>
      <c r="T83" s="49"/>
      <c r="U83" s="49"/>
      <c r="W83" s="49"/>
      <c r="X83" s="49"/>
      <c r="Y83" s="49"/>
      <c r="Z83" s="49"/>
      <c r="AA83" s="49"/>
      <c r="AB83" s="49"/>
      <c r="AC83" s="49"/>
      <c r="AD83" s="49"/>
      <c r="AE83" s="49"/>
      <c r="AF83" s="49"/>
      <c r="AG83" s="49"/>
      <c r="AH83" s="49"/>
      <c r="AI83" s="49"/>
      <c r="AJ83" s="49"/>
      <c r="AK83" s="49"/>
      <c r="AL83" s="49"/>
      <c r="AM83" s="49"/>
      <c r="AN83" s="49"/>
      <c r="AO83" s="49"/>
    </row>
    <row r="84" spans="3:41" ht="12.75" customHeight="1">
      <c r="C84" s="49"/>
      <c r="D84" s="49"/>
      <c r="E84" s="49"/>
      <c r="F84" s="49"/>
      <c r="G84" s="49"/>
      <c r="H84" s="49"/>
      <c r="I84" s="49"/>
      <c r="J84" s="49"/>
      <c r="K84" s="49"/>
      <c r="L84" s="49"/>
      <c r="M84" s="49"/>
      <c r="S84" s="49"/>
      <c r="T84" s="49"/>
      <c r="U84" s="49"/>
      <c r="W84" s="49"/>
      <c r="X84" s="49"/>
      <c r="Y84" s="49"/>
      <c r="Z84" s="49"/>
      <c r="AA84" s="49"/>
      <c r="AB84" s="49"/>
      <c r="AC84" s="49"/>
      <c r="AD84" s="49"/>
      <c r="AE84" s="49"/>
      <c r="AF84" s="49"/>
      <c r="AG84" s="49"/>
      <c r="AH84" s="49"/>
      <c r="AI84" s="49"/>
      <c r="AJ84" s="49"/>
      <c r="AK84" s="49"/>
      <c r="AL84" s="49"/>
      <c r="AM84" s="49"/>
      <c r="AN84" s="49"/>
      <c r="AO84" s="49"/>
    </row>
    <row r="85" spans="3:41" ht="12.75" customHeight="1">
      <c r="C85" s="49"/>
      <c r="D85" s="49"/>
      <c r="E85" s="49"/>
      <c r="F85" s="49"/>
      <c r="G85" s="49"/>
      <c r="H85" s="49"/>
      <c r="I85" s="49"/>
      <c r="J85" s="49"/>
      <c r="K85" s="49"/>
      <c r="L85" s="49"/>
      <c r="M85" s="49"/>
      <c r="S85" s="49"/>
      <c r="T85" s="49"/>
      <c r="U85" s="49"/>
      <c r="W85" s="49"/>
      <c r="X85" s="49"/>
      <c r="Y85" s="49"/>
      <c r="Z85" s="49"/>
      <c r="AA85" s="49"/>
      <c r="AB85" s="49"/>
      <c r="AC85" s="49"/>
      <c r="AD85" s="49"/>
      <c r="AE85" s="49"/>
      <c r="AF85" s="49"/>
      <c r="AG85" s="49"/>
      <c r="AH85" s="49"/>
      <c r="AI85" s="49"/>
      <c r="AJ85" s="49"/>
      <c r="AK85" s="49"/>
      <c r="AL85" s="49"/>
      <c r="AM85" s="49"/>
      <c r="AN85" s="49"/>
      <c r="AO85" s="49"/>
    </row>
    <row r="86" spans="3:41" ht="12.75" customHeight="1">
      <c r="C86" s="49"/>
      <c r="D86" s="49"/>
      <c r="E86" s="49"/>
      <c r="F86" s="49"/>
      <c r="G86" s="49"/>
      <c r="H86" s="49"/>
      <c r="I86" s="49"/>
      <c r="J86" s="49"/>
      <c r="K86" s="49"/>
      <c r="L86" s="49"/>
      <c r="M86" s="49"/>
      <c r="S86" s="49"/>
      <c r="T86" s="49"/>
      <c r="U86" s="49"/>
      <c r="W86" s="49"/>
      <c r="X86" s="49"/>
      <c r="Y86" s="49"/>
      <c r="Z86" s="49"/>
      <c r="AA86" s="49"/>
      <c r="AB86" s="49"/>
      <c r="AC86" s="49"/>
      <c r="AD86" s="49"/>
      <c r="AE86" s="49"/>
      <c r="AF86" s="49"/>
      <c r="AG86" s="49"/>
      <c r="AH86" s="49"/>
      <c r="AI86" s="49"/>
      <c r="AJ86" s="49"/>
      <c r="AK86" s="49"/>
      <c r="AL86" s="49"/>
      <c r="AM86" s="49"/>
      <c r="AN86" s="49"/>
      <c r="AO86" s="49"/>
    </row>
    <row r="87" spans="3:41" ht="12.75" customHeight="1">
      <c r="C87" s="49"/>
      <c r="D87" s="49"/>
      <c r="E87" s="49"/>
      <c r="F87" s="49"/>
      <c r="G87" s="49"/>
      <c r="H87" s="49"/>
      <c r="I87" s="49"/>
      <c r="J87" s="49"/>
      <c r="K87" s="49"/>
      <c r="L87" s="49"/>
      <c r="M87" s="49"/>
      <c r="S87" s="49"/>
      <c r="T87" s="49"/>
      <c r="U87" s="49"/>
      <c r="W87" s="49"/>
      <c r="X87" s="49"/>
      <c r="Y87" s="49"/>
      <c r="Z87" s="49"/>
      <c r="AA87" s="49"/>
      <c r="AB87" s="49"/>
      <c r="AC87" s="49"/>
      <c r="AD87" s="49"/>
      <c r="AE87" s="49"/>
      <c r="AF87" s="49"/>
      <c r="AG87" s="49"/>
      <c r="AH87" s="49"/>
      <c r="AI87" s="49"/>
      <c r="AJ87" s="49"/>
      <c r="AK87" s="49"/>
      <c r="AL87" s="49"/>
      <c r="AM87" s="49"/>
      <c r="AN87" s="49"/>
      <c r="AO87" s="49"/>
    </row>
    <row r="88" spans="3:41" ht="12.75" customHeight="1">
      <c r="C88" s="49"/>
      <c r="D88" s="49"/>
      <c r="E88" s="49"/>
      <c r="F88" s="49"/>
      <c r="G88" s="49"/>
      <c r="H88" s="49"/>
      <c r="I88" s="49"/>
      <c r="J88" s="49"/>
      <c r="K88" s="49"/>
      <c r="L88" s="49"/>
      <c r="M88" s="49"/>
      <c r="S88" s="49"/>
      <c r="T88" s="49"/>
      <c r="U88" s="49"/>
      <c r="W88" s="49"/>
      <c r="X88" s="49"/>
      <c r="Y88" s="49"/>
      <c r="Z88" s="49"/>
      <c r="AA88" s="49"/>
      <c r="AB88" s="49"/>
      <c r="AC88" s="49"/>
      <c r="AD88" s="49"/>
      <c r="AE88" s="49"/>
      <c r="AF88" s="49"/>
      <c r="AG88" s="49"/>
      <c r="AH88" s="49"/>
      <c r="AI88" s="49"/>
      <c r="AJ88" s="49"/>
      <c r="AK88" s="49"/>
      <c r="AL88" s="49"/>
      <c r="AM88" s="49"/>
      <c r="AN88" s="49"/>
      <c r="AO88" s="49"/>
    </row>
    <row r="89" spans="3:41" ht="12.75" customHeight="1">
      <c r="C89" s="49"/>
      <c r="D89" s="49"/>
      <c r="E89" s="49"/>
      <c r="F89" s="49"/>
      <c r="G89" s="49"/>
      <c r="H89" s="49"/>
      <c r="I89" s="49"/>
      <c r="J89" s="49"/>
      <c r="K89" s="49"/>
      <c r="L89" s="49"/>
      <c r="M89" s="49"/>
      <c r="S89" s="49"/>
      <c r="T89" s="49"/>
      <c r="U89" s="49"/>
      <c r="W89" s="49"/>
      <c r="X89" s="49"/>
      <c r="Y89" s="49"/>
      <c r="Z89" s="49"/>
      <c r="AA89" s="49"/>
      <c r="AB89" s="49"/>
      <c r="AC89" s="49"/>
      <c r="AD89" s="49"/>
      <c r="AE89" s="49"/>
      <c r="AF89" s="49"/>
      <c r="AG89" s="49"/>
      <c r="AH89" s="49"/>
      <c r="AI89" s="49"/>
      <c r="AJ89" s="49"/>
      <c r="AK89" s="49"/>
      <c r="AL89" s="49"/>
      <c r="AM89" s="49"/>
      <c r="AN89" s="49"/>
      <c r="AO89" s="49"/>
    </row>
    <row r="90" spans="3:41" ht="12.75" customHeight="1">
      <c r="C90" s="49"/>
      <c r="D90" s="49"/>
      <c r="E90" s="49"/>
      <c r="F90" s="49"/>
      <c r="G90" s="49"/>
      <c r="H90" s="49"/>
      <c r="I90" s="49"/>
      <c r="J90" s="49"/>
      <c r="K90" s="49"/>
      <c r="L90" s="49"/>
      <c r="M90" s="49"/>
      <c r="S90" s="49"/>
      <c r="T90" s="49"/>
      <c r="U90" s="49"/>
      <c r="W90" s="49"/>
      <c r="X90" s="49"/>
      <c r="Y90" s="49"/>
      <c r="Z90" s="49"/>
      <c r="AA90" s="49"/>
      <c r="AB90" s="49"/>
      <c r="AC90" s="49"/>
      <c r="AD90" s="49"/>
      <c r="AE90" s="49"/>
      <c r="AF90" s="49"/>
      <c r="AG90" s="49"/>
      <c r="AH90" s="49"/>
      <c r="AI90" s="49"/>
      <c r="AJ90" s="49"/>
      <c r="AK90" s="49"/>
      <c r="AL90" s="49"/>
      <c r="AM90" s="49"/>
      <c r="AN90" s="49"/>
      <c r="AO90" s="49"/>
    </row>
    <row r="91" spans="3:41" ht="12.75" customHeight="1">
      <c r="C91" s="49"/>
      <c r="D91" s="49"/>
      <c r="E91" s="49"/>
      <c r="F91" s="49"/>
      <c r="G91" s="49"/>
      <c r="H91" s="49"/>
      <c r="I91" s="49"/>
      <c r="J91" s="49"/>
      <c r="K91" s="49"/>
      <c r="L91" s="49"/>
      <c r="M91" s="49"/>
      <c r="S91" s="49"/>
      <c r="T91" s="49"/>
      <c r="U91" s="49"/>
      <c r="W91" s="49"/>
      <c r="X91" s="49"/>
      <c r="Y91" s="49"/>
      <c r="Z91" s="49"/>
      <c r="AA91" s="49"/>
      <c r="AB91" s="49"/>
      <c r="AC91" s="49"/>
      <c r="AD91" s="49"/>
      <c r="AE91" s="49"/>
      <c r="AF91" s="49"/>
      <c r="AG91" s="49"/>
      <c r="AH91" s="49"/>
      <c r="AI91" s="49"/>
      <c r="AJ91" s="49"/>
      <c r="AK91" s="49"/>
      <c r="AL91" s="49"/>
      <c r="AM91" s="49"/>
      <c r="AN91" s="49"/>
      <c r="AO91" s="49"/>
    </row>
    <row r="92" spans="3:41" ht="12.75" customHeight="1">
      <c r="C92" s="49"/>
      <c r="D92" s="49"/>
      <c r="E92" s="49"/>
      <c r="F92" s="49"/>
      <c r="G92" s="49"/>
      <c r="H92" s="49"/>
      <c r="I92" s="49"/>
      <c r="J92" s="49"/>
      <c r="K92" s="49"/>
      <c r="L92" s="49"/>
      <c r="M92" s="49"/>
      <c r="S92" s="49"/>
      <c r="T92" s="49"/>
      <c r="U92" s="49"/>
      <c r="W92" s="49"/>
      <c r="X92" s="49"/>
      <c r="Y92" s="49"/>
      <c r="Z92" s="49"/>
      <c r="AA92" s="49"/>
      <c r="AB92" s="49"/>
      <c r="AC92" s="49"/>
      <c r="AD92" s="49"/>
      <c r="AE92" s="49"/>
      <c r="AF92" s="49"/>
      <c r="AG92" s="49"/>
      <c r="AH92" s="49"/>
      <c r="AI92" s="49"/>
      <c r="AJ92" s="49"/>
      <c r="AK92" s="49"/>
      <c r="AL92" s="49"/>
      <c r="AM92" s="49"/>
      <c r="AN92" s="49"/>
      <c r="AO92" s="49"/>
    </row>
    <row r="93" spans="3:41" ht="12.75" customHeight="1">
      <c r="C93" s="49"/>
      <c r="D93" s="49"/>
      <c r="E93" s="49"/>
      <c r="F93" s="49"/>
      <c r="G93" s="49"/>
      <c r="H93" s="49"/>
      <c r="I93" s="49"/>
      <c r="J93" s="49"/>
      <c r="K93" s="49"/>
      <c r="L93" s="49"/>
      <c r="M93" s="49"/>
      <c r="S93" s="49"/>
      <c r="T93" s="49"/>
      <c r="U93" s="49"/>
      <c r="W93" s="49"/>
      <c r="X93" s="49"/>
      <c r="Y93" s="49"/>
      <c r="Z93" s="49"/>
      <c r="AA93" s="49"/>
      <c r="AB93" s="49"/>
      <c r="AC93" s="49"/>
      <c r="AD93" s="49"/>
      <c r="AE93" s="49"/>
      <c r="AF93" s="49"/>
      <c r="AG93" s="49"/>
      <c r="AH93" s="49"/>
      <c r="AI93" s="49"/>
      <c r="AJ93" s="49"/>
      <c r="AK93" s="49"/>
      <c r="AL93" s="49"/>
      <c r="AM93" s="49"/>
      <c r="AN93" s="49"/>
      <c r="AO93" s="49"/>
    </row>
    <row r="94" spans="3:41" ht="12.75" customHeight="1">
      <c r="C94" s="49"/>
      <c r="D94" s="49"/>
      <c r="E94" s="49"/>
      <c r="F94" s="49"/>
      <c r="G94" s="49"/>
      <c r="H94" s="49"/>
      <c r="I94" s="49"/>
      <c r="J94" s="49"/>
      <c r="K94" s="49"/>
      <c r="L94" s="49"/>
      <c r="M94" s="49"/>
      <c r="S94" s="49"/>
      <c r="T94" s="49"/>
      <c r="U94" s="49"/>
      <c r="W94" s="49"/>
      <c r="X94" s="49"/>
      <c r="Y94" s="49"/>
      <c r="Z94" s="49"/>
      <c r="AA94" s="49"/>
      <c r="AB94" s="49"/>
      <c r="AC94" s="49"/>
      <c r="AD94" s="49"/>
      <c r="AE94" s="49"/>
      <c r="AF94" s="49"/>
      <c r="AG94" s="49"/>
      <c r="AH94" s="49"/>
      <c r="AI94" s="49"/>
      <c r="AJ94" s="49"/>
      <c r="AK94" s="49"/>
      <c r="AL94" s="49"/>
      <c r="AM94" s="49"/>
      <c r="AN94" s="49"/>
      <c r="AO94" s="49"/>
    </row>
    <row r="95" spans="3:41" ht="12.75" customHeight="1">
      <c r="C95" s="49"/>
      <c r="D95" s="49"/>
      <c r="E95" s="49"/>
      <c r="F95" s="49"/>
      <c r="G95" s="49"/>
      <c r="H95" s="49"/>
      <c r="I95" s="49"/>
      <c r="J95" s="49"/>
      <c r="K95" s="49"/>
      <c r="L95" s="49"/>
      <c r="M95" s="49"/>
      <c r="S95" s="49"/>
      <c r="T95" s="49"/>
      <c r="U95" s="49"/>
      <c r="W95" s="49"/>
      <c r="X95" s="49"/>
      <c r="Y95" s="49"/>
      <c r="Z95" s="49"/>
      <c r="AA95" s="49"/>
      <c r="AB95" s="49"/>
      <c r="AC95" s="49"/>
      <c r="AD95" s="49"/>
      <c r="AE95" s="49"/>
      <c r="AF95" s="49"/>
      <c r="AG95" s="49"/>
      <c r="AH95" s="49"/>
      <c r="AI95" s="49"/>
      <c r="AJ95" s="49"/>
      <c r="AK95" s="49"/>
      <c r="AL95" s="49"/>
      <c r="AM95" s="49"/>
      <c r="AN95" s="49"/>
      <c r="AO95" s="49"/>
    </row>
    <row r="96" spans="3:41" ht="12.75" customHeight="1">
      <c r="C96" s="49"/>
      <c r="D96" s="49"/>
      <c r="E96" s="49"/>
      <c r="F96" s="49"/>
      <c r="G96" s="49"/>
      <c r="H96" s="49"/>
      <c r="I96" s="49"/>
      <c r="J96" s="49"/>
      <c r="K96" s="49"/>
      <c r="L96" s="49"/>
      <c r="M96" s="49"/>
      <c r="S96" s="49"/>
      <c r="T96" s="49"/>
      <c r="U96" s="49"/>
      <c r="W96" s="49"/>
      <c r="X96" s="49"/>
      <c r="Y96" s="49"/>
      <c r="Z96" s="49"/>
      <c r="AA96" s="49"/>
      <c r="AB96" s="49"/>
      <c r="AC96" s="49"/>
      <c r="AD96" s="49"/>
      <c r="AE96" s="49"/>
      <c r="AF96" s="49"/>
      <c r="AG96" s="49"/>
      <c r="AH96" s="49"/>
      <c r="AI96" s="49"/>
      <c r="AJ96" s="49"/>
      <c r="AK96" s="49"/>
      <c r="AL96" s="49"/>
      <c r="AM96" s="49"/>
      <c r="AN96" s="49"/>
      <c r="AO96" s="49"/>
    </row>
    <row r="97" spans="3:41" ht="12.75" customHeight="1">
      <c r="C97" s="49"/>
      <c r="D97" s="49"/>
      <c r="E97" s="49"/>
      <c r="F97" s="49"/>
      <c r="G97" s="49"/>
      <c r="H97" s="49"/>
      <c r="I97" s="49"/>
      <c r="J97" s="49"/>
      <c r="K97" s="49"/>
      <c r="L97" s="49"/>
      <c r="M97" s="49"/>
      <c r="S97" s="49"/>
      <c r="T97" s="49"/>
      <c r="U97" s="49"/>
      <c r="W97" s="49"/>
      <c r="X97" s="49"/>
      <c r="Y97" s="49"/>
      <c r="Z97" s="49"/>
      <c r="AA97" s="49"/>
      <c r="AB97" s="49"/>
      <c r="AC97" s="49"/>
      <c r="AD97" s="49"/>
      <c r="AE97" s="49"/>
      <c r="AF97" s="49"/>
      <c r="AG97" s="49"/>
      <c r="AH97" s="49"/>
      <c r="AI97" s="49"/>
      <c r="AJ97" s="49"/>
      <c r="AK97" s="49"/>
      <c r="AL97" s="49"/>
      <c r="AM97" s="49"/>
      <c r="AN97" s="49"/>
      <c r="AO97" s="49"/>
    </row>
    <row r="98" spans="3:41" ht="12.75" customHeight="1">
      <c r="C98" s="49"/>
      <c r="D98" s="49"/>
      <c r="E98" s="49"/>
      <c r="F98" s="49"/>
      <c r="G98" s="49"/>
      <c r="H98" s="49"/>
      <c r="I98" s="49"/>
      <c r="J98" s="49"/>
      <c r="K98" s="49"/>
      <c r="L98" s="49"/>
      <c r="M98" s="49"/>
      <c r="S98" s="49"/>
      <c r="T98" s="49"/>
      <c r="U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S99" s="49"/>
      <c r="T99" s="49"/>
      <c r="U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S100" s="49"/>
      <c r="T100" s="49"/>
      <c r="U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S101" s="49"/>
      <c r="T101" s="49"/>
      <c r="U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S102" s="49"/>
      <c r="T102" s="49"/>
      <c r="U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S103" s="49"/>
      <c r="T103" s="49"/>
      <c r="U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S104" s="49"/>
      <c r="T104" s="49"/>
      <c r="U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S105" s="49"/>
      <c r="T105" s="49"/>
      <c r="U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S106" s="49"/>
      <c r="T106" s="49"/>
      <c r="U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S107" s="49"/>
      <c r="T107" s="49"/>
      <c r="U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S108" s="49"/>
      <c r="T108" s="49"/>
      <c r="U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S109" s="49"/>
      <c r="T109" s="49"/>
      <c r="U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S110" s="49"/>
      <c r="T110" s="49"/>
      <c r="U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S111" s="49"/>
      <c r="T111" s="49"/>
      <c r="U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S112" s="49"/>
      <c r="T112" s="49"/>
      <c r="U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S113" s="49"/>
      <c r="T113" s="49"/>
      <c r="U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S114" s="49"/>
      <c r="T114" s="49"/>
      <c r="U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S115" s="49"/>
      <c r="T115" s="49"/>
      <c r="U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S116" s="49"/>
      <c r="T116" s="49"/>
      <c r="U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S117" s="49"/>
      <c r="T117" s="49"/>
      <c r="U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S118" s="49"/>
      <c r="T118" s="49"/>
      <c r="U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S119" s="49"/>
      <c r="T119" s="49"/>
      <c r="U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S120" s="49"/>
      <c r="T120" s="49"/>
      <c r="U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S121" s="49"/>
      <c r="T121" s="49"/>
      <c r="U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S122" s="49"/>
      <c r="T122" s="49"/>
      <c r="U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S123" s="49"/>
      <c r="T123" s="49"/>
      <c r="U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S124" s="49"/>
      <c r="T124" s="49"/>
      <c r="U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S125" s="49"/>
      <c r="T125" s="49"/>
      <c r="U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S126" s="49"/>
      <c r="T126" s="49"/>
      <c r="U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S127" s="49"/>
      <c r="T127" s="49"/>
      <c r="U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S128" s="49"/>
      <c r="T128" s="49"/>
      <c r="U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S129" s="49"/>
      <c r="T129" s="49"/>
      <c r="U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S130" s="49"/>
      <c r="T130" s="49"/>
      <c r="U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S131" s="49"/>
      <c r="T131" s="49"/>
      <c r="U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S132" s="49"/>
      <c r="T132" s="49"/>
      <c r="U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S133" s="49"/>
      <c r="T133" s="49"/>
      <c r="U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S134" s="49"/>
      <c r="T134" s="49"/>
      <c r="U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S135" s="49"/>
      <c r="T135" s="49"/>
      <c r="U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S136" s="49"/>
      <c r="T136" s="49"/>
      <c r="U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S137" s="49"/>
      <c r="T137" s="49"/>
      <c r="U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S138" s="49"/>
      <c r="T138" s="49"/>
      <c r="U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S139" s="49"/>
      <c r="T139" s="49"/>
      <c r="U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S140" s="49"/>
      <c r="T140" s="49"/>
      <c r="U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S141" s="49"/>
      <c r="T141" s="49"/>
      <c r="U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S142" s="49"/>
      <c r="T142" s="49"/>
      <c r="U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S143" s="49"/>
      <c r="T143" s="49"/>
      <c r="U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S144" s="49"/>
      <c r="T144" s="49"/>
      <c r="U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S145" s="49"/>
      <c r="T145" s="49"/>
      <c r="U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S146" s="49"/>
      <c r="T146" s="49"/>
      <c r="U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S147" s="49"/>
      <c r="T147" s="49"/>
      <c r="U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S148" s="49"/>
      <c r="T148" s="49"/>
      <c r="U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S149" s="49"/>
      <c r="T149" s="49"/>
      <c r="U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S150" s="49"/>
      <c r="T150" s="49"/>
      <c r="U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S151" s="49"/>
      <c r="T151" s="49"/>
      <c r="U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S152" s="49"/>
      <c r="T152" s="49"/>
      <c r="U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S153" s="49"/>
      <c r="T153" s="49"/>
      <c r="U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S154" s="49"/>
      <c r="T154" s="49"/>
      <c r="U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S155" s="49"/>
      <c r="T155" s="49"/>
      <c r="U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S156" s="49"/>
      <c r="T156" s="49"/>
      <c r="U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S157" s="49"/>
      <c r="T157" s="49"/>
      <c r="U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S158" s="49"/>
      <c r="T158" s="49"/>
      <c r="U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S159" s="49"/>
      <c r="T159" s="49"/>
      <c r="U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S160" s="49"/>
      <c r="T160" s="49"/>
      <c r="U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S161" s="49"/>
      <c r="T161" s="49"/>
      <c r="U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S162" s="49"/>
      <c r="T162" s="49"/>
      <c r="U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S163" s="49"/>
      <c r="T163" s="49"/>
      <c r="U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S164" s="49"/>
      <c r="T164" s="49"/>
      <c r="U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S165" s="49"/>
      <c r="T165" s="49"/>
      <c r="U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S166" s="49"/>
      <c r="T166" s="49"/>
      <c r="U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S167" s="49"/>
      <c r="T167" s="49"/>
      <c r="U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S168" s="49"/>
      <c r="T168" s="49"/>
      <c r="U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S169" s="49"/>
      <c r="T169" s="49"/>
      <c r="U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S170" s="49"/>
      <c r="T170" s="49"/>
      <c r="U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S171" s="49"/>
      <c r="T171" s="49"/>
      <c r="U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S172" s="49"/>
      <c r="T172" s="49"/>
      <c r="U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S173" s="49"/>
      <c r="T173" s="49"/>
      <c r="U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S174" s="49"/>
      <c r="T174" s="49"/>
      <c r="U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S175" s="49"/>
      <c r="T175" s="49"/>
      <c r="U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S176" s="49"/>
      <c r="T176" s="49"/>
      <c r="U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S177" s="49"/>
      <c r="T177" s="49"/>
      <c r="U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S178" s="49"/>
      <c r="T178" s="49"/>
      <c r="U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S179" s="49"/>
      <c r="T179" s="49"/>
      <c r="U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S180" s="49"/>
      <c r="T180" s="49"/>
      <c r="U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S181" s="49"/>
      <c r="T181" s="49"/>
      <c r="U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S182" s="49"/>
      <c r="T182" s="49"/>
      <c r="U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S183" s="49"/>
      <c r="T183" s="49"/>
      <c r="U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S184" s="49"/>
      <c r="T184" s="49"/>
      <c r="U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S185" s="49"/>
      <c r="T185" s="49"/>
      <c r="U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S186" s="49"/>
      <c r="T186" s="49"/>
      <c r="U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S187" s="49"/>
      <c r="T187" s="49"/>
      <c r="U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S188" s="49"/>
      <c r="T188" s="49"/>
      <c r="U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S189" s="49"/>
      <c r="T189" s="49"/>
      <c r="U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S190" s="49"/>
      <c r="T190" s="49"/>
      <c r="U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S191" s="49"/>
      <c r="T191" s="49"/>
      <c r="U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S192" s="49"/>
      <c r="T192" s="49"/>
      <c r="U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S193" s="49"/>
      <c r="T193" s="49"/>
      <c r="U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S194" s="49"/>
      <c r="T194" s="49"/>
      <c r="U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S195" s="49"/>
      <c r="T195" s="49"/>
      <c r="U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S196" s="49"/>
      <c r="T196" s="49"/>
      <c r="U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S197" s="49"/>
      <c r="T197" s="49"/>
      <c r="U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S198" s="49"/>
      <c r="T198" s="49"/>
      <c r="U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S199" s="49"/>
      <c r="T199" s="49"/>
      <c r="U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S200" s="49"/>
      <c r="T200" s="49"/>
      <c r="U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S201" s="49"/>
      <c r="T201" s="49"/>
      <c r="U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S202" s="49"/>
      <c r="T202" s="49"/>
      <c r="U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S203" s="49"/>
      <c r="T203" s="49"/>
      <c r="U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S204" s="49"/>
      <c r="T204" s="49"/>
      <c r="U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S205" s="49"/>
      <c r="T205" s="49"/>
      <c r="U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S206" s="49"/>
      <c r="T206" s="49"/>
      <c r="U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S207" s="49"/>
      <c r="T207" s="49"/>
      <c r="U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S208" s="49"/>
      <c r="T208" s="49"/>
      <c r="U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S209" s="49"/>
      <c r="T209" s="49"/>
      <c r="U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S210" s="49"/>
      <c r="T210" s="49"/>
      <c r="U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S211" s="49"/>
      <c r="T211" s="49"/>
      <c r="U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S212" s="49"/>
      <c r="T212" s="49"/>
      <c r="U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S213" s="49"/>
      <c r="T213" s="49"/>
      <c r="U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S214" s="49"/>
      <c r="T214" s="49"/>
      <c r="U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S215" s="49"/>
      <c r="T215" s="49"/>
      <c r="U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S216" s="49"/>
      <c r="T216" s="49"/>
      <c r="U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S217" s="49"/>
      <c r="T217" s="49"/>
      <c r="U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S218" s="49"/>
      <c r="T218" s="49"/>
      <c r="U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S219" s="49"/>
      <c r="T219" s="49"/>
      <c r="U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S220" s="49"/>
      <c r="T220" s="49"/>
      <c r="U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S221" s="49"/>
      <c r="T221" s="49"/>
      <c r="U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S222" s="49"/>
      <c r="T222" s="49"/>
      <c r="U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S223" s="49"/>
      <c r="T223" s="49"/>
      <c r="U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S224" s="49"/>
      <c r="T224" s="49"/>
      <c r="U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S225" s="49"/>
      <c r="T225" s="49"/>
      <c r="U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S226" s="49"/>
      <c r="T226" s="49"/>
      <c r="U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S227" s="49"/>
      <c r="T227" s="49"/>
      <c r="U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S228" s="49"/>
      <c r="T228" s="49"/>
      <c r="U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S229" s="49"/>
      <c r="T229" s="49"/>
      <c r="U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S230" s="49"/>
      <c r="T230" s="49"/>
      <c r="U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S231" s="49"/>
      <c r="T231" s="49"/>
      <c r="U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S232" s="49"/>
      <c r="T232" s="49"/>
      <c r="U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S233" s="49"/>
      <c r="T233" s="49"/>
      <c r="U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S234" s="49"/>
      <c r="T234" s="49"/>
      <c r="U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S235" s="49"/>
      <c r="T235" s="49"/>
      <c r="U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S236" s="49"/>
      <c r="T236" s="49"/>
      <c r="U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S237" s="49"/>
      <c r="T237" s="49"/>
      <c r="U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S238" s="49"/>
      <c r="T238" s="49"/>
      <c r="U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S239" s="49"/>
      <c r="T239" s="49"/>
      <c r="U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S240" s="49"/>
      <c r="T240" s="49"/>
      <c r="U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S241" s="49"/>
      <c r="T241" s="49"/>
      <c r="U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S242" s="49"/>
      <c r="T242" s="49"/>
      <c r="U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S243" s="49"/>
      <c r="T243" s="49"/>
      <c r="U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S244" s="49"/>
      <c r="T244" s="49"/>
      <c r="U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S245" s="49"/>
      <c r="T245" s="49"/>
      <c r="U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S246" s="49"/>
      <c r="T246" s="49"/>
      <c r="U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S247" s="49"/>
      <c r="T247" s="49"/>
      <c r="U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S248" s="49"/>
      <c r="T248" s="49"/>
      <c r="U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S249" s="49"/>
      <c r="T249" s="49"/>
      <c r="U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S250" s="49"/>
      <c r="T250" s="49"/>
      <c r="U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S251" s="49"/>
      <c r="T251" s="49"/>
      <c r="U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S252" s="49"/>
      <c r="T252" s="49"/>
      <c r="U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S253" s="49"/>
      <c r="T253" s="49"/>
      <c r="U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S254" s="49"/>
      <c r="T254" s="49"/>
      <c r="U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S255" s="49"/>
      <c r="T255" s="49"/>
      <c r="U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S256" s="49"/>
      <c r="T256" s="49"/>
      <c r="U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S257" s="49"/>
      <c r="T257" s="49"/>
      <c r="U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S258" s="49"/>
      <c r="T258" s="49"/>
      <c r="U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S259" s="49"/>
      <c r="T259" s="49"/>
      <c r="U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S260" s="49"/>
      <c r="T260" s="49"/>
      <c r="U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S261" s="49"/>
      <c r="T261" s="49"/>
      <c r="U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S262" s="49"/>
      <c r="T262" s="49"/>
      <c r="U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S263" s="49"/>
      <c r="T263" s="49"/>
      <c r="U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S264" s="49"/>
      <c r="T264" s="49"/>
      <c r="U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S265" s="49"/>
      <c r="T265" s="49"/>
      <c r="U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S266" s="49"/>
      <c r="T266" s="49"/>
      <c r="U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S267" s="49"/>
      <c r="T267" s="49"/>
      <c r="U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S268" s="49"/>
      <c r="T268" s="49"/>
      <c r="U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S269" s="49"/>
      <c r="T269" s="49"/>
      <c r="U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S270" s="49"/>
      <c r="T270" s="49"/>
      <c r="U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S271" s="49"/>
      <c r="T271" s="49"/>
      <c r="U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S272" s="49"/>
      <c r="T272" s="49"/>
      <c r="U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S273" s="49"/>
      <c r="T273" s="49"/>
      <c r="U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S274" s="49"/>
      <c r="T274" s="49"/>
      <c r="U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S275" s="49"/>
      <c r="T275" s="49"/>
      <c r="U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S276" s="49"/>
      <c r="T276" s="49"/>
      <c r="U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S277" s="49"/>
      <c r="T277" s="49"/>
      <c r="U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S278" s="49"/>
      <c r="T278" s="49"/>
      <c r="U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S279" s="49"/>
      <c r="T279" s="49"/>
      <c r="U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S280" s="49"/>
      <c r="T280" s="49"/>
      <c r="U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S281" s="49"/>
      <c r="T281" s="49"/>
      <c r="U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S282" s="49"/>
      <c r="T282" s="49"/>
      <c r="U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S283" s="49"/>
      <c r="T283" s="49"/>
      <c r="U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S284" s="49"/>
      <c r="T284" s="49"/>
      <c r="U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S285" s="49"/>
      <c r="T285" s="49"/>
      <c r="U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S286" s="49"/>
      <c r="T286" s="49"/>
      <c r="U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S287" s="49"/>
      <c r="T287" s="49"/>
      <c r="U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S288" s="49"/>
      <c r="T288" s="49"/>
      <c r="U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S289" s="49"/>
      <c r="T289" s="49"/>
      <c r="U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S290" s="49"/>
      <c r="T290" s="49"/>
      <c r="U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S291" s="49"/>
      <c r="T291" s="49"/>
      <c r="U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S292" s="49"/>
      <c r="T292" s="49"/>
      <c r="U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S293" s="49"/>
      <c r="T293" s="49"/>
      <c r="U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S294" s="49"/>
      <c r="T294" s="49"/>
      <c r="U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S295" s="49"/>
      <c r="T295" s="49"/>
      <c r="U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S296" s="49"/>
      <c r="T296" s="49"/>
      <c r="U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S297" s="49"/>
      <c r="T297" s="49"/>
      <c r="U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S298" s="49"/>
      <c r="T298" s="49"/>
      <c r="U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S299" s="49"/>
      <c r="T299" s="49"/>
      <c r="U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S300" s="49"/>
      <c r="T300" s="49"/>
      <c r="U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S301" s="49"/>
      <c r="T301" s="49"/>
      <c r="U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S302" s="49"/>
      <c r="T302" s="49"/>
      <c r="U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S303" s="49"/>
      <c r="T303" s="49"/>
      <c r="U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S304" s="49"/>
      <c r="T304" s="49"/>
      <c r="U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S305" s="49"/>
      <c r="T305" s="49"/>
      <c r="U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S306" s="49"/>
      <c r="T306" s="49"/>
      <c r="U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S307" s="49"/>
      <c r="T307" s="49"/>
      <c r="U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S308" s="49"/>
      <c r="T308" s="49"/>
      <c r="U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S309" s="49"/>
      <c r="T309" s="49"/>
      <c r="U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S310" s="49"/>
      <c r="T310" s="49"/>
      <c r="U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S311" s="49"/>
      <c r="T311" s="49"/>
      <c r="U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S312" s="49"/>
      <c r="T312" s="49"/>
      <c r="U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S313" s="49"/>
      <c r="T313" s="49"/>
      <c r="U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S314" s="49"/>
      <c r="T314" s="49"/>
      <c r="U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S315" s="49"/>
      <c r="T315" s="49"/>
      <c r="U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S316" s="49"/>
      <c r="T316" s="49"/>
      <c r="U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S317" s="49"/>
      <c r="T317" s="49"/>
      <c r="U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S318" s="49"/>
      <c r="T318" s="49"/>
      <c r="U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S319" s="49"/>
      <c r="T319" s="49"/>
      <c r="U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S320" s="49"/>
      <c r="T320" s="49"/>
      <c r="U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S321" s="49"/>
      <c r="T321" s="49"/>
      <c r="U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S322" s="49"/>
      <c r="T322" s="49"/>
      <c r="U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S323" s="49"/>
      <c r="T323" s="49"/>
      <c r="U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S324" s="49"/>
      <c r="T324" s="49"/>
      <c r="U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S325" s="49"/>
      <c r="T325" s="49"/>
      <c r="U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S326" s="49"/>
      <c r="T326" s="49"/>
      <c r="U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S327" s="49"/>
      <c r="T327" s="49"/>
      <c r="U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S328" s="49"/>
      <c r="T328" s="49"/>
      <c r="U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S329" s="49"/>
      <c r="T329" s="49"/>
      <c r="U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S330" s="49"/>
      <c r="T330" s="49"/>
      <c r="U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S331" s="49"/>
      <c r="T331" s="49"/>
      <c r="U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S332" s="49"/>
      <c r="T332" s="49"/>
      <c r="U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S333" s="49"/>
      <c r="T333" s="49"/>
      <c r="U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S334" s="49"/>
      <c r="T334" s="49"/>
      <c r="U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S335" s="49"/>
      <c r="T335" s="49"/>
      <c r="U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S336" s="49"/>
      <c r="T336" s="49"/>
      <c r="U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S337" s="49"/>
      <c r="T337" s="49"/>
      <c r="U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S338" s="49"/>
      <c r="T338" s="49"/>
      <c r="U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S339" s="49"/>
      <c r="T339" s="49"/>
      <c r="U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S340" s="49"/>
      <c r="T340" s="49"/>
      <c r="U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S341" s="49"/>
      <c r="T341" s="49"/>
      <c r="U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S342" s="49"/>
      <c r="T342" s="49"/>
      <c r="U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S343" s="49"/>
      <c r="T343" s="49"/>
      <c r="U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S344" s="49"/>
      <c r="T344" s="49"/>
      <c r="U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S345" s="49"/>
      <c r="T345" s="49"/>
      <c r="U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S346" s="49"/>
      <c r="T346" s="49"/>
      <c r="U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S347" s="49"/>
      <c r="T347" s="49"/>
      <c r="U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S348" s="49"/>
      <c r="T348" s="49"/>
      <c r="U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S349" s="49"/>
      <c r="T349" s="49"/>
      <c r="U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S350" s="49"/>
      <c r="T350" s="49"/>
      <c r="U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S351" s="49"/>
      <c r="T351" s="49"/>
      <c r="U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S352" s="49"/>
      <c r="T352" s="49"/>
      <c r="U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S353" s="49"/>
      <c r="T353" s="49"/>
      <c r="U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S354" s="49"/>
      <c r="T354" s="49"/>
      <c r="U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S355" s="49"/>
      <c r="T355" s="49"/>
      <c r="U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S356" s="49"/>
      <c r="T356" s="49"/>
      <c r="U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S357" s="49"/>
      <c r="T357" s="49"/>
      <c r="U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S358" s="49"/>
      <c r="T358" s="49"/>
      <c r="U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S359" s="49"/>
      <c r="T359" s="49"/>
      <c r="U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S360" s="49"/>
      <c r="T360" s="49"/>
      <c r="U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S361" s="49"/>
      <c r="T361" s="49"/>
      <c r="U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S362" s="49"/>
      <c r="T362" s="49"/>
      <c r="U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S363" s="49"/>
      <c r="T363" s="49"/>
      <c r="U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S364" s="49"/>
      <c r="T364" s="49"/>
      <c r="U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S365" s="49"/>
      <c r="T365" s="49"/>
      <c r="U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S366" s="49"/>
      <c r="T366" s="49"/>
      <c r="U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S367" s="49"/>
      <c r="T367" s="49"/>
      <c r="U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S368" s="49"/>
      <c r="T368" s="49"/>
      <c r="U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S369" s="49"/>
      <c r="T369" s="49"/>
      <c r="U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S370" s="49"/>
      <c r="T370" s="49"/>
      <c r="U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S371" s="49"/>
      <c r="T371" s="49"/>
      <c r="U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S372" s="49"/>
      <c r="T372" s="49"/>
      <c r="U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S373" s="49"/>
      <c r="T373" s="49"/>
      <c r="U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S374" s="49"/>
      <c r="T374" s="49"/>
      <c r="U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S375" s="49"/>
      <c r="T375" s="49"/>
      <c r="U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S376" s="49"/>
      <c r="T376" s="49"/>
      <c r="U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S377" s="49"/>
      <c r="T377" s="49"/>
      <c r="U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S378" s="49"/>
      <c r="T378" s="49"/>
      <c r="U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S379" s="49"/>
      <c r="T379" s="49"/>
      <c r="U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S380" s="49"/>
      <c r="T380" s="49"/>
      <c r="U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S381" s="49"/>
      <c r="T381" s="49"/>
      <c r="U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S382" s="49"/>
      <c r="T382" s="49"/>
      <c r="U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S383" s="49"/>
      <c r="T383" s="49"/>
      <c r="U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S384" s="49"/>
      <c r="T384" s="49"/>
      <c r="U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S385" s="49"/>
      <c r="T385" s="49"/>
      <c r="U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S386" s="49"/>
      <c r="T386" s="49"/>
      <c r="U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S387" s="49"/>
      <c r="T387" s="49"/>
      <c r="U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S388" s="49"/>
      <c r="T388" s="49"/>
      <c r="U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S389" s="49"/>
      <c r="T389" s="49"/>
      <c r="U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S390" s="49"/>
      <c r="T390" s="49"/>
      <c r="U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S391" s="49"/>
      <c r="T391" s="49"/>
      <c r="U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S392" s="49"/>
      <c r="T392" s="49"/>
      <c r="U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S393" s="49"/>
      <c r="T393" s="49"/>
      <c r="U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S394" s="49"/>
      <c r="T394" s="49"/>
      <c r="U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S395" s="49"/>
      <c r="T395" s="49"/>
      <c r="U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S396" s="49"/>
      <c r="T396" s="49"/>
      <c r="U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S397" s="49"/>
      <c r="T397" s="49"/>
      <c r="U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S398" s="49"/>
      <c r="T398" s="49"/>
      <c r="U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S399" s="49"/>
      <c r="T399" s="49"/>
      <c r="U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S400" s="49"/>
      <c r="T400" s="49"/>
      <c r="U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S401" s="49"/>
      <c r="T401" s="49"/>
      <c r="U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S402" s="49"/>
      <c r="T402" s="49"/>
      <c r="U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S403" s="49"/>
      <c r="T403" s="49"/>
      <c r="U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S404" s="49"/>
      <c r="T404" s="49"/>
      <c r="U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S405" s="49"/>
      <c r="T405" s="49"/>
      <c r="U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S406" s="49"/>
      <c r="T406" s="49"/>
      <c r="U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S407" s="49"/>
      <c r="T407" s="49"/>
      <c r="U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S408" s="49"/>
      <c r="T408" s="49"/>
      <c r="U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S409" s="49"/>
      <c r="T409" s="49"/>
      <c r="U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S410" s="49"/>
      <c r="T410" s="49"/>
      <c r="U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S411" s="49"/>
      <c r="T411" s="49"/>
      <c r="U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S412" s="49"/>
      <c r="T412" s="49"/>
      <c r="U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S413" s="49"/>
      <c r="T413" s="49"/>
      <c r="U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S414" s="49"/>
      <c r="T414" s="49"/>
      <c r="U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S415" s="49"/>
      <c r="T415" s="49"/>
      <c r="U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S416" s="49"/>
      <c r="T416" s="49"/>
      <c r="U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S417" s="49"/>
      <c r="T417" s="49"/>
      <c r="U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S418" s="49"/>
      <c r="T418" s="49"/>
      <c r="U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S419" s="49"/>
      <c r="T419" s="49"/>
      <c r="U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S420" s="49"/>
      <c r="T420" s="49"/>
      <c r="U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S421" s="49"/>
      <c r="T421" s="49"/>
      <c r="U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S422" s="49"/>
      <c r="T422" s="49"/>
      <c r="U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S423" s="49"/>
      <c r="T423" s="49"/>
      <c r="U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S424" s="49"/>
      <c r="T424" s="49"/>
      <c r="U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S425" s="49"/>
      <c r="T425" s="49"/>
      <c r="U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S426" s="49"/>
      <c r="T426" s="49"/>
      <c r="U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S427" s="49"/>
      <c r="T427" s="49"/>
      <c r="U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S428" s="49"/>
      <c r="T428" s="49"/>
      <c r="U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S429" s="49"/>
      <c r="T429" s="49"/>
      <c r="U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S430" s="49"/>
      <c r="T430" s="49"/>
      <c r="U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S431" s="49"/>
      <c r="T431" s="49"/>
      <c r="U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S432" s="49"/>
      <c r="T432" s="49"/>
      <c r="U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S433" s="49"/>
      <c r="T433" s="49"/>
      <c r="U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S434" s="49"/>
      <c r="T434" s="49"/>
      <c r="U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S435" s="49"/>
      <c r="T435" s="49"/>
      <c r="U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S436" s="49"/>
      <c r="T436" s="49"/>
      <c r="U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S437" s="49"/>
      <c r="T437" s="49"/>
      <c r="U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S438" s="49"/>
      <c r="T438" s="49"/>
      <c r="U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S439" s="49"/>
      <c r="T439" s="49"/>
      <c r="U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S440" s="49"/>
      <c r="T440" s="49"/>
      <c r="U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S441" s="49"/>
      <c r="T441" s="49"/>
      <c r="U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S442" s="49"/>
      <c r="T442" s="49"/>
      <c r="U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S443" s="49"/>
      <c r="T443" s="49"/>
      <c r="U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S444" s="49"/>
      <c r="T444" s="49"/>
      <c r="U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S445" s="49"/>
      <c r="T445" s="49"/>
      <c r="U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S446" s="49"/>
      <c r="T446" s="49"/>
      <c r="U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S447" s="49"/>
      <c r="T447" s="49"/>
      <c r="U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S448" s="49"/>
      <c r="T448" s="49"/>
      <c r="U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S449" s="49"/>
      <c r="T449" s="49"/>
      <c r="U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S450" s="49"/>
      <c r="T450" s="49"/>
      <c r="U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S451" s="49"/>
      <c r="T451" s="49"/>
      <c r="U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S452" s="49"/>
      <c r="T452" s="49"/>
      <c r="U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S453" s="49"/>
      <c r="T453" s="49"/>
      <c r="U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S454" s="49"/>
      <c r="T454" s="49"/>
      <c r="U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S455" s="49"/>
      <c r="T455" s="49"/>
      <c r="U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S456" s="49"/>
      <c r="T456" s="49"/>
      <c r="U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S457" s="49"/>
      <c r="T457" s="49"/>
      <c r="U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S458" s="49"/>
      <c r="T458" s="49"/>
      <c r="U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S459" s="49"/>
      <c r="T459" s="49"/>
      <c r="U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S460" s="49"/>
      <c r="T460" s="49"/>
      <c r="U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S461" s="49"/>
      <c r="T461" s="49"/>
      <c r="U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S462" s="49"/>
      <c r="T462" s="49"/>
      <c r="U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S463" s="49"/>
      <c r="T463" s="49"/>
      <c r="U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S464" s="49"/>
      <c r="T464" s="49"/>
      <c r="U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S465" s="49"/>
      <c r="T465" s="49"/>
      <c r="U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S466" s="49"/>
      <c r="T466" s="49"/>
      <c r="U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S467" s="49"/>
      <c r="T467" s="49"/>
      <c r="U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S468" s="49"/>
      <c r="T468" s="49"/>
      <c r="U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S469" s="49"/>
      <c r="T469" s="49"/>
      <c r="U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S470" s="49"/>
      <c r="T470" s="49"/>
      <c r="U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S471" s="49"/>
      <c r="T471" s="49"/>
      <c r="U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S472" s="49"/>
      <c r="T472" s="49"/>
      <c r="U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S473" s="49"/>
      <c r="T473" s="49"/>
      <c r="U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S474" s="49"/>
      <c r="T474" s="49"/>
      <c r="U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S475" s="49"/>
      <c r="T475" s="49"/>
      <c r="U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S476" s="49"/>
      <c r="T476" s="49"/>
      <c r="U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S477" s="49"/>
      <c r="T477" s="49"/>
      <c r="U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S478" s="49"/>
      <c r="T478" s="49"/>
      <c r="U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S479" s="49"/>
      <c r="T479" s="49"/>
      <c r="U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S480" s="49"/>
      <c r="T480" s="49"/>
      <c r="U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S481" s="49"/>
      <c r="T481" s="49"/>
      <c r="U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S482" s="49"/>
      <c r="T482" s="49"/>
      <c r="U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S483" s="49"/>
      <c r="T483" s="49"/>
      <c r="U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S484" s="49"/>
      <c r="T484" s="49"/>
      <c r="U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S485" s="49"/>
      <c r="T485" s="49"/>
      <c r="U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S486" s="49"/>
      <c r="T486" s="49"/>
      <c r="U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S487" s="49"/>
      <c r="T487" s="49"/>
      <c r="U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S488" s="49"/>
      <c r="T488" s="49"/>
      <c r="U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S489" s="49"/>
      <c r="T489" s="49"/>
      <c r="U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S490" s="49"/>
      <c r="T490" s="49"/>
      <c r="U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S491" s="49"/>
      <c r="T491" s="49"/>
      <c r="U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S492" s="49"/>
      <c r="T492" s="49"/>
      <c r="U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S493" s="49"/>
      <c r="T493" s="49"/>
      <c r="U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S494" s="49"/>
      <c r="T494" s="49"/>
      <c r="U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S495" s="49"/>
      <c r="T495" s="49"/>
      <c r="U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S496" s="49"/>
      <c r="T496" s="49"/>
      <c r="U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S497" s="49"/>
      <c r="T497" s="49"/>
      <c r="U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S498" s="49"/>
      <c r="T498" s="49"/>
      <c r="U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S499" s="49"/>
      <c r="T499" s="49"/>
      <c r="U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S500" s="49"/>
      <c r="T500" s="49"/>
      <c r="U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S501" s="49"/>
      <c r="T501" s="49"/>
      <c r="U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S502" s="49"/>
      <c r="T502" s="49"/>
      <c r="U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S503" s="49"/>
      <c r="T503" s="49"/>
      <c r="U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S504" s="49"/>
      <c r="T504" s="49"/>
      <c r="U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S505" s="49"/>
      <c r="T505" s="49"/>
      <c r="U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S506" s="49"/>
      <c r="T506" s="49"/>
      <c r="U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S507" s="49"/>
      <c r="T507" s="49"/>
      <c r="U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S508" s="49"/>
      <c r="T508" s="49"/>
      <c r="U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S509" s="49"/>
      <c r="T509" s="49"/>
      <c r="U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S510" s="49"/>
      <c r="T510" s="49"/>
      <c r="U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S511" s="49"/>
      <c r="T511" s="49"/>
      <c r="U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S512" s="49"/>
      <c r="T512" s="49"/>
      <c r="U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S513" s="49"/>
      <c r="T513" s="49"/>
      <c r="U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S514" s="49"/>
      <c r="T514" s="49"/>
      <c r="U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ustomHeight="1">
      <c r="C515" s="49"/>
      <c r="D515" s="49"/>
      <c r="E515" s="49"/>
      <c r="F515" s="49"/>
      <c r="G515" s="49"/>
      <c r="H515" s="49"/>
      <c r="I515" s="49"/>
      <c r="J515" s="49"/>
      <c r="K515" s="49"/>
      <c r="L515" s="49"/>
      <c r="M515" s="49"/>
      <c r="S515" s="49"/>
      <c r="T515" s="49"/>
      <c r="U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 r="C516" s="49"/>
      <c r="D516" s="49"/>
      <c r="E516" s="49"/>
      <c r="F516" s="49"/>
      <c r="G516" s="49"/>
      <c r="H516" s="49"/>
      <c r="I516" s="49"/>
      <c r="J516" s="49"/>
      <c r="K516" s="49"/>
      <c r="L516" s="49"/>
      <c r="M516" s="49"/>
      <c r="S516" s="49"/>
      <c r="T516" s="49"/>
      <c r="U516" s="49"/>
      <c r="W516" s="49"/>
      <c r="X516" s="49"/>
      <c r="Y516" s="49"/>
      <c r="Z516" s="49"/>
      <c r="AA516" s="49"/>
      <c r="AB516" s="49"/>
      <c r="AC516" s="49"/>
      <c r="AD516" s="49"/>
      <c r="AE516" s="49"/>
      <c r="AF516" s="49"/>
      <c r="AG516" s="49"/>
      <c r="AH516" s="49"/>
      <c r="AI516" s="49"/>
      <c r="AJ516" s="49"/>
      <c r="AK516" s="49"/>
      <c r="AL516" s="49"/>
      <c r="AM516" s="49"/>
      <c r="AN516" s="49"/>
      <c r="AO516" s="49"/>
    </row>
    <row r="517" spans="3:41" ht="12.75">
      <c r="C517" s="49"/>
      <c r="D517" s="49"/>
      <c r="E517" s="49"/>
      <c r="F517" s="49"/>
      <c r="G517" s="49"/>
      <c r="H517" s="49"/>
      <c r="I517" s="49"/>
      <c r="J517" s="49"/>
      <c r="K517" s="49"/>
      <c r="L517" s="49"/>
      <c r="M517" s="49"/>
      <c r="S517" s="49"/>
      <c r="T517" s="49"/>
      <c r="U517" s="49"/>
      <c r="W517" s="49"/>
      <c r="X517" s="49"/>
      <c r="Y517" s="49"/>
      <c r="Z517" s="49"/>
      <c r="AA517" s="49"/>
      <c r="AB517" s="49"/>
      <c r="AC517" s="49"/>
      <c r="AD517" s="49"/>
      <c r="AE517" s="49"/>
      <c r="AF517" s="49"/>
      <c r="AG517" s="49"/>
      <c r="AH517" s="49"/>
      <c r="AI517" s="49"/>
      <c r="AJ517" s="49"/>
      <c r="AK517" s="49"/>
      <c r="AL517" s="49"/>
      <c r="AM517" s="49"/>
      <c r="AN517" s="49"/>
      <c r="AO517" s="49"/>
    </row>
    <row r="518" spans="3:41" ht="12.75">
      <c r="C518" s="49"/>
      <c r="D518" s="49"/>
      <c r="E518" s="49"/>
      <c r="F518" s="49"/>
      <c r="G518" s="49"/>
      <c r="H518" s="49"/>
      <c r="I518" s="49"/>
      <c r="J518" s="49"/>
      <c r="K518" s="49"/>
      <c r="L518" s="49"/>
      <c r="M518" s="49"/>
      <c r="S518" s="49"/>
      <c r="T518" s="49"/>
      <c r="U518" s="49"/>
      <c r="W518" s="49"/>
      <c r="X518" s="49"/>
      <c r="Y518" s="49"/>
      <c r="Z518" s="49"/>
      <c r="AA518" s="49"/>
      <c r="AB518" s="49"/>
      <c r="AC518" s="49"/>
      <c r="AD518" s="49"/>
      <c r="AE518" s="49"/>
      <c r="AF518" s="49"/>
      <c r="AG518" s="49"/>
      <c r="AH518" s="49"/>
      <c r="AI518" s="49"/>
      <c r="AJ518" s="49"/>
      <c r="AK518" s="49"/>
      <c r="AL518" s="49"/>
      <c r="AM518" s="49"/>
      <c r="AN518" s="49"/>
      <c r="AO518" s="49"/>
    </row>
    <row r="519" spans="3:41" ht="12.75">
      <c r="C519" s="49"/>
      <c r="D519" s="49"/>
      <c r="E519" s="49"/>
      <c r="F519" s="49"/>
      <c r="G519" s="49"/>
      <c r="H519" s="49"/>
      <c r="I519" s="49"/>
      <c r="J519" s="49"/>
      <c r="K519" s="49"/>
      <c r="L519" s="49"/>
      <c r="M519" s="49"/>
      <c r="S519" s="49"/>
      <c r="T519" s="49"/>
      <c r="U519" s="49"/>
      <c r="W519" s="49"/>
      <c r="X519" s="49"/>
      <c r="Y519" s="49"/>
      <c r="Z519" s="49"/>
      <c r="AA519" s="49"/>
      <c r="AB519" s="49"/>
      <c r="AC519" s="49"/>
      <c r="AD519" s="49"/>
      <c r="AE519" s="49"/>
      <c r="AF519" s="49"/>
      <c r="AG519" s="49"/>
      <c r="AH519" s="49"/>
      <c r="AI519" s="49"/>
      <c r="AJ519" s="49"/>
      <c r="AK519" s="49"/>
      <c r="AL519" s="49"/>
      <c r="AM519" s="49"/>
      <c r="AN519" s="49"/>
      <c r="AO519" s="4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6"/>
  <dimension ref="A1:BP242"/>
  <sheetViews>
    <sheetView zoomScale="75" zoomScaleNormal="75" workbookViewId="0" topLeftCell="X19">
      <selection activeCell="AA51" sqref="AA51"/>
    </sheetView>
  </sheetViews>
  <sheetFormatPr defaultColWidth="9.140625" defaultRowHeight="12.75"/>
  <cols>
    <col min="1" max="1" width="35.28125" style="115" customWidth="1"/>
    <col min="2" max="2" width="15.57421875" style="115" customWidth="1"/>
    <col min="3" max="3" width="12.7109375" style="115" customWidth="1"/>
    <col min="4" max="4" width="10.421875" style="115" customWidth="1"/>
    <col min="5" max="5" width="16.7109375" style="115" customWidth="1"/>
    <col min="6" max="6" width="17.57421875" style="115" customWidth="1"/>
    <col min="7" max="7" width="13.7109375" style="115" customWidth="1"/>
    <col min="8" max="11" width="10.421875" style="115" customWidth="1"/>
    <col min="12" max="12" width="15.140625" style="115" customWidth="1"/>
    <col min="13" max="18" width="7.7109375" style="117" customWidth="1"/>
    <col min="19" max="19" width="27.140625" style="115" customWidth="1"/>
    <col min="20" max="20" width="11.421875" style="115" customWidth="1"/>
    <col min="21" max="21" width="9.7109375" style="115" customWidth="1"/>
    <col min="22" max="22" width="15.8515625" style="115" customWidth="1"/>
    <col min="23" max="23" width="9.00390625" style="115" customWidth="1"/>
    <col min="24" max="24" width="12.00390625" style="115" bestFit="1" customWidth="1"/>
    <col min="25" max="25" width="22.28125" style="115" customWidth="1"/>
    <col min="26" max="26" width="9.7109375" style="115" customWidth="1"/>
    <col min="27" max="27" width="13.140625" style="115" customWidth="1"/>
    <col min="28" max="28" width="12.421875" style="115" customWidth="1"/>
    <col min="29" max="29" width="9.140625" style="115" customWidth="1"/>
    <col min="30" max="30" width="12.57421875" style="115" customWidth="1"/>
    <col min="31" max="31" width="25.140625" style="115" customWidth="1"/>
    <col min="32" max="32" width="14.421875" style="115" customWidth="1"/>
    <col min="33" max="33" width="12.00390625" style="115" customWidth="1"/>
    <col min="34" max="34" width="12.57421875" style="115" customWidth="1"/>
    <col min="35" max="42" width="9.140625" style="115" customWidth="1"/>
    <col min="43" max="43" width="9.421875" style="115" customWidth="1"/>
    <col min="44" max="44" width="9.140625" style="115" customWidth="1"/>
    <col min="45" max="45" width="9.7109375" style="115" customWidth="1"/>
    <col min="46" max="46" width="10.28125" style="115" customWidth="1"/>
    <col min="47" max="16384" width="9.140625" style="115" customWidth="1"/>
  </cols>
  <sheetData>
    <row r="1" spans="3:68" ht="15.75">
      <c r="C1" s="116" t="s">
        <v>23</v>
      </c>
      <c r="D1" s="116" t="s">
        <v>23</v>
      </c>
      <c r="E1" s="116" t="s">
        <v>23</v>
      </c>
      <c r="W1"/>
      <c r="X1"/>
      <c r="AP1" s="118" t="s">
        <v>193</v>
      </c>
      <c r="AQ1" s="119"/>
      <c r="AR1" s="119"/>
      <c r="AS1" s="119"/>
      <c r="AT1" s="119"/>
      <c r="AU1" s="119"/>
      <c r="AV1" s="119"/>
      <c r="AW1" s="119"/>
      <c r="AX1" s="119"/>
      <c r="AY1" s="119"/>
      <c r="AZ1" s="118" t="s">
        <v>194</v>
      </c>
      <c r="BA1" s="119"/>
      <c r="BB1" s="119"/>
      <c r="BC1" s="119"/>
      <c r="BD1" s="119"/>
      <c r="BE1" s="119"/>
      <c r="BF1" s="119"/>
      <c r="BJ1" s="118" t="s">
        <v>272</v>
      </c>
      <c r="BK1" s="119"/>
      <c r="BL1" s="119"/>
      <c r="BM1" s="119"/>
      <c r="BN1" s="119"/>
      <c r="BO1" s="119"/>
      <c r="BP1" s="119"/>
    </row>
    <row r="2" spans="3:68" ht="15.75">
      <c r="C2" s="253">
        <f>'Cost-Effectiveness'!B24</f>
        <v>0.04</v>
      </c>
      <c r="D2" s="253">
        <f>'Cost-Effectiveness'!C24</f>
        <v>0.84</v>
      </c>
      <c r="E2" s="253">
        <f>'Cost-Effectiveness'!D24</f>
        <v>0.12</v>
      </c>
      <c r="F2" s="254"/>
      <c r="S2" s="289">
        <f>$A2</f>
        <v>0</v>
      </c>
      <c r="T2" s="290">
        <f>IF(I2=0,0,(V2/U2))</f>
        <v>0</v>
      </c>
      <c r="U2" s="290">
        <f>I2</f>
        <v>0</v>
      </c>
      <c r="V2" s="291">
        <f>M2</f>
        <v>0</v>
      </c>
      <c r="W2"/>
      <c r="X2"/>
      <c r="Y2" s="289">
        <f>$A2</f>
        <v>0</v>
      </c>
      <c r="Z2" s="290">
        <f>IF(J2=0,0,(AB2/AA2))</f>
        <v>0</v>
      </c>
      <c r="AA2" s="290">
        <f>J2</f>
        <v>0</v>
      </c>
      <c r="AB2" s="291">
        <f>N2</f>
        <v>0</v>
      </c>
      <c r="AE2" s="289">
        <f>$A2</f>
        <v>0</v>
      </c>
      <c r="AF2" s="290">
        <f>IF(K2=0,0,(AH2/AG2))</f>
        <v>0</v>
      </c>
      <c r="AG2" s="290">
        <f>K2</f>
        <v>0</v>
      </c>
      <c r="AH2" s="291">
        <f>O2</f>
        <v>0</v>
      </c>
      <c r="AI2" s="121"/>
      <c r="AJ2" s="121"/>
      <c r="AK2" s="121"/>
      <c r="AL2" s="121"/>
      <c r="AM2" s="121"/>
      <c r="AN2" s="121"/>
      <c r="AO2" s="121"/>
      <c r="AP2" s="119"/>
      <c r="AQ2" s="119"/>
      <c r="AR2" s="119"/>
      <c r="AS2" s="119"/>
      <c r="AT2" s="119"/>
      <c r="AU2" s="119"/>
      <c r="AV2" s="119"/>
      <c r="AW2" s="119"/>
      <c r="AX2" s="119"/>
      <c r="AY2" s="119"/>
      <c r="AZ2" s="119"/>
      <c r="BA2" s="119"/>
      <c r="BB2" s="119"/>
      <c r="BC2" s="119"/>
      <c r="BD2" s="119"/>
      <c r="BE2" s="119"/>
      <c r="BF2" s="119"/>
      <c r="BJ2" s="119"/>
      <c r="BK2" s="119"/>
      <c r="BL2" s="119"/>
      <c r="BM2" s="119"/>
      <c r="BN2" s="119"/>
      <c r="BO2" s="119"/>
      <c r="BP2" s="119"/>
    </row>
    <row r="3" spans="3:68" ht="15.75">
      <c r="C3" s="273">
        <v>924</v>
      </c>
      <c r="D3" s="273">
        <v>1568</v>
      </c>
      <c r="E3" s="273">
        <v>2352</v>
      </c>
      <c r="F3" s="274">
        <f>SUMPRODUCT($C$2:$E$2,C3:E3)</f>
        <v>1636.32</v>
      </c>
      <c r="I3" s="115">
        <v>924</v>
      </c>
      <c r="J3" s="115">
        <v>1568</v>
      </c>
      <c r="K3" s="115">
        <v>2352</v>
      </c>
      <c r="S3" s="123" t="s">
        <v>195</v>
      </c>
      <c r="T3" s="123">
        <v>924</v>
      </c>
      <c r="W3"/>
      <c r="X3"/>
      <c r="Y3" s="123" t="s">
        <v>195</v>
      </c>
      <c r="Z3" s="123">
        <v>1568</v>
      </c>
      <c r="AE3" s="123" t="s">
        <v>195</v>
      </c>
      <c r="AF3" s="123">
        <v>1568</v>
      </c>
      <c r="AP3" s="118" t="s">
        <v>196</v>
      </c>
      <c r="AQ3" s="119"/>
      <c r="AR3" s="124">
        <v>924</v>
      </c>
      <c r="AS3"/>
      <c r="AT3" s="119"/>
      <c r="AU3" s="119"/>
      <c r="AV3" s="119"/>
      <c r="AW3" s="119"/>
      <c r="AX3" s="119"/>
      <c r="AY3" s="119"/>
      <c r="AZ3" s="118" t="s">
        <v>196</v>
      </c>
      <c r="BA3" s="119"/>
      <c r="BB3" s="124">
        <v>1568</v>
      </c>
      <c r="BC3"/>
      <c r="BD3" s="119"/>
      <c r="BE3" s="119"/>
      <c r="BF3" s="119"/>
      <c r="BJ3" s="118" t="s">
        <v>196</v>
      </c>
      <c r="BK3" s="119"/>
      <c r="BL3" s="124">
        <v>2352</v>
      </c>
      <c r="BM3"/>
      <c r="BN3" s="119"/>
      <c r="BO3" s="119"/>
      <c r="BP3" s="119"/>
    </row>
    <row r="4" spans="1:68" ht="15.75">
      <c r="A4" s="275" t="s">
        <v>197</v>
      </c>
      <c r="B4" s="275" t="s">
        <v>198</v>
      </c>
      <c r="C4" s="275" t="s">
        <v>199</v>
      </c>
      <c r="D4" s="275" t="s">
        <v>199</v>
      </c>
      <c r="E4" s="275" t="s">
        <v>199</v>
      </c>
      <c r="F4" s="273">
        <v>924</v>
      </c>
      <c r="G4" s="273">
        <v>1568</v>
      </c>
      <c r="H4" s="273">
        <v>2352</v>
      </c>
      <c r="I4" s="273">
        <v>924</v>
      </c>
      <c r="J4" s="273">
        <v>1568</v>
      </c>
      <c r="K4" s="273">
        <v>2352</v>
      </c>
      <c r="L4" s="276" t="s">
        <v>269</v>
      </c>
      <c r="M4" s="273">
        <v>924</v>
      </c>
      <c r="N4" s="273">
        <v>1568</v>
      </c>
      <c r="O4" s="273">
        <v>2352</v>
      </c>
      <c r="P4" s="292"/>
      <c r="Q4" s="292"/>
      <c r="R4" s="292"/>
      <c r="S4" s="123" t="s">
        <v>52</v>
      </c>
      <c r="T4" s="123" t="s">
        <v>201</v>
      </c>
      <c r="U4" s="123" t="s">
        <v>200</v>
      </c>
      <c r="V4" s="125" t="s">
        <v>202</v>
      </c>
      <c r="W4"/>
      <c r="X4"/>
      <c r="Y4" s="123" t="s">
        <v>52</v>
      </c>
      <c r="Z4" s="123" t="s">
        <v>201</v>
      </c>
      <c r="AA4" s="123" t="s">
        <v>200</v>
      </c>
      <c r="AB4" s="125" t="s">
        <v>202</v>
      </c>
      <c r="AE4" s="123" t="s">
        <v>52</v>
      </c>
      <c r="AF4" s="123" t="s">
        <v>201</v>
      </c>
      <c r="AG4" s="123" t="s">
        <v>200</v>
      </c>
      <c r="AH4" s="125" t="s">
        <v>202</v>
      </c>
      <c r="AI4" s="125"/>
      <c r="AJ4" s="125"/>
      <c r="AK4" s="125"/>
      <c r="AL4" s="125"/>
      <c r="AM4" s="125"/>
      <c r="AN4" s="125"/>
      <c r="AO4" s="125"/>
      <c r="AP4" s="118" t="s">
        <v>203</v>
      </c>
      <c r="AQ4" s="119"/>
      <c r="AR4" s="124">
        <v>3051</v>
      </c>
      <c r="AS4"/>
      <c r="AT4" s="119"/>
      <c r="AU4" s="119"/>
      <c r="AV4" s="119"/>
      <c r="AW4" s="119"/>
      <c r="AX4" s="119"/>
      <c r="AY4" s="119"/>
      <c r="AZ4" s="118" t="s">
        <v>203</v>
      </c>
      <c r="BA4" s="119"/>
      <c r="BB4" s="124">
        <v>4410</v>
      </c>
      <c r="BC4"/>
      <c r="BD4" s="119"/>
      <c r="BE4" s="119"/>
      <c r="BF4" s="119"/>
      <c r="BJ4" s="118" t="s">
        <v>203</v>
      </c>
      <c r="BK4" s="119"/>
      <c r="BL4" s="124">
        <v>6472</v>
      </c>
      <c r="BM4"/>
      <c r="BN4" s="119"/>
      <c r="BO4" s="119"/>
      <c r="BP4" s="119"/>
    </row>
    <row r="5" spans="1:68" ht="15">
      <c r="A5" s="278" t="s">
        <v>204</v>
      </c>
      <c r="B5" s="279">
        <v>0.082</v>
      </c>
      <c r="C5" s="280">
        <v>1048</v>
      </c>
      <c r="D5" s="281">
        <v>1026</v>
      </c>
      <c r="E5" s="281">
        <v>1059</v>
      </c>
      <c r="F5" s="282">
        <f>$B5*C5</f>
        <v>85.936</v>
      </c>
      <c r="G5" s="282">
        <f aca="true" t="shared" si="0" ref="G5:H20">$B5*D5</f>
        <v>84.132</v>
      </c>
      <c r="H5" s="282">
        <f t="shared" si="0"/>
        <v>86.83800000000001</v>
      </c>
      <c r="I5" s="254">
        <v>0</v>
      </c>
      <c r="J5" s="254">
        <v>0</v>
      </c>
      <c r="K5" s="254">
        <v>0</v>
      </c>
      <c r="L5" s="283">
        <v>0</v>
      </c>
      <c r="M5" s="277">
        <f>C5*$L5</f>
        <v>0</v>
      </c>
      <c r="N5" s="277">
        <f aca="true" t="shared" si="1" ref="N5:O20">D5*$L5</f>
        <v>0</v>
      </c>
      <c r="O5" s="277">
        <f t="shared" si="1"/>
        <v>0</v>
      </c>
      <c r="P5" s="293"/>
      <c r="Q5" s="293"/>
      <c r="R5" s="293"/>
      <c r="S5" s="289" t="s">
        <v>204</v>
      </c>
      <c r="T5" s="290">
        <v>0</v>
      </c>
      <c r="U5" s="290">
        <v>0</v>
      </c>
      <c r="V5" s="291">
        <v>0</v>
      </c>
      <c r="W5"/>
      <c r="X5"/>
      <c r="Y5" s="289" t="s">
        <v>204</v>
      </c>
      <c r="Z5" s="290">
        <v>0</v>
      </c>
      <c r="AA5" s="290">
        <v>0</v>
      </c>
      <c r="AB5" s="291">
        <v>0</v>
      </c>
      <c r="AE5" s="289" t="s">
        <v>204</v>
      </c>
      <c r="AF5" s="290">
        <v>0</v>
      </c>
      <c r="AG5" s="290">
        <v>0</v>
      </c>
      <c r="AH5" s="291">
        <v>0</v>
      </c>
      <c r="AP5" s="119"/>
      <c r="AQ5" s="128">
        <f>'Cost-Effectiveness'!B3</f>
        <v>0.2</v>
      </c>
      <c r="AR5" s="128">
        <f>'Cost-Effectiveness'!C3</f>
        <v>0.5</v>
      </c>
      <c r="AS5" s="128">
        <f>'Cost-Effectiveness'!D3</f>
        <v>0.25</v>
      </c>
      <c r="AT5" s="128">
        <f>'Cost-Effectiveness'!E3</f>
        <v>0.05</v>
      </c>
      <c r="AU5" s="128"/>
      <c r="AV5" s="119"/>
      <c r="AW5" s="119"/>
      <c r="AX5" s="119"/>
      <c r="AY5" s="119"/>
      <c r="AZ5" s="119"/>
      <c r="BA5" s="128">
        <f>$AQ5</f>
        <v>0.2</v>
      </c>
      <c r="BB5" s="128">
        <f>$AR5</f>
        <v>0.5</v>
      </c>
      <c r="BC5" s="128">
        <f>$AS5</f>
        <v>0.25</v>
      </c>
      <c r="BD5" s="128">
        <f>$AT5</f>
        <v>0.05</v>
      </c>
      <c r="BE5" s="128"/>
      <c r="BF5" s="119"/>
      <c r="BJ5" s="119"/>
      <c r="BK5" s="128">
        <f>$AQ5</f>
        <v>0.2</v>
      </c>
      <c r="BL5" s="128">
        <f>$AR5</f>
        <v>0.5</v>
      </c>
      <c r="BM5" s="128">
        <f>$AS5</f>
        <v>0.25</v>
      </c>
      <c r="BN5" s="128">
        <f>$AT5</f>
        <v>0.05</v>
      </c>
      <c r="BO5" s="128"/>
      <c r="BP5" s="119"/>
    </row>
    <row r="6" spans="1:68" ht="16.5" thickBot="1">
      <c r="A6" s="278" t="s">
        <v>205</v>
      </c>
      <c r="B6" s="279">
        <v>0.056</v>
      </c>
      <c r="C6" s="280">
        <v>1048</v>
      </c>
      <c r="D6" s="281">
        <v>1026</v>
      </c>
      <c r="E6" s="281">
        <v>1059</v>
      </c>
      <c r="F6" s="282">
        <f aca="true" t="shared" si="2" ref="F6:F27">$B6*C6</f>
        <v>58.688</v>
      </c>
      <c r="G6" s="282">
        <f t="shared" si="0"/>
        <v>57.456</v>
      </c>
      <c r="H6" s="282">
        <f t="shared" si="0"/>
        <v>59.304</v>
      </c>
      <c r="I6" s="282">
        <f aca="true" t="shared" si="3" ref="I6:K7">F5-F6</f>
        <v>27.248000000000005</v>
      </c>
      <c r="J6" s="282">
        <f t="shared" si="3"/>
        <v>26.676000000000002</v>
      </c>
      <c r="K6" s="282">
        <f t="shared" si="3"/>
        <v>27.534000000000006</v>
      </c>
      <c r="L6" s="283">
        <v>0.54</v>
      </c>
      <c r="M6" s="277">
        <v>0</v>
      </c>
      <c r="N6" s="277">
        <v>0</v>
      </c>
      <c r="O6" s="277">
        <v>0</v>
      </c>
      <c r="P6" s="293"/>
      <c r="Q6" s="293"/>
      <c r="R6" s="293"/>
      <c r="S6" s="289" t="s">
        <v>205</v>
      </c>
      <c r="T6" s="290">
        <v>0</v>
      </c>
      <c r="U6" s="290">
        <v>27.248000000000005</v>
      </c>
      <c r="V6" s="291">
        <v>0</v>
      </c>
      <c r="W6"/>
      <c r="X6"/>
      <c r="Y6" s="289" t="s">
        <v>205</v>
      </c>
      <c r="Z6" s="290">
        <v>0</v>
      </c>
      <c r="AA6" s="290">
        <v>26.676000000000002</v>
      </c>
      <c r="AB6" s="291">
        <v>0</v>
      </c>
      <c r="AE6" s="289" t="s">
        <v>205</v>
      </c>
      <c r="AF6" s="290">
        <v>0</v>
      </c>
      <c r="AG6" s="290">
        <v>27.534000000000006</v>
      </c>
      <c r="AH6" s="291">
        <v>0</v>
      </c>
      <c r="AP6" s="129" t="s">
        <v>206</v>
      </c>
      <c r="AQ6" s="129" t="s">
        <v>207</v>
      </c>
      <c r="AR6" s="129" t="s">
        <v>208</v>
      </c>
      <c r="AS6" s="129" t="s">
        <v>209</v>
      </c>
      <c r="AT6" s="129" t="s">
        <v>210</v>
      </c>
      <c r="AU6" s="130" t="s">
        <v>206</v>
      </c>
      <c r="AV6" s="131" t="s">
        <v>211</v>
      </c>
      <c r="AW6" s="132"/>
      <c r="AX6" s="132"/>
      <c r="AY6" s="124"/>
      <c r="AZ6" s="129" t="s">
        <v>206</v>
      </c>
      <c r="BA6" s="129" t="s">
        <v>207</v>
      </c>
      <c r="BB6" s="129" t="s">
        <v>208</v>
      </c>
      <c r="BC6" s="129" t="s">
        <v>209</v>
      </c>
      <c r="BD6" s="129" t="s">
        <v>210</v>
      </c>
      <c r="BE6" s="130" t="s">
        <v>206</v>
      </c>
      <c r="BF6" s="131" t="s">
        <v>211</v>
      </c>
      <c r="BJ6" s="129" t="s">
        <v>206</v>
      </c>
      <c r="BK6" s="129" t="s">
        <v>207</v>
      </c>
      <c r="BL6" s="129" t="s">
        <v>208</v>
      </c>
      <c r="BM6" s="129" t="s">
        <v>209</v>
      </c>
      <c r="BN6" s="129" t="s">
        <v>210</v>
      </c>
      <c r="BO6" s="130" t="s">
        <v>206</v>
      </c>
      <c r="BP6" s="131" t="s">
        <v>211</v>
      </c>
    </row>
    <row r="7" spans="1:68" ht="15.75" thickBot="1">
      <c r="A7" s="278" t="s">
        <v>182</v>
      </c>
      <c r="B7" s="284">
        <v>0.05</v>
      </c>
      <c r="C7" s="280">
        <v>1048</v>
      </c>
      <c r="D7" s="281">
        <v>1026</v>
      </c>
      <c r="E7" s="281">
        <v>1059</v>
      </c>
      <c r="F7" s="282">
        <f t="shared" si="2"/>
        <v>52.400000000000006</v>
      </c>
      <c r="G7" s="282">
        <f t="shared" si="0"/>
        <v>51.300000000000004</v>
      </c>
      <c r="H7" s="282">
        <f t="shared" si="0"/>
        <v>52.95</v>
      </c>
      <c r="I7" s="282">
        <f t="shared" si="3"/>
        <v>6.287999999999997</v>
      </c>
      <c r="J7" s="282">
        <f t="shared" si="3"/>
        <v>6.155999999999999</v>
      </c>
      <c r="K7" s="282">
        <f t="shared" si="3"/>
        <v>6.353999999999999</v>
      </c>
      <c r="L7" s="283">
        <v>0.14850000000000002</v>
      </c>
      <c r="M7" s="277">
        <f aca="true" t="shared" si="4" ref="M7:M27">C7*$L7</f>
        <v>155.62800000000001</v>
      </c>
      <c r="N7" s="277">
        <f t="shared" si="1"/>
        <v>152.36100000000002</v>
      </c>
      <c r="O7" s="277">
        <f t="shared" si="1"/>
        <v>157.2615</v>
      </c>
      <c r="P7" s="293"/>
      <c r="Q7" s="293"/>
      <c r="R7" s="293"/>
      <c r="S7" s="289" t="s">
        <v>212</v>
      </c>
      <c r="T7" s="290">
        <v>0</v>
      </c>
      <c r="U7" s="290">
        <v>0</v>
      </c>
      <c r="V7" s="291">
        <v>0</v>
      </c>
      <c r="W7"/>
      <c r="X7"/>
      <c r="Y7" s="289" t="s">
        <v>212</v>
      </c>
      <c r="Z7" s="290">
        <v>0</v>
      </c>
      <c r="AA7" s="290">
        <v>0</v>
      </c>
      <c r="AB7" s="291">
        <v>0</v>
      </c>
      <c r="AE7" s="289" t="s">
        <v>212</v>
      </c>
      <c r="AF7" s="290">
        <v>0</v>
      </c>
      <c r="AG7" s="290">
        <v>0</v>
      </c>
      <c r="AH7" s="291">
        <v>0</v>
      </c>
      <c r="AP7" s="133">
        <v>800</v>
      </c>
      <c r="AQ7" s="133">
        <v>23951.87949190811</v>
      </c>
      <c r="AR7" s="133">
        <v>27490.42588028473</v>
      </c>
      <c r="AS7" s="133">
        <v>36773.44409782666</v>
      </c>
      <c r="AT7" s="133">
        <v>42660.002412919464</v>
      </c>
      <c r="AU7" s="134">
        <v>800</v>
      </c>
      <c r="AV7" s="135">
        <f aca="true" t="shared" si="5" ref="AV7:AV38">SUMPRODUCT(AQ$5:AT$5,AQ7:AT7)</f>
        <v>29861.949983626622</v>
      </c>
      <c r="AW7" s="119"/>
      <c r="AX7" s="119"/>
      <c r="AY7" s="119"/>
      <c r="AZ7" s="133">
        <v>800</v>
      </c>
      <c r="BA7" s="133">
        <v>22248.806466624155</v>
      </c>
      <c r="BB7" s="133">
        <v>25531.928095000087</v>
      </c>
      <c r="BC7" s="133">
        <v>34554.62677306493</v>
      </c>
      <c r="BD7" s="133">
        <v>40358.69771289706</v>
      </c>
      <c r="BE7" s="134">
        <v>800</v>
      </c>
      <c r="BF7" s="135">
        <f aca="true" t="shared" si="6" ref="BF7:BF38">SUMPRODUCT(BA$5:BD$5,BA7:BD7)</f>
        <v>27872.316919735957</v>
      </c>
      <c r="BJ7">
        <v>800</v>
      </c>
      <c r="BK7" s="194">
        <v>16226.252563726926</v>
      </c>
      <c r="BL7" s="194">
        <v>18560.35745678289</v>
      </c>
      <c r="BM7" s="194">
        <v>25900.14649868151</v>
      </c>
      <c r="BN7" s="194">
        <v>30371.901552886025</v>
      </c>
      <c r="BO7" s="134">
        <v>800</v>
      </c>
      <c r="BP7" s="135">
        <f aca="true" t="shared" si="7" ref="BP7:BP70">SUMPRODUCT(BK$5:BN$5,BK7:BN7)</f>
        <v>20519.06094345151</v>
      </c>
    </row>
    <row r="8" spans="1:68" ht="15.75" thickBot="1">
      <c r="A8" s="278" t="s">
        <v>212</v>
      </c>
      <c r="B8" s="279">
        <v>0.045</v>
      </c>
      <c r="C8" s="280">
        <v>400</v>
      </c>
      <c r="D8" s="281">
        <v>908</v>
      </c>
      <c r="E8" s="281">
        <v>1092</v>
      </c>
      <c r="F8" s="282">
        <f t="shared" si="2"/>
        <v>18</v>
      </c>
      <c r="G8" s="282">
        <f t="shared" si="0"/>
        <v>40.86</v>
      </c>
      <c r="H8" s="282">
        <f t="shared" si="0"/>
        <v>49.14</v>
      </c>
      <c r="I8" s="254">
        <v>0</v>
      </c>
      <c r="J8" s="254">
        <v>0</v>
      </c>
      <c r="K8" s="254">
        <v>0</v>
      </c>
      <c r="L8" s="283">
        <v>0</v>
      </c>
      <c r="M8" s="277">
        <f t="shared" si="4"/>
        <v>0</v>
      </c>
      <c r="N8" s="277">
        <f t="shared" si="1"/>
        <v>0</v>
      </c>
      <c r="O8" s="277">
        <f t="shared" si="1"/>
        <v>0</v>
      </c>
      <c r="P8" s="293"/>
      <c r="Q8" s="293"/>
      <c r="R8" s="293"/>
      <c r="S8" s="289" t="s">
        <v>213</v>
      </c>
      <c r="T8" s="290">
        <v>0</v>
      </c>
      <c r="U8" s="290">
        <v>0</v>
      </c>
      <c r="V8" s="291">
        <v>0</v>
      </c>
      <c r="W8"/>
      <c r="X8"/>
      <c r="Y8" s="289" t="s">
        <v>213</v>
      </c>
      <c r="Z8" s="290">
        <v>0</v>
      </c>
      <c r="AA8" s="290">
        <v>0</v>
      </c>
      <c r="AB8" s="291">
        <v>0</v>
      </c>
      <c r="AE8" s="289" t="s">
        <v>176</v>
      </c>
      <c r="AF8" s="290">
        <v>0</v>
      </c>
      <c r="AG8" s="290">
        <v>8.736000000000004</v>
      </c>
      <c r="AH8" s="291">
        <v>0</v>
      </c>
      <c r="AP8" s="133">
        <v>790</v>
      </c>
      <c r="AQ8" s="133">
        <v>23565.571086330812</v>
      </c>
      <c r="AR8" s="133">
        <v>27048.758208234955</v>
      </c>
      <c r="AS8" s="133">
        <v>36216.818048637564</v>
      </c>
      <c r="AT8" s="133">
        <v>42025.12883266404</v>
      </c>
      <c r="AU8" s="136">
        <v>790</v>
      </c>
      <c r="AV8" s="135">
        <f t="shared" si="5"/>
        <v>29392.954275176235</v>
      </c>
      <c r="AW8" s="119"/>
      <c r="AX8" s="119"/>
      <c r="AY8" s="119"/>
      <c r="AZ8" s="133">
        <v>790</v>
      </c>
      <c r="BA8" s="133">
        <v>21872.494441667674</v>
      </c>
      <c r="BB8" s="133">
        <v>25098.671170782996</v>
      </c>
      <c r="BC8" s="133">
        <v>34005.89441753848</v>
      </c>
      <c r="BD8" s="133">
        <v>39727.960566001966</v>
      </c>
      <c r="BE8" s="136">
        <v>790</v>
      </c>
      <c r="BF8" s="135">
        <f t="shared" si="6"/>
        <v>27411.70610640975</v>
      </c>
      <c r="BJ8">
        <v>790</v>
      </c>
      <c r="BK8" s="194">
        <v>15922.150600644596</v>
      </c>
      <c r="BL8" s="194">
        <v>18210.84090243188</v>
      </c>
      <c r="BM8" s="194">
        <v>25451.714034573688</v>
      </c>
      <c r="BN8" s="194">
        <v>29854.351010840903</v>
      </c>
      <c r="BO8" s="136">
        <v>790</v>
      </c>
      <c r="BP8" s="135">
        <f t="shared" si="7"/>
        <v>20145.496630530328</v>
      </c>
    </row>
    <row r="9" spans="1:68" ht="15.75" thickBot="1">
      <c r="A9" s="278" t="s">
        <v>176</v>
      </c>
      <c r="B9" s="279">
        <v>0.037</v>
      </c>
      <c r="C9" s="280">
        <v>400</v>
      </c>
      <c r="D9" s="281">
        <v>908</v>
      </c>
      <c r="E9" s="281">
        <v>1092</v>
      </c>
      <c r="F9" s="282">
        <f t="shared" si="2"/>
        <v>14.799999999999999</v>
      </c>
      <c r="G9" s="282">
        <f t="shared" si="0"/>
        <v>33.596</v>
      </c>
      <c r="H9" s="282">
        <f t="shared" si="0"/>
        <v>40.403999999999996</v>
      </c>
      <c r="I9" s="282">
        <f aca="true" t="shared" si="8" ref="I9:K12">F8-F9</f>
        <v>3.200000000000001</v>
      </c>
      <c r="J9" s="282">
        <f t="shared" si="8"/>
        <v>7.264000000000003</v>
      </c>
      <c r="K9" s="282">
        <f t="shared" si="8"/>
        <v>8.736000000000004</v>
      </c>
      <c r="L9" s="283">
        <v>0.10800000000000001</v>
      </c>
      <c r="M9" s="277">
        <f t="shared" si="4"/>
        <v>43.2</v>
      </c>
      <c r="N9" s="277">
        <f t="shared" si="1"/>
        <v>98.06400000000001</v>
      </c>
      <c r="O9" s="300">
        <v>0</v>
      </c>
      <c r="P9" s="293"/>
      <c r="Q9" s="293"/>
      <c r="R9" s="293"/>
      <c r="S9" s="289" t="s">
        <v>214</v>
      </c>
      <c r="T9" s="290">
        <v>0</v>
      </c>
      <c r="U9" s="290">
        <v>0</v>
      </c>
      <c r="V9" s="291">
        <v>0</v>
      </c>
      <c r="W9"/>
      <c r="X9"/>
      <c r="Y9" s="289" t="s">
        <v>214</v>
      </c>
      <c r="Z9" s="290">
        <v>0</v>
      </c>
      <c r="AA9" s="290">
        <v>0</v>
      </c>
      <c r="AB9" s="291">
        <v>0</v>
      </c>
      <c r="AE9" s="289" t="s">
        <v>213</v>
      </c>
      <c r="AF9" s="290">
        <v>0</v>
      </c>
      <c r="AG9" s="290">
        <v>0</v>
      </c>
      <c r="AH9" s="291">
        <v>0</v>
      </c>
      <c r="AP9" s="133">
        <v>780</v>
      </c>
      <c r="AQ9" s="133">
        <v>23179.848675479567</v>
      </c>
      <c r="AR9" s="133">
        <v>26607.26288757519</v>
      </c>
      <c r="AS9" s="133">
        <v>35660.29541028249</v>
      </c>
      <c r="AT9" s="133">
        <v>41390.25525240861</v>
      </c>
      <c r="AU9" s="136">
        <v>780</v>
      </c>
      <c r="AV9" s="135">
        <f t="shared" si="5"/>
        <v>28924.18779407456</v>
      </c>
      <c r="AW9" s="119"/>
      <c r="AX9" s="119"/>
      <c r="AY9" s="119"/>
      <c r="AZ9" s="133">
        <v>780</v>
      </c>
      <c r="BA9" s="133">
        <v>21496.320297823204</v>
      </c>
      <c r="BB9" s="133">
        <v>24665.69000878992</v>
      </c>
      <c r="BC9" s="133">
        <v>33458.05828924011</v>
      </c>
      <c r="BD9" s="133">
        <v>39097.4302407749</v>
      </c>
      <c r="BE9" s="136">
        <v>780</v>
      </c>
      <c r="BF9" s="135">
        <f t="shared" si="6"/>
        <v>26951.495148308375</v>
      </c>
      <c r="BJ9">
        <v>780</v>
      </c>
      <c r="BK9" s="194">
        <v>15619.279226486962</v>
      </c>
      <c r="BL9" s="194">
        <v>17861.734544389103</v>
      </c>
      <c r="BM9" s="194">
        <v>25002.988573102844</v>
      </c>
      <c r="BN9" s="194">
        <v>29337.532962203342</v>
      </c>
      <c r="BO9" s="136">
        <v>780</v>
      </c>
      <c r="BP9" s="135">
        <f t="shared" si="7"/>
        <v>19772.346908877822</v>
      </c>
    </row>
    <row r="10" spans="1:68" ht="15.75" thickBot="1">
      <c r="A10" s="278" t="s">
        <v>179</v>
      </c>
      <c r="B10" s="279">
        <v>0.032</v>
      </c>
      <c r="C10" s="280">
        <v>400</v>
      </c>
      <c r="D10" s="281">
        <v>908</v>
      </c>
      <c r="E10" s="281">
        <v>1092</v>
      </c>
      <c r="F10" s="282">
        <f t="shared" si="2"/>
        <v>12.8</v>
      </c>
      <c r="G10" s="282">
        <f t="shared" si="0"/>
        <v>29.056</v>
      </c>
      <c r="H10" s="282">
        <f t="shared" si="0"/>
        <v>34.944</v>
      </c>
      <c r="I10" s="282">
        <f t="shared" si="8"/>
        <v>1.9999999999999982</v>
      </c>
      <c r="J10" s="282">
        <f t="shared" si="8"/>
        <v>4.539999999999996</v>
      </c>
      <c r="K10" s="282">
        <f t="shared" si="8"/>
        <v>5.459999999999994</v>
      </c>
      <c r="L10" s="283">
        <v>0.0864</v>
      </c>
      <c r="M10" s="277">
        <f t="shared" si="4"/>
        <v>34.56</v>
      </c>
      <c r="N10" s="277">
        <f t="shared" si="1"/>
        <v>78.4512</v>
      </c>
      <c r="O10" s="277">
        <f t="shared" si="1"/>
        <v>94.34880000000001</v>
      </c>
      <c r="P10" s="293"/>
      <c r="Q10" s="293"/>
      <c r="R10" s="293"/>
      <c r="S10" s="289" t="s">
        <v>215</v>
      </c>
      <c r="T10" s="290">
        <v>0</v>
      </c>
      <c r="U10" s="290">
        <v>28.644</v>
      </c>
      <c r="V10" s="291">
        <v>0</v>
      </c>
      <c r="W10"/>
      <c r="X10"/>
      <c r="Y10" s="289" t="s">
        <v>215</v>
      </c>
      <c r="Z10" s="290">
        <v>0</v>
      </c>
      <c r="AA10" s="290">
        <v>48.608000000000004</v>
      </c>
      <c r="AB10" s="291">
        <v>0</v>
      </c>
      <c r="AE10" s="289" t="s">
        <v>177</v>
      </c>
      <c r="AF10" s="290">
        <v>0</v>
      </c>
      <c r="AG10" s="290">
        <v>12.463999999999992</v>
      </c>
      <c r="AH10" s="291">
        <v>0</v>
      </c>
      <c r="AP10" s="133">
        <v>770</v>
      </c>
      <c r="AQ10" s="133">
        <v>22794.40202685235</v>
      </c>
      <c r="AR10" s="133">
        <v>26166.00885886145</v>
      </c>
      <c r="AS10" s="133">
        <v>35104.49664776547</v>
      </c>
      <c r="AT10" s="133">
        <v>40755.5195532652</v>
      </c>
      <c r="AU10" s="136">
        <v>770</v>
      </c>
      <c r="AV10" s="135">
        <f t="shared" si="5"/>
        <v>28455.784974405822</v>
      </c>
      <c r="AW10" s="119"/>
      <c r="AX10" s="119"/>
      <c r="AY10" s="119"/>
      <c r="AZ10" s="133">
        <v>770</v>
      </c>
      <c r="BA10" s="133">
        <v>21120.284035090746</v>
      </c>
      <c r="BB10" s="133">
        <v>24232.84672790886</v>
      </c>
      <c r="BC10" s="133">
        <v>32911.11838816981</v>
      </c>
      <c r="BD10" s="133">
        <v>38467.48591027387</v>
      </c>
      <c r="BE10" s="136">
        <v>770</v>
      </c>
      <c r="BF10" s="135">
        <f t="shared" si="6"/>
        <v>26491.634063528727</v>
      </c>
      <c r="BJ10">
        <v>770</v>
      </c>
      <c r="BK10" s="194">
        <v>15317.052446527981</v>
      </c>
      <c r="BL10" s="194">
        <v>17513.97597421623</v>
      </c>
      <c r="BM10" s="194">
        <v>24554.878406094347</v>
      </c>
      <c r="BN10" s="194">
        <v>28821.535306182242</v>
      </c>
      <c r="BO10" s="136">
        <v>770</v>
      </c>
      <c r="BP10" s="135">
        <f t="shared" si="7"/>
        <v>19400.194843246412</v>
      </c>
    </row>
    <row r="11" spans="1:68" ht="15.75" thickBot="1">
      <c r="A11" s="278" t="s">
        <v>184</v>
      </c>
      <c r="B11" s="279">
        <v>0.027</v>
      </c>
      <c r="C11" s="280">
        <v>400</v>
      </c>
      <c r="D11" s="281">
        <v>908</v>
      </c>
      <c r="E11" s="281">
        <v>1092</v>
      </c>
      <c r="F11" s="282">
        <f t="shared" si="2"/>
        <v>10.8</v>
      </c>
      <c r="G11" s="282">
        <f t="shared" si="0"/>
        <v>24.516</v>
      </c>
      <c r="H11" s="282">
        <f t="shared" si="0"/>
        <v>29.483999999999998</v>
      </c>
      <c r="I11" s="282">
        <f t="shared" si="8"/>
        <v>2</v>
      </c>
      <c r="J11" s="282">
        <f t="shared" si="8"/>
        <v>4.540000000000003</v>
      </c>
      <c r="K11" s="282">
        <f t="shared" si="8"/>
        <v>5.460000000000004</v>
      </c>
      <c r="L11" s="283">
        <v>0.12960000000000002</v>
      </c>
      <c r="M11" s="277">
        <f t="shared" si="4"/>
        <v>51.84000000000001</v>
      </c>
      <c r="N11" s="277">
        <f t="shared" si="1"/>
        <v>117.67680000000001</v>
      </c>
      <c r="O11" s="277">
        <f t="shared" si="1"/>
        <v>141.52320000000003</v>
      </c>
      <c r="P11" s="293"/>
      <c r="Q11" s="293"/>
      <c r="R11" s="293"/>
      <c r="S11" s="289" t="s">
        <v>216</v>
      </c>
      <c r="T11" s="290">
        <v>0</v>
      </c>
      <c r="U11" s="290">
        <v>0</v>
      </c>
      <c r="V11" s="291">
        <v>0</v>
      </c>
      <c r="W11"/>
      <c r="X11"/>
      <c r="Y11" s="289" t="s">
        <v>216</v>
      </c>
      <c r="Z11" s="290">
        <v>0</v>
      </c>
      <c r="AA11" s="290">
        <v>0</v>
      </c>
      <c r="AB11" s="291">
        <v>0</v>
      </c>
      <c r="AE11" s="289" t="s">
        <v>214</v>
      </c>
      <c r="AF11" s="290">
        <v>0</v>
      </c>
      <c r="AG11" s="290">
        <v>0</v>
      </c>
      <c r="AH11" s="291">
        <v>0</v>
      </c>
      <c r="AP11" s="133">
        <v>760</v>
      </c>
      <c r="AQ11" s="133">
        <v>22408.98984850313</v>
      </c>
      <c r="AR11" s="133">
        <v>25725.27188431775</v>
      </c>
      <c r="AS11" s="133">
        <v>34549.52517192051</v>
      </c>
      <c r="AT11" s="133">
        <v>40120.9217352338</v>
      </c>
      <c r="AU11" s="136">
        <v>760</v>
      </c>
      <c r="AV11" s="135">
        <f t="shared" si="5"/>
        <v>27987.86129160132</v>
      </c>
      <c r="AW11" s="119"/>
      <c r="AX11" s="119"/>
      <c r="AY11" s="119"/>
      <c r="AZ11" s="133">
        <v>760</v>
      </c>
      <c r="BA11" s="133">
        <v>20745.040588752352</v>
      </c>
      <c r="BB11" s="133">
        <v>23800.58944175385</v>
      </c>
      <c r="BC11" s="133">
        <v>32365.247065717584</v>
      </c>
      <c r="BD11" s="133">
        <v>37837.47263921684</v>
      </c>
      <c r="BE11" s="136">
        <v>760</v>
      </c>
      <c r="BF11" s="135">
        <f t="shared" si="6"/>
        <v>26032.488237017635</v>
      </c>
      <c r="BJ11">
        <v>760</v>
      </c>
      <c r="BK11" s="194">
        <v>15014.825666569</v>
      </c>
      <c r="BL11" s="194">
        <v>17167.799589803693</v>
      </c>
      <c r="BM11" s="194">
        <v>24107.207735130385</v>
      </c>
      <c r="BN11" s="194">
        <v>28306.53384119543</v>
      </c>
      <c r="BO11" s="136">
        <v>760</v>
      </c>
      <c r="BP11" s="135">
        <f t="shared" si="7"/>
        <v>19028.993554058015</v>
      </c>
    </row>
    <row r="12" spans="1:68" ht="15.75" thickBot="1">
      <c r="A12" s="278" t="s">
        <v>188</v>
      </c>
      <c r="B12" s="284">
        <v>0.023</v>
      </c>
      <c r="C12" s="280">
        <v>400</v>
      </c>
      <c r="D12" s="281">
        <v>908</v>
      </c>
      <c r="E12" s="281">
        <v>1092</v>
      </c>
      <c r="F12" s="282">
        <f t="shared" si="2"/>
        <v>9.2</v>
      </c>
      <c r="G12" s="282">
        <f t="shared" si="0"/>
        <v>20.884</v>
      </c>
      <c r="H12" s="282">
        <f t="shared" si="0"/>
        <v>25.116</v>
      </c>
      <c r="I12" s="282">
        <f t="shared" si="8"/>
        <v>1.6000000000000014</v>
      </c>
      <c r="J12" s="282">
        <f t="shared" si="8"/>
        <v>3.631999999999998</v>
      </c>
      <c r="K12" s="282">
        <f t="shared" si="8"/>
        <v>4.3679999999999986</v>
      </c>
      <c r="L12" s="283">
        <v>0.19440000000000002</v>
      </c>
      <c r="M12" s="277">
        <f t="shared" si="4"/>
        <v>77.76</v>
      </c>
      <c r="N12" s="277">
        <f t="shared" si="1"/>
        <v>176.51520000000002</v>
      </c>
      <c r="O12" s="277">
        <f t="shared" si="1"/>
        <v>212.28480000000002</v>
      </c>
      <c r="P12" s="293"/>
      <c r="Q12" s="293"/>
      <c r="R12" s="293"/>
      <c r="S12" s="289" t="s">
        <v>217</v>
      </c>
      <c r="T12" s="290">
        <v>0</v>
      </c>
      <c r="U12" s="290">
        <v>0</v>
      </c>
      <c r="V12" s="291">
        <v>0</v>
      </c>
      <c r="W12"/>
      <c r="X12"/>
      <c r="Y12" s="289" t="s">
        <v>217</v>
      </c>
      <c r="Z12" s="290">
        <v>0</v>
      </c>
      <c r="AA12" s="290">
        <v>0</v>
      </c>
      <c r="AB12" s="291">
        <v>0</v>
      </c>
      <c r="AE12" s="289" t="s">
        <v>215</v>
      </c>
      <c r="AF12" s="290">
        <v>0</v>
      </c>
      <c r="AG12" s="290">
        <v>72.912</v>
      </c>
      <c r="AH12" s="291">
        <v>0</v>
      </c>
      <c r="AP12" s="133">
        <v>750</v>
      </c>
      <c r="AQ12" s="133">
        <v>22023.4742593199</v>
      </c>
      <c r="AR12" s="133">
        <v>25284.707261164065</v>
      </c>
      <c r="AS12" s="133">
        <v>33994.79498802158</v>
      </c>
      <c r="AT12" s="133">
        <v>39486.42732803641</v>
      </c>
      <c r="AU12" s="136">
        <v>750</v>
      </c>
      <c r="AV12" s="135">
        <f t="shared" si="5"/>
        <v>27520.068595853227</v>
      </c>
      <c r="AW12" s="119"/>
      <c r="AX12" s="119"/>
      <c r="AY12" s="119"/>
      <c r="AZ12" s="133">
        <v>750</v>
      </c>
      <c r="BA12" s="133">
        <v>20370.107374915977</v>
      </c>
      <c r="BB12" s="133">
        <v>23368.29768532084</v>
      </c>
      <c r="BC12" s="133">
        <v>31819.789386601406</v>
      </c>
      <c r="BD12" s="133">
        <v>37208.21771427587</v>
      </c>
      <c r="BE12" s="136">
        <v>750</v>
      </c>
      <c r="BF12" s="135">
        <f t="shared" si="6"/>
        <v>25573.528550007763</v>
      </c>
      <c r="BJ12">
        <v>750</v>
      </c>
      <c r="BK12" s="194">
        <v>14713.712276589513</v>
      </c>
      <c r="BL12" s="194">
        <v>16822.2092001172</v>
      </c>
      <c r="BM12" s="194">
        <v>23660.005859947265</v>
      </c>
      <c r="BN12" s="194">
        <v>27791.415177263407</v>
      </c>
      <c r="BO12" s="136">
        <v>750</v>
      </c>
      <c r="BP12" s="135">
        <f t="shared" si="7"/>
        <v>18658.419279226488</v>
      </c>
    </row>
    <row r="13" spans="1:68" ht="15.75" thickBot="1">
      <c r="A13" s="278" t="s">
        <v>213</v>
      </c>
      <c r="B13" s="279">
        <v>0.046</v>
      </c>
      <c r="C13" s="280">
        <v>524</v>
      </c>
      <c r="D13" s="281">
        <v>660</v>
      </c>
      <c r="E13" s="281">
        <v>1558</v>
      </c>
      <c r="F13" s="282">
        <f t="shared" si="2"/>
        <v>24.104</v>
      </c>
      <c r="G13" s="282">
        <f t="shared" si="0"/>
        <v>30.36</v>
      </c>
      <c r="H13" s="282">
        <f t="shared" si="0"/>
        <v>71.66799999999999</v>
      </c>
      <c r="I13" s="254">
        <v>0</v>
      </c>
      <c r="J13" s="254">
        <v>0</v>
      </c>
      <c r="K13" s="254">
        <v>0</v>
      </c>
      <c r="L13" s="283">
        <v>0</v>
      </c>
      <c r="M13" s="277">
        <f t="shared" si="4"/>
        <v>0</v>
      </c>
      <c r="N13" s="277">
        <f t="shared" si="1"/>
        <v>0</v>
      </c>
      <c r="O13" s="277">
        <f t="shared" si="1"/>
        <v>0</v>
      </c>
      <c r="P13" s="293"/>
      <c r="Q13" s="293"/>
      <c r="R13" s="293"/>
      <c r="S13" s="289" t="s">
        <v>219</v>
      </c>
      <c r="T13" s="290">
        <v>0</v>
      </c>
      <c r="U13" s="290">
        <v>0</v>
      </c>
      <c r="V13" s="291">
        <v>0</v>
      </c>
      <c r="W13"/>
      <c r="X13"/>
      <c r="Y13" s="289" t="s">
        <v>219</v>
      </c>
      <c r="Z13" s="290">
        <v>0</v>
      </c>
      <c r="AA13" s="290">
        <v>0</v>
      </c>
      <c r="AB13" s="291">
        <v>0</v>
      </c>
      <c r="AE13" s="289" t="s">
        <v>216</v>
      </c>
      <c r="AF13" s="290">
        <v>0</v>
      </c>
      <c r="AG13" s="290">
        <v>0</v>
      </c>
      <c r="AH13" s="291">
        <v>0</v>
      </c>
      <c r="AP13" s="133">
        <v>740</v>
      </c>
      <c r="AQ13" s="133">
        <v>21638.2689026387</v>
      </c>
      <c r="AR13" s="133">
        <v>24844.728632736424</v>
      </c>
      <c r="AS13" s="133">
        <v>33440.581858292695</v>
      </c>
      <c r="AT13" s="133">
        <v>38851.96739111701</v>
      </c>
      <c r="AU13" s="136">
        <v>740</v>
      </c>
      <c r="AV13" s="135">
        <f t="shared" si="5"/>
        <v>27052.761931024976</v>
      </c>
      <c r="AW13" s="119"/>
      <c r="AX13" s="119"/>
      <c r="AY13" s="119"/>
      <c r="AZ13" s="133">
        <v>740</v>
      </c>
      <c r="BA13" s="133">
        <v>19995.656744971653</v>
      </c>
      <c r="BB13" s="133">
        <v>22935.971458609813</v>
      </c>
      <c r="BC13" s="133">
        <v>31274.986642767275</v>
      </c>
      <c r="BD13" s="133">
        <v>36578.9283190569</v>
      </c>
      <c r="BE13" s="136">
        <v>740</v>
      </c>
      <c r="BF13" s="135">
        <f t="shared" si="6"/>
        <v>25114.8101549439</v>
      </c>
      <c r="BJ13">
        <v>740</v>
      </c>
      <c r="BK13" s="194">
        <v>14413.712276589511</v>
      </c>
      <c r="BL13" s="194">
        <v>16478.845590389687</v>
      </c>
      <c r="BM13" s="194">
        <v>23213.829475534723</v>
      </c>
      <c r="BN13" s="194">
        <v>27276.38441254029</v>
      </c>
      <c r="BO13" s="136">
        <v>740</v>
      </c>
      <c r="BP13" s="135">
        <f t="shared" si="7"/>
        <v>18289.44184002344</v>
      </c>
    </row>
    <row r="14" spans="1:68" ht="15.75" thickBot="1">
      <c r="A14" s="278" t="s">
        <v>177</v>
      </c>
      <c r="B14" s="279">
        <v>0.038</v>
      </c>
      <c r="C14" s="280">
        <v>524</v>
      </c>
      <c r="D14" s="281">
        <v>660</v>
      </c>
      <c r="E14" s="281">
        <v>1558</v>
      </c>
      <c r="F14" s="282">
        <f t="shared" si="2"/>
        <v>19.912</v>
      </c>
      <c r="G14" s="282">
        <f t="shared" si="0"/>
        <v>25.08</v>
      </c>
      <c r="H14" s="282">
        <f t="shared" si="0"/>
        <v>59.204</v>
      </c>
      <c r="I14" s="282">
        <f aca="true" t="shared" si="9" ref="I14:K16">F13-F14</f>
        <v>4.192</v>
      </c>
      <c r="J14" s="282">
        <f>G13-G14</f>
        <v>5.280000000000001</v>
      </c>
      <c r="K14" s="282">
        <f>H13-H14</f>
        <v>12.463999999999992</v>
      </c>
      <c r="L14" s="283">
        <v>0.10800000000000001</v>
      </c>
      <c r="M14" s="277">
        <f t="shared" si="4"/>
        <v>56.592000000000006</v>
      </c>
      <c r="N14" s="277">
        <f t="shared" si="1"/>
        <v>71.28000000000002</v>
      </c>
      <c r="O14" s="300">
        <v>0</v>
      </c>
      <c r="P14" s="293"/>
      <c r="Q14" s="293"/>
      <c r="R14" s="293"/>
      <c r="S14" s="289" t="s">
        <v>221</v>
      </c>
      <c r="T14" s="290">
        <v>0</v>
      </c>
      <c r="U14" s="290">
        <v>7.6</v>
      </c>
      <c r="V14" s="291">
        <v>0</v>
      </c>
      <c r="W14"/>
      <c r="X14"/>
      <c r="Y14" s="289" t="s">
        <v>221</v>
      </c>
      <c r="Z14" s="290">
        <v>0</v>
      </c>
      <c r="AA14" s="290">
        <v>7.6</v>
      </c>
      <c r="AB14" s="291">
        <v>0</v>
      </c>
      <c r="AE14" s="289" t="s">
        <v>217</v>
      </c>
      <c r="AF14" s="290">
        <v>0</v>
      </c>
      <c r="AG14" s="290">
        <v>0</v>
      </c>
      <c r="AH14" s="291">
        <v>0</v>
      </c>
      <c r="AP14" s="133">
        <v>730</v>
      </c>
      <c r="AQ14" s="133">
        <v>21253.649540683546</v>
      </c>
      <c r="AR14" s="133">
        <v>24405.094707088814</v>
      </c>
      <c r="AS14" s="133">
        <v>32886.36872856379</v>
      </c>
      <c r="AT14" s="133">
        <v>38218.09344892367</v>
      </c>
      <c r="AU14" s="136">
        <v>730</v>
      </c>
      <c r="AV14" s="135">
        <f t="shared" si="5"/>
        <v>26585.774116268247</v>
      </c>
      <c r="AW14" s="119"/>
      <c r="AX14" s="119"/>
      <c r="AY14" s="119"/>
      <c r="AZ14" s="133">
        <v>730</v>
      </c>
      <c r="BA14" s="133">
        <v>19621.99893142138</v>
      </c>
      <c r="BB14" s="133">
        <v>22504.334637458855</v>
      </c>
      <c r="BC14" s="133">
        <v>30730.563071991175</v>
      </c>
      <c r="BD14" s="133">
        <v>35949.50104272591</v>
      </c>
      <c r="BE14" s="136">
        <v>730</v>
      </c>
      <c r="BF14" s="135">
        <f t="shared" si="6"/>
        <v>24656.682925147794</v>
      </c>
      <c r="BJ14">
        <v>730</v>
      </c>
      <c r="BK14" s="194">
        <v>14114.034573688838</v>
      </c>
      <c r="BL14" s="194">
        <v>16136.595370641664</v>
      </c>
      <c r="BM14" s="194">
        <v>22768.532083211252</v>
      </c>
      <c r="BN14" s="194">
        <v>26762.379138587756</v>
      </c>
      <c r="BO14" s="136">
        <v>730</v>
      </c>
      <c r="BP14" s="135">
        <f t="shared" si="7"/>
        <v>17921.3565777908</v>
      </c>
    </row>
    <row r="15" spans="1:68" ht="15.75" thickBot="1">
      <c r="A15" s="278" t="s">
        <v>180</v>
      </c>
      <c r="B15" s="279">
        <v>0.033</v>
      </c>
      <c r="C15" s="280">
        <v>524</v>
      </c>
      <c r="D15" s="281">
        <v>660</v>
      </c>
      <c r="E15" s="281">
        <v>1558</v>
      </c>
      <c r="F15" s="282">
        <f t="shared" si="2"/>
        <v>17.292</v>
      </c>
      <c r="G15" s="282">
        <f t="shared" si="0"/>
        <v>21.78</v>
      </c>
      <c r="H15" s="282">
        <f t="shared" si="0"/>
        <v>51.414</v>
      </c>
      <c r="I15" s="282">
        <f t="shared" si="9"/>
        <v>2.6199999999999974</v>
      </c>
      <c r="J15" s="282">
        <f>G14-G15</f>
        <v>3.299999999999997</v>
      </c>
      <c r="K15" s="282">
        <f>H14-H15</f>
        <v>7.789999999999999</v>
      </c>
      <c r="L15" s="283">
        <v>0.0864</v>
      </c>
      <c r="M15" s="277">
        <f t="shared" si="4"/>
        <v>45.2736</v>
      </c>
      <c r="N15" s="277">
        <f t="shared" si="1"/>
        <v>57.024</v>
      </c>
      <c r="O15" s="277">
        <f t="shared" si="1"/>
        <v>134.6112</v>
      </c>
      <c r="P15" s="293"/>
      <c r="Q15" s="293"/>
      <c r="R15" s="293"/>
      <c r="S15" s="289" t="s">
        <v>220</v>
      </c>
      <c r="T15" s="290">
        <v>0</v>
      </c>
      <c r="U15" s="290">
        <v>0</v>
      </c>
      <c r="V15" s="291">
        <v>0</v>
      </c>
      <c r="W15"/>
      <c r="X15"/>
      <c r="Y15" s="289" t="s">
        <v>220</v>
      </c>
      <c r="Z15" s="290">
        <v>0</v>
      </c>
      <c r="AA15" s="290">
        <v>0</v>
      </c>
      <c r="AB15" s="291">
        <v>0</v>
      </c>
      <c r="AE15" s="289" t="s">
        <v>219</v>
      </c>
      <c r="AF15" s="290">
        <v>0</v>
      </c>
      <c r="AG15" s="290">
        <v>0</v>
      </c>
      <c r="AH15" s="291">
        <v>0</v>
      </c>
      <c r="AP15" s="133">
        <v>720</v>
      </c>
      <c r="AQ15" s="133">
        <v>20869.685114010448</v>
      </c>
      <c r="AR15" s="133">
        <v>23965.460781441205</v>
      </c>
      <c r="AS15" s="133">
        <v>32332.43136105893</v>
      </c>
      <c r="AT15" s="133">
        <v>37584.49526895435</v>
      </c>
      <c r="AU15" s="136">
        <v>720</v>
      </c>
      <c r="AV15" s="135">
        <f t="shared" si="5"/>
        <v>26119.000017235143</v>
      </c>
      <c r="AW15" s="119"/>
      <c r="AX15" s="119"/>
      <c r="AY15" s="119"/>
      <c r="AZ15" s="133">
        <v>720</v>
      </c>
      <c r="BA15" s="133">
        <v>19249.788869547232</v>
      </c>
      <c r="BB15" s="133">
        <v>22073.352751589944</v>
      </c>
      <c r="BC15" s="133">
        <v>30187.277020389174</v>
      </c>
      <c r="BD15" s="133">
        <v>35320.65976112097</v>
      </c>
      <c r="BE15" s="136">
        <v>720</v>
      </c>
      <c r="BF15" s="135">
        <f t="shared" si="6"/>
        <v>24199.48639285776</v>
      </c>
      <c r="BJ15">
        <v>720</v>
      </c>
      <c r="BK15" s="194">
        <v>13814.825666569002</v>
      </c>
      <c r="BL15" s="194">
        <v>15794.403750366248</v>
      </c>
      <c r="BM15" s="194">
        <v>22323.263990624087</v>
      </c>
      <c r="BN15" s="194">
        <v>26249.01845883387</v>
      </c>
      <c r="BO15" s="136">
        <v>720</v>
      </c>
      <c r="BP15" s="135">
        <f t="shared" si="7"/>
        <v>17553.43392909464</v>
      </c>
    </row>
    <row r="16" spans="1:68" ht="15.75" thickBot="1">
      <c r="A16" s="278" t="s">
        <v>186</v>
      </c>
      <c r="B16" s="284">
        <v>0.03</v>
      </c>
      <c r="C16" s="280">
        <v>524</v>
      </c>
      <c r="D16" s="281">
        <v>660</v>
      </c>
      <c r="E16" s="281">
        <v>1558</v>
      </c>
      <c r="F16" s="282">
        <f t="shared" si="2"/>
        <v>15.719999999999999</v>
      </c>
      <c r="G16" s="282">
        <f t="shared" si="0"/>
        <v>19.8</v>
      </c>
      <c r="H16" s="282">
        <f t="shared" si="0"/>
        <v>46.739999999999995</v>
      </c>
      <c r="I16" s="282">
        <f t="shared" si="9"/>
        <v>1.5720000000000027</v>
      </c>
      <c r="J16" s="282">
        <f t="shared" si="9"/>
        <v>1.9800000000000004</v>
      </c>
      <c r="K16" s="282">
        <f t="shared" si="9"/>
        <v>4.674000000000007</v>
      </c>
      <c r="L16" s="283">
        <v>0.12960000000000002</v>
      </c>
      <c r="M16" s="277">
        <f t="shared" si="4"/>
        <v>67.91040000000001</v>
      </c>
      <c r="N16" s="277">
        <f t="shared" si="1"/>
        <v>85.53600000000002</v>
      </c>
      <c r="O16" s="277">
        <f t="shared" si="1"/>
        <v>201.91680000000002</v>
      </c>
      <c r="P16" s="293"/>
      <c r="Q16" s="293"/>
      <c r="R16" s="293"/>
      <c r="S16" s="289" t="s">
        <v>175</v>
      </c>
      <c r="T16" s="290">
        <v>12.6</v>
      </c>
      <c r="U16" s="290">
        <v>11.087999999999997</v>
      </c>
      <c r="V16" s="291">
        <v>139.7088</v>
      </c>
      <c r="W16"/>
      <c r="X16"/>
      <c r="Y16" s="289" t="s">
        <v>175</v>
      </c>
      <c r="Z16" s="290">
        <v>12.6</v>
      </c>
      <c r="AA16" s="290">
        <v>18.81599999999999</v>
      </c>
      <c r="AB16" s="291">
        <v>237.0816</v>
      </c>
      <c r="AE16" s="289" t="s">
        <v>221</v>
      </c>
      <c r="AF16" s="290">
        <v>0</v>
      </c>
      <c r="AG16" s="290">
        <v>11.6</v>
      </c>
      <c r="AH16" s="291">
        <v>0</v>
      </c>
      <c r="AP16" s="133">
        <v>710</v>
      </c>
      <c r="AQ16" s="133">
        <v>20485.858568449356</v>
      </c>
      <c r="AR16" s="133">
        <v>23525.99920718361</v>
      </c>
      <c r="AS16" s="133">
        <v>31778.425052998056</v>
      </c>
      <c r="AT16" s="133">
        <v>36950.96602954103</v>
      </c>
      <c r="AU16" s="136">
        <v>710</v>
      </c>
      <c r="AV16" s="135">
        <f t="shared" si="5"/>
        <v>25652.32588200824</v>
      </c>
      <c r="AW16" s="119"/>
      <c r="AX16" s="119"/>
      <c r="AY16" s="119"/>
      <c r="AZ16" s="133">
        <v>710</v>
      </c>
      <c r="BA16" s="133">
        <v>18877.99245100912</v>
      </c>
      <c r="BB16" s="133">
        <v>21642.68109822306</v>
      </c>
      <c r="BC16" s="133">
        <v>29644.128849899178</v>
      </c>
      <c r="BD16" s="133">
        <v>34691.577187570016</v>
      </c>
      <c r="BE16" s="136">
        <v>710</v>
      </c>
      <c r="BF16" s="135">
        <f t="shared" si="6"/>
        <v>23742.55011116665</v>
      </c>
      <c r="BJ16">
        <v>710</v>
      </c>
      <c r="BK16" s="194">
        <v>13515.821857603283</v>
      </c>
      <c r="BL16" s="194">
        <v>15452.300029299737</v>
      </c>
      <c r="BM16" s="194">
        <v>21878.40609434515</v>
      </c>
      <c r="BN16" s="194">
        <v>25736.9762672136</v>
      </c>
      <c r="BO16" s="136">
        <v>710</v>
      </c>
      <c r="BP16" s="135">
        <f t="shared" si="7"/>
        <v>17185.764723117492</v>
      </c>
    </row>
    <row r="17" spans="1:68" ht="15.75" thickBot="1">
      <c r="A17" s="278" t="s">
        <v>214</v>
      </c>
      <c r="B17" s="279">
        <v>0.075</v>
      </c>
      <c r="C17" s="280">
        <v>924</v>
      </c>
      <c r="D17" s="281">
        <v>1568</v>
      </c>
      <c r="E17" s="281">
        <v>2352</v>
      </c>
      <c r="F17" s="282">
        <f t="shared" si="2"/>
        <v>69.3</v>
      </c>
      <c r="G17" s="282">
        <f t="shared" si="0"/>
        <v>117.6</v>
      </c>
      <c r="H17" s="282">
        <f t="shared" si="0"/>
        <v>176.4</v>
      </c>
      <c r="I17" s="254">
        <v>0</v>
      </c>
      <c r="J17" s="254">
        <v>0</v>
      </c>
      <c r="K17" s="254">
        <v>0</v>
      </c>
      <c r="L17" s="283">
        <v>0</v>
      </c>
      <c r="M17" s="277">
        <f t="shared" si="4"/>
        <v>0</v>
      </c>
      <c r="N17" s="277">
        <f t="shared" si="1"/>
        <v>0</v>
      </c>
      <c r="O17" s="277">
        <f t="shared" si="1"/>
        <v>0</v>
      </c>
      <c r="P17" s="293"/>
      <c r="Q17" s="293"/>
      <c r="R17" s="293"/>
      <c r="S17" s="289" t="s">
        <v>176</v>
      </c>
      <c r="T17" s="290">
        <v>13.5</v>
      </c>
      <c r="U17" s="290">
        <v>3.2</v>
      </c>
      <c r="V17" s="291">
        <v>43.2</v>
      </c>
      <c r="W17"/>
      <c r="X17"/>
      <c r="Y17" s="289" t="s">
        <v>176</v>
      </c>
      <c r="Z17" s="290">
        <v>13.5</v>
      </c>
      <c r="AA17" s="290">
        <v>7.264000000000003</v>
      </c>
      <c r="AB17" s="291">
        <v>98.06400000000001</v>
      </c>
      <c r="AE17" s="289" t="s">
        <v>220</v>
      </c>
      <c r="AF17" s="290">
        <v>0</v>
      </c>
      <c r="AG17" s="290">
        <v>0</v>
      </c>
      <c r="AH17" s="291">
        <v>0</v>
      </c>
      <c r="AP17" s="133">
        <v>700</v>
      </c>
      <c r="AQ17" s="133">
        <v>20102.4801365023</v>
      </c>
      <c r="AR17" s="133">
        <v>23086.916805984045</v>
      </c>
      <c r="AS17" s="133">
        <v>31224.52215577119</v>
      </c>
      <c r="AT17" s="133">
        <v>36317.78149290774</v>
      </c>
      <c r="AU17" s="136">
        <v>700</v>
      </c>
      <c r="AV17" s="135">
        <f t="shared" si="5"/>
        <v>25185.974043880666</v>
      </c>
      <c r="AW17" s="119"/>
      <c r="AX17" s="119"/>
      <c r="AY17" s="119"/>
      <c r="AZ17" s="133">
        <v>700</v>
      </c>
      <c r="BA17" s="133">
        <v>18507.230140811087</v>
      </c>
      <c r="BB17" s="133">
        <v>21212.42308819221</v>
      </c>
      <c r="BC17" s="133">
        <v>29101.566674135232</v>
      </c>
      <c r="BD17" s="133">
        <v>34062.77037624309</v>
      </c>
      <c r="BE17" s="136">
        <v>700</v>
      </c>
      <c r="BF17" s="135">
        <f t="shared" si="6"/>
        <v>23286.187759604283</v>
      </c>
      <c r="BJ17">
        <v>700</v>
      </c>
      <c r="BK17" s="194">
        <v>13218.048637562262</v>
      </c>
      <c r="BL17" s="194">
        <v>15111.807793729857</v>
      </c>
      <c r="BM17" s="194">
        <v>21434.42719015529</v>
      </c>
      <c r="BN17" s="194">
        <v>25225.197773220043</v>
      </c>
      <c r="BO17" s="136">
        <v>700</v>
      </c>
      <c r="BP17" s="135">
        <f t="shared" si="7"/>
        <v>16819.380310577206</v>
      </c>
    </row>
    <row r="18" spans="1:68" ht="15.75" thickBot="1">
      <c r="A18" s="278" t="s">
        <v>215</v>
      </c>
      <c r="B18" s="279">
        <v>0.044</v>
      </c>
      <c r="C18" s="280">
        <v>924</v>
      </c>
      <c r="D18" s="281">
        <v>1568</v>
      </c>
      <c r="E18" s="281">
        <v>2352</v>
      </c>
      <c r="F18" s="282">
        <f t="shared" si="2"/>
        <v>40.656</v>
      </c>
      <c r="G18" s="282">
        <f t="shared" si="0"/>
        <v>68.99199999999999</v>
      </c>
      <c r="H18" s="282">
        <f t="shared" si="0"/>
        <v>103.488</v>
      </c>
      <c r="I18" s="282">
        <f aca="true" t="shared" si="10" ref="I18:K20">F17-F18</f>
        <v>28.644</v>
      </c>
      <c r="J18" s="282">
        <f t="shared" si="10"/>
        <v>48.608000000000004</v>
      </c>
      <c r="K18" s="282">
        <f t="shared" si="10"/>
        <v>72.912</v>
      </c>
      <c r="L18" s="283">
        <v>0</v>
      </c>
      <c r="M18" s="277">
        <f t="shared" si="4"/>
        <v>0</v>
      </c>
      <c r="N18" s="277">
        <f t="shared" si="1"/>
        <v>0</v>
      </c>
      <c r="O18" s="277">
        <f t="shared" si="1"/>
        <v>0</v>
      </c>
      <c r="P18" s="293"/>
      <c r="Q18" s="293"/>
      <c r="R18" s="293"/>
      <c r="S18" s="289" t="s">
        <v>177</v>
      </c>
      <c r="T18" s="290">
        <v>13.5</v>
      </c>
      <c r="U18" s="290">
        <v>4.192</v>
      </c>
      <c r="V18" s="291">
        <v>56.592000000000006</v>
      </c>
      <c r="W18"/>
      <c r="X18"/>
      <c r="Y18" s="289" t="s">
        <v>177</v>
      </c>
      <c r="Z18" s="290">
        <v>13.5</v>
      </c>
      <c r="AA18" s="290">
        <v>5.28</v>
      </c>
      <c r="AB18" s="291">
        <v>71.28</v>
      </c>
      <c r="AE18" s="289" t="s">
        <v>175</v>
      </c>
      <c r="AF18" s="290">
        <v>12.6</v>
      </c>
      <c r="AG18" s="290">
        <v>28.224000000000004</v>
      </c>
      <c r="AH18" s="291">
        <v>355.6224</v>
      </c>
      <c r="AP18" s="133">
        <v>690</v>
      </c>
      <c r="AQ18" s="133">
        <v>19719.136174833253</v>
      </c>
      <c r="AR18" s="133">
        <v>22648.385929232525</v>
      </c>
      <c r="AS18" s="133">
        <v>30671.136312714363</v>
      </c>
      <c r="AT18" s="133">
        <v>35684.76930766447</v>
      </c>
      <c r="AU18" s="136">
        <v>690</v>
      </c>
      <c r="AV18" s="135">
        <f t="shared" si="5"/>
        <v>24720.042743144728</v>
      </c>
      <c r="AW18" s="119"/>
      <c r="AX18" s="119"/>
      <c r="AY18" s="119"/>
      <c r="AZ18" s="133">
        <v>690</v>
      </c>
      <c r="BA18" s="133">
        <v>18136.709122559078</v>
      </c>
      <c r="BB18" s="133">
        <v>20783.57835955947</v>
      </c>
      <c r="BC18" s="133">
        <v>28559.83178504335</v>
      </c>
      <c r="BD18" s="133">
        <v>33434.5840299202</v>
      </c>
      <c r="BE18" s="136">
        <v>690</v>
      </c>
      <c r="BF18" s="135">
        <f t="shared" si="6"/>
        <v>22830.8181520484</v>
      </c>
      <c r="BJ18">
        <v>690</v>
      </c>
      <c r="BK18" s="194">
        <v>12921.35950776443</v>
      </c>
      <c r="BL18" s="194">
        <v>14772.897743920306</v>
      </c>
      <c r="BM18" s="194">
        <v>20991.12217990038</v>
      </c>
      <c r="BN18" s="194">
        <v>24714.59126867858</v>
      </c>
      <c r="BO18" s="136">
        <v>690</v>
      </c>
      <c r="BP18" s="135">
        <f t="shared" si="7"/>
        <v>16454.230881922063</v>
      </c>
    </row>
    <row r="19" spans="1:68" ht="15.75" thickBot="1">
      <c r="A19" s="278" t="s">
        <v>175</v>
      </c>
      <c r="B19" s="279">
        <v>0.032</v>
      </c>
      <c r="C19" s="280">
        <v>924</v>
      </c>
      <c r="D19" s="281">
        <v>1568</v>
      </c>
      <c r="E19" s="281">
        <v>2352</v>
      </c>
      <c r="F19" s="282">
        <f t="shared" si="2"/>
        <v>29.568</v>
      </c>
      <c r="G19" s="282">
        <f t="shared" si="0"/>
        <v>50.176</v>
      </c>
      <c r="H19" s="282">
        <f t="shared" si="0"/>
        <v>75.264</v>
      </c>
      <c r="I19" s="282">
        <f t="shared" si="10"/>
        <v>11.087999999999997</v>
      </c>
      <c r="J19" s="282">
        <f t="shared" si="10"/>
        <v>18.81599999999999</v>
      </c>
      <c r="K19" s="282">
        <f t="shared" si="10"/>
        <v>28.224000000000004</v>
      </c>
      <c r="L19" s="283">
        <v>0.1512</v>
      </c>
      <c r="M19" s="277">
        <f t="shared" si="4"/>
        <v>139.7088</v>
      </c>
      <c r="N19" s="277">
        <f t="shared" si="1"/>
        <v>237.0816</v>
      </c>
      <c r="O19" s="277">
        <f t="shared" si="1"/>
        <v>355.6224</v>
      </c>
      <c r="P19" s="293"/>
      <c r="Q19" s="293"/>
      <c r="R19" s="293"/>
      <c r="S19" s="289" t="s">
        <v>179</v>
      </c>
      <c r="T19" s="290">
        <v>17.28</v>
      </c>
      <c r="U19" s="290">
        <v>2</v>
      </c>
      <c r="V19" s="291">
        <v>34.56</v>
      </c>
      <c r="W19"/>
      <c r="X19"/>
      <c r="Y19" s="289" t="s">
        <v>179</v>
      </c>
      <c r="Z19" s="290">
        <v>17.28</v>
      </c>
      <c r="AA19" s="290">
        <v>4.54</v>
      </c>
      <c r="AB19" s="291">
        <v>78.4512</v>
      </c>
      <c r="AE19" s="289" t="s">
        <v>179</v>
      </c>
      <c r="AF19" s="290">
        <v>17.28</v>
      </c>
      <c r="AG19" s="290">
        <v>5.459999999999994</v>
      </c>
      <c r="AH19" s="291">
        <v>94.34880000000001</v>
      </c>
      <c r="AP19" s="133">
        <v>680</v>
      </c>
      <c r="AQ19" s="133">
        <v>19335.861153720205</v>
      </c>
      <c r="AR19" s="133">
        <v>22210.19975526103</v>
      </c>
      <c r="AS19" s="133">
        <v>30118.12964271557</v>
      </c>
      <c r="AT19" s="133">
        <v>35052.03288464522</v>
      </c>
      <c r="AU19" s="136">
        <v>680</v>
      </c>
      <c r="AV19" s="135">
        <f t="shared" si="5"/>
        <v>24254.40616328571</v>
      </c>
      <c r="AW19" s="119"/>
      <c r="AX19" s="119"/>
      <c r="AY19" s="119"/>
      <c r="AZ19" s="133">
        <v>680</v>
      </c>
      <c r="BA19" s="133">
        <v>17765.946812361042</v>
      </c>
      <c r="BB19" s="133">
        <v>20355.38856620879</v>
      </c>
      <c r="BC19" s="133">
        <v>28019.062063735546</v>
      </c>
      <c r="BD19" s="133">
        <v>32806.811326933355</v>
      </c>
      <c r="BE19" s="136">
        <v>680</v>
      </c>
      <c r="BF19" s="135">
        <f t="shared" si="6"/>
        <v>22375.98972785716</v>
      </c>
      <c r="BJ19">
        <v>680</v>
      </c>
      <c r="BK19" s="194">
        <v>12624.875476120715</v>
      </c>
      <c r="BL19" s="194">
        <v>14435.511280398478</v>
      </c>
      <c r="BM19" s="194">
        <v>20549.194257251685</v>
      </c>
      <c r="BN19" s="194">
        <v>24204.600058599473</v>
      </c>
      <c r="BO19" s="136">
        <v>680</v>
      </c>
      <c r="BP19" s="135">
        <f t="shared" si="7"/>
        <v>16090.259302666276</v>
      </c>
    </row>
    <row r="20" spans="1:68" ht="15.75" thickBot="1">
      <c r="A20" s="278" t="s">
        <v>189</v>
      </c>
      <c r="B20" s="284">
        <v>0.03</v>
      </c>
      <c r="C20" s="280">
        <v>924</v>
      </c>
      <c r="D20" s="281">
        <v>1568</v>
      </c>
      <c r="E20" s="281">
        <v>2352</v>
      </c>
      <c r="F20" s="282">
        <f t="shared" si="2"/>
        <v>27.72</v>
      </c>
      <c r="G20" s="282">
        <f t="shared" si="0"/>
        <v>47.04</v>
      </c>
      <c r="H20" s="282">
        <f t="shared" si="0"/>
        <v>70.56</v>
      </c>
      <c r="I20" s="282">
        <f t="shared" si="10"/>
        <v>1.8480000000000025</v>
      </c>
      <c r="J20" s="282">
        <f t="shared" si="10"/>
        <v>3.136000000000003</v>
      </c>
      <c r="K20" s="282">
        <f t="shared" si="10"/>
        <v>4.7039999999999935</v>
      </c>
      <c r="L20" s="283">
        <v>0.1512</v>
      </c>
      <c r="M20" s="277">
        <f t="shared" si="4"/>
        <v>139.7088</v>
      </c>
      <c r="N20" s="277">
        <f t="shared" si="1"/>
        <v>237.0816</v>
      </c>
      <c r="O20" s="277">
        <f t="shared" si="1"/>
        <v>355.6224</v>
      </c>
      <c r="P20" s="293"/>
      <c r="Q20" s="293"/>
      <c r="R20" s="293"/>
      <c r="S20" s="289" t="s">
        <v>180</v>
      </c>
      <c r="T20" s="290">
        <v>17.28</v>
      </c>
      <c r="U20" s="290">
        <v>2.62</v>
      </c>
      <c r="V20" s="291">
        <v>45.2736</v>
      </c>
      <c r="W20"/>
      <c r="X20"/>
      <c r="Y20" s="289" t="s">
        <v>180</v>
      </c>
      <c r="Z20" s="290">
        <v>17.28</v>
      </c>
      <c r="AA20" s="290">
        <v>3.3</v>
      </c>
      <c r="AB20" s="291">
        <v>57.024</v>
      </c>
      <c r="AE20" s="289" t="s">
        <v>180</v>
      </c>
      <c r="AF20" s="290">
        <v>17.28</v>
      </c>
      <c r="AG20" s="290">
        <v>7.79</v>
      </c>
      <c r="AH20" s="291">
        <v>134.6112</v>
      </c>
      <c r="AP20" s="133">
        <v>670</v>
      </c>
      <c r="AQ20" s="133">
        <v>18953.0687164992</v>
      </c>
      <c r="AR20" s="133">
        <v>21772.94427879561</v>
      </c>
      <c r="AS20" s="133">
        <v>29565.536616052814</v>
      </c>
      <c r="AT20" s="133">
        <v>34419.503283293976</v>
      </c>
      <c r="AU20" s="136">
        <v>670</v>
      </c>
      <c r="AV20" s="135">
        <f t="shared" si="5"/>
        <v>23789.445200875547</v>
      </c>
      <c r="AW20" s="119"/>
      <c r="AX20" s="119"/>
      <c r="AY20" s="119"/>
      <c r="AZ20" s="133">
        <v>670</v>
      </c>
      <c r="BA20" s="133">
        <v>17395.632615777045</v>
      </c>
      <c r="BB20" s="133">
        <v>19927.88817841816</v>
      </c>
      <c r="BC20" s="133">
        <v>27478.464693817754</v>
      </c>
      <c r="BD20" s="133">
        <v>32179.48673756054</v>
      </c>
      <c r="BE20" s="136">
        <v>670</v>
      </c>
      <c r="BF20" s="135">
        <f t="shared" si="6"/>
        <v>21921.661122696954</v>
      </c>
      <c r="BJ20">
        <v>670</v>
      </c>
      <c r="BK20" s="194">
        <v>12328.713741576326</v>
      </c>
      <c r="BL20" s="194">
        <v>14099.50190448286</v>
      </c>
      <c r="BM20" s="194">
        <v>20108.203926164668</v>
      </c>
      <c r="BN20" s="194">
        <v>23694.931145619692</v>
      </c>
      <c r="BO20" s="136">
        <v>670</v>
      </c>
      <c r="BP20" s="135">
        <f t="shared" si="7"/>
        <v>15727.291239378847</v>
      </c>
    </row>
    <row r="21" spans="1:68" ht="15.75" thickBot="1">
      <c r="A21" s="278" t="s">
        <v>216</v>
      </c>
      <c r="B21" s="279">
        <f>1/(1/0.85+0.08)</f>
        <v>0.795880149812734</v>
      </c>
      <c r="C21" s="280">
        <v>116</v>
      </c>
      <c r="D21" s="281">
        <v>196</v>
      </c>
      <c r="E21" s="281">
        <v>353</v>
      </c>
      <c r="F21" s="282">
        <f t="shared" si="2"/>
        <v>92.32209737827715</v>
      </c>
      <c r="G21" s="282">
        <f aca="true" t="shared" si="11" ref="G21:G27">$B21*D21</f>
        <v>155.99250936329588</v>
      </c>
      <c r="H21" s="282">
        <f aca="true" t="shared" si="12" ref="H21:H27">$B21*E21</f>
        <v>280.9456928838951</v>
      </c>
      <c r="I21" s="254">
        <v>0</v>
      </c>
      <c r="J21" s="254">
        <v>0</v>
      </c>
      <c r="K21" s="254">
        <v>0</v>
      </c>
      <c r="L21" s="283">
        <v>0</v>
      </c>
      <c r="M21" s="277">
        <f t="shared" si="4"/>
        <v>0</v>
      </c>
      <c r="N21" s="277">
        <f aca="true" t="shared" si="13" ref="N21:O27">D21*$L21</f>
        <v>0</v>
      </c>
      <c r="O21" s="277">
        <f t="shared" si="13"/>
        <v>0</v>
      </c>
      <c r="P21" s="293"/>
      <c r="Q21" s="293"/>
      <c r="R21" s="293"/>
      <c r="S21" s="289" t="s">
        <v>218</v>
      </c>
      <c r="T21" s="290">
        <v>20.760869565217398</v>
      </c>
      <c r="U21" s="290">
        <v>10.671999999999997</v>
      </c>
      <c r="V21" s="291">
        <v>221.56</v>
      </c>
      <c r="W21"/>
      <c r="X21"/>
      <c r="Y21" s="289" t="s">
        <v>218</v>
      </c>
      <c r="Z21" s="290">
        <v>20.760869565217394</v>
      </c>
      <c r="AA21" s="290">
        <v>18.031999999999996</v>
      </c>
      <c r="AB21" s="291">
        <v>374.36</v>
      </c>
      <c r="AE21" s="289" t="s">
        <v>218</v>
      </c>
      <c r="AF21" s="290">
        <v>20.76086956521739</v>
      </c>
      <c r="AG21" s="290">
        <v>32.476</v>
      </c>
      <c r="AH21" s="291">
        <v>674.23</v>
      </c>
      <c r="AP21" s="133">
        <v>660</v>
      </c>
      <c r="AQ21" s="133">
        <v>18571.172506506267</v>
      </c>
      <c r="AR21" s="133">
        <v>21336.41267816825</v>
      </c>
      <c r="AS21" s="133">
        <v>29013.5295841161</v>
      </c>
      <c r="AT21" s="133">
        <v>33787.14603333276</v>
      </c>
      <c r="AU21" s="136">
        <v>660</v>
      </c>
      <c r="AV21" s="135">
        <f t="shared" si="5"/>
        <v>23325.18053808104</v>
      </c>
      <c r="AW21" s="119"/>
      <c r="AX21" s="119"/>
      <c r="AY21" s="119"/>
      <c r="AZ21" s="133">
        <v>660</v>
      </c>
      <c r="BA21" s="133">
        <v>17026.352527533138</v>
      </c>
      <c r="BB21" s="133">
        <v>19500.766963685564</v>
      </c>
      <c r="BC21" s="133">
        <v>26938.660140294032</v>
      </c>
      <c r="BD21" s="133">
        <v>31552.33449957774</v>
      </c>
      <c r="BE21" s="136">
        <v>660</v>
      </c>
      <c r="BF21" s="135">
        <f t="shared" si="6"/>
        <v>21467.935747401807</v>
      </c>
      <c r="BJ21">
        <v>660</v>
      </c>
      <c r="BK21" s="194">
        <v>12033.108702021682</v>
      </c>
      <c r="BL21" s="194">
        <v>13764.752417228245</v>
      </c>
      <c r="BM21" s="194">
        <v>19668.063287430417</v>
      </c>
      <c r="BN21" s="194">
        <v>23187.166715499563</v>
      </c>
      <c r="BO21" s="136">
        <v>660</v>
      </c>
      <c r="BP21" s="135">
        <f t="shared" si="7"/>
        <v>15365.37210665104</v>
      </c>
    </row>
    <row r="22" spans="1:68" ht="15.75" thickBot="1">
      <c r="A22" s="278" t="s">
        <v>217</v>
      </c>
      <c r="B22" s="279">
        <v>0.48</v>
      </c>
      <c r="C22" s="280">
        <v>116</v>
      </c>
      <c r="D22" s="281">
        <v>196</v>
      </c>
      <c r="E22" s="281">
        <v>353</v>
      </c>
      <c r="F22" s="282">
        <f t="shared" si="2"/>
        <v>55.68</v>
      </c>
      <c r="G22" s="282">
        <f t="shared" si="11"/>
        <v>94.08</v>
      </c>
      <c r="H22" s="282">
        <f t="shared" si="12"/>
        <v>169.44</v>
      </c>
      <c r="I22" s="282">
        <v>0</v>
      </c>
      <c r="J22" s="282">
        <v>0</v>
      </c>
      <c r="K22" s="282">
        <v>0</v>
      </c>
      <c r="L22" s="283">
        <v>0</v>
      </c>
      <c r="M22" s="277">
        <v>0</v>
      </c>
      <c r="N22" s="277">
        <v>0</v>
      </c>
      <c r="O22" s="277">
        <v>0</v>
      </c>
      <c r="P22" s="293"/>
      <c r="Q22" s="293"/>
      <c r="R22" s="293"/>
      <c r="S22" s="289" t="s">
        <v>181</v>
      </c>
      <c r="T22" s="290">
        <v>20.833333333333343</v>
      </c>
      <c r="U22" s="290">
        <v>5.567999999999998</v>
      </c>
      <c r="V22" s="291">
        <v>116</v>
      </c>
      <c r="W22"/>
      <c r="X22"/>
      <c r="Y22" s="289" t="s">
        <v>181</v>
      </c>
      <c r="Z22" s="290">
        <v>20.833333333333332</v>
      </c>
      <c r="AA22" s="290">
        <v>9.408000000000001</v>
      </c>
      <c r="AB22" s="291">
        <v>196</v>
      </c>
      <c r="AE22" s="289" t="s">
        <v>181</v>
      </c>
      <c r="AF22" s="290">
        <v>20.833333333333346</v>
      </c>
      <c r="AG22" s="290">
        <v>16.94399999999999</v>
      </c>
      <c r="AH22" s="291">
        <v>353</v>
      </c>
      <c r="AP22" s="133">
        <v>650</v>
      </c>
      <c r="AQ22" s="133">
        <v>18190.034642629395</v>
      </c>
      <c r="AR22" s="133">
        <v>20899.777666706887</v>
      </c>
      <c r="AS22" s="133">
        <v>28461.763844125406</v>
      </c>
      <c r="AT22" s="133">
        <v>33154.68537253753</v>
      </c>
      <c r="AU22" s="136">
        <v>650</v>
      </c>
      <c r="AV22" s="135">
        <f t="shared" si="5"/>
        <v>22861.07099153755</v>
      </c>
      <c r="AW22" s="119"/>
      <c r="AX22" s="119"/>
      <c r="AY22" s="119"/>
      <c r="AZ22" s="133">
        <v>650</v>
      </c>
      <c r="BA22" s="133">
        <v>16657.41714206925</v>
      </c>
      <c r="BB22" s="133">
        <v>19074.541976181037</v>
      </c>
      <c r="BC22" s="133">
        <v>26400.75145206046</v>
      </c>
      <c r="BD22" s="133">
        <v>30925.97507798901</v>
      </c>
      <c r="BE22" s="136">
        <v>650</v>
      </c>
      <c r="BF22" s="135">
        <f t="shared" si="6"/>
        <v>21015.241033418934</v>
      </c>
      <c r="BJ22">
        <v>650</v>
      </c>
      <c r="BK22" s="194">
        <v>11738.206856138295</v>
      </c>
      <c r="BL22" s="194">
        <v>13431.907412833285</v>
      </c>
      <c r="BM22" s="194">
        <v>19228.274245531793</v>
      </c>
      <c r="BN22" s="194">
        <v>22681.86346322883</v>
      </c>
      <c r="BO22" s="136">
        <v>650</v>
      </c>
      <c r="BP22" s="135">
        <f t="shared" si="7"/>
        <v>15004.756812188692</v>
      </c>
    </row>
    <row r="23" spans="1:68" ht="15.75" thickBot="1">
      <c r="A23" s="278" t="s">
        <v>218</v>
      </c>
      <c r="B23" s="279">
        <v>0.388</v>
      </c>
      <c r="C23" s="280">
        <v>116</v>
      </c>
      <c r="D23" s="281">
        <v>196</v>
      </c>
      <c r="E23" s="281">
        <v>353</v>
      </c>
      <c r="F23" s="282">
        <f t="shared" si="2"/>
        <v>45.008</v>
      </c>
      <c r="G23" s="282">
        <f t="shared" si="11"/>
        <v>76.048</v>
      </c>
      <c r="H23" s="282">
        <f t="shared" si="12"/>
        <v>136.964</v>
      </c>
      <c r="I23" s="282">
        <f aca="true" t="shared" si="14" ref="I23:K24">F22-F23</f>
        <v>10.671999999999997</v>
      </c>
      <c r="J23" s="282">
        <f t="shared" si="14"/>
        <v>18.031999999999996</v>
      </c>
      <c r="K23" s="282">
        <f t="shared" si="14"/>
        <v>32.476</v>
      </c>
      <c r="L23" s="283">
        <v>1.91</v>
      </c>
      <c r="M23" s="277">
        <f t="shared" si="4"/>
        <v>221.56</v>
      </c>
      <c r="N23" s="277">
        <f t="shared" si="13"/>
        <v>374.35999999999996</v>
      </c>
      <c r="O23" s="277">
        <f t="shared" si="13"/>
        <v>674.23</v>
      </c>
      <c r="P23" s="293"/>
      <c r="Q23" s="293"/>
      <c r="R23" s="293"/>
      <c r="S23" s="289" t="s">
        <v>182</v>
      </c>
      <c r="T23" s="290">
        <v>24.75</v>
      </c>
      <c r="U23" s="290">
        <v>6.287999999999997</v>
      </c>
      <c r="V23" s="291">
        <v>155.62800000000001</v>
      </c>
      <c r="W23"/>
      <c r="X23"/>
      <c r="Y23" s="289" t="s">
        <v>182</v>
      </c>
      <c r="Z23" s="290">
        <v>24.75</v>
      </c>
      <c r="AA23" s="290">
        <v>6.155999999999999</v>
      </c>
      <c r="AB23" s="291">
        <v>152.36100000000002</v>
      </c>
      <c r="AE23" s="289" t="s">
        <v>182</v>
      </c>
      <c r="AF23" s="290">
        <v>24.75</v>
      </c>
      <c r="AG23" s="290">
        <v>6.353999999999999</v>
      </c>
      <c r="AH23" s="291">
        <v>157.2615</v>
      </c>
      <c r="AP23" s="133">
        <v>640</v>
      </c>
      <c r="AQ23" s="133">
        <v>17809.413832922564</v>
      </c>
      <c r="AR23" s="133">
        <v>20463.03924441151</v>
      </c>
      <c r="AS23" s="133">
        <v>27909.791282466696</v>
      </c>
      <c r="AT23" s="133">
        <v>32522.017890074287</v>
      </c>
      <c r="AU23" s="136">
        <v>640</v>
      </c>
      <c r="AV23" s="135">
        <f t="shared" si="5"/>
        <v>22396.951103910655</v>
      </c>
      <c r="AW23" s="119"/>
      <c r="AX23" s="119"/>
      <c r="AY23" s="119"/>
      <c r="AZ23" s="133">
        <v>640</v>
      </c>
      <c r="BA23" s="133">
        <v>16288.516226883372</v>
      </c>
      <c r="BB23" s="133">
        <v>18649.351097016595</v>
      </c>
      <c r="BC23" s="133">
        <v>25863.532169386945</v>
      </c>
      <c r="BD23" s="133">
        <v>30300.649764740352</v>
      </c>
      <c r="BE23" s="136">
        <v>640</v>
      </c>
      <c r="BF23" s="135">
        <f t="shared" si="6"/>
        <v>20563.294324468727</v>
      </c>
      <c r="BJ23">
        <v>640</v>
      </c>
      <c r="BK23" s="194">
        <v>11444.535599179608</v>
      </c>
      <c r="BL23" s="194">
        <v>13099.208907119837</v>
      </c>
      <c r="BM23" s="194">
        <v>18788.71960152359</v>
      </c>
      <c r="BN23" s="194">
        <v>22177.702900673896</v>
      </c>
      <c r="BO23" s="136">
        <v>640</v>
      </c>
      <c r="BP23" s="135">
        <f t="shared" si="7"/>
        <v>14644.576618810434</v>
      </c>
    </row>
    <row r="24" spans="1:68" ht="15.75" thickBot="1">
      <c r="A24" s="278" t="s">
        <v>181</v>
      </c>
      <c r="B24" s="284">
        <v>0.34</v>
      </c>
      <c r="C24" s="280">
        <v>116</v>
      </c>
      <c r="D24" s="281">
        <v>196</v>
      </c>
      <c r="E24" s="281">
        <v>353</v>
      </c>
      <c r="F24" s="282">
        <f t="shared" si="2"/>
        <v>39.440000000000005</v>
      </c>
      <c r="G24" s="282">
        <f t="shared" si="11"/>
        <v>66.64</v>
      </c>
      <c r="H24" s="282">
        <f t="shared" si="12"/>
        <v>120.02000000000001</v>
      </c>
      <c r="I24" s="282">
        <f t="shared" si="14"/>
        <v>5.567999999999998</v>
      </c>
      <c r="J24" s="282">
        <f t="shared" si="14"/>
        <v>9.408000000000001</v>
      </c>
      <c r="K24" s="282">
        <f t="shared" si="14"/>
        <v>16.94399999999999</v>
      </c>
      <c r="L24" s="283">
        <v>1</v>
      </c>
      <c r="M24" s="277">
        <f t="shared" si="4"/>
        <v>116</v>
      </c>
      <c r="N24" s="277">
        <f t="shared" si="13"/>
        <v>196</v>
      </c>
      <c r="O24" s="277">
        <f t="shared" si="13"/>
        <v>353</v>
      </c>
      <c r="P24" s="293"/>
      <c r="Q24" s="293"/>
      <c r="R24" s="293"/>
      <c r="S24" s="289" t="s">
        <v>184</v>
      </c>
      <c r="T24" s="290">
        <v>25.92</v>
      </c>
      <c r="U24" s="290">
        <v>2</v>
      </c>
      <c r="V24" s="291">
        <v>51.84</v>
      </c>
      <c r="W24"/>
      <c r="X24"/>
      <c r="Y24" s="289" t="s">
        <v>184</v>
      </c>
      <c r="Z24" s="290">
        <v>25.92</v>
      </c>
      <c r="AA24" s="290">
        <v>4.54</v>
      </c>
      <c r="AB24" s="291">
        <v>117.67680000000001</v>
      </c>
      <c r="AE24" s="289" t="s">
        <v>184</v>
      </c>
      <c r="AF24" s="290">
        <v>25.92</v>
      </c>
      <c r="AG24" s="290">
        <v>5.46</v>
      </c>
      <c r="AH24" s="291">
        <v>141.52320000000003</v>
      </c>
      <c r="AP24" s="133">
        <v>630</v>
      </c>
      <c r="AQ24" s="133">
        <v>17428.930904327743</v>
      </c>
      <c r="AR24" s="133">
        <v>20026.43870322814</v>
      </c>
      <c r="AS24" s="133">
        <v>27357.956601919996</v>
      </c>
      <c r="AT24" s="133">
        <v>31889.14358594302</v>
      </c>
      <c r="AU24" s="136">
        <v>630</v>
      </c>
      <c r="AV24" s="135">
        <f t="shared" si="5"/>
        <v>21932.95186225677</v>
      </c>
      <c r="AW24" s="119"/>
      <c r="AX24" s="119"/>
      <c r="AY24" s="119"/>
      <c r="AZ24" s="133">
        <v>630</v>
      </c>
      <c r="BA24" s="133">
        <v>15919.787663087503</v>
      </c>
      <c r="BB24" s="133">
        <v>18224.953034246224</v>
      </c>
      <c r="BC24" s="133">
        <v>25327.105703107496</v>
      </c>
      <c r="BD24" s="133">
        <v>29675.358921769704</v>
      </c>
      <c r="BE24" s="136">
        <v>630</v>
      </c>
      <c r="BF24" s="135">
        <f t="shared" si="6"/>
        <v>20111.978421605974</v>
      </c>
      <c r="BJ24">
        <v>630</v>
      </c>
      <c r="BK24" s="194">
        <v>11151.010840902432</v>
      </c>
      <c r="BL24" s="194">
        <v>12766.89129797832</v>
      </c>
      <c r="BM24" s="194">
        <v>18350.336946967476</v>
      </c>
      <c r="BN24" s="194">
        <v>21674.509229416937</v>
      </c>
      <c r="BO24" s="136">
        <v>630</v>
      </c>
      <c r="BP24" s="135">
        <f t="shared" si="7"/>
        <v>14284.957515382364</v>
      </c>
    </row>
    <row r="25" spans="1:68" ht="15.75" thickBot="1">
      <c r="A25" s="285" t="s">
        <v>219</v>
      </c>
      <c r="B25" s="284">
        <v>0.39</v>
      </c>
      <c r="C25" s="280">
        <v>38</v>
      </c>
      <c r="D25" s="281">
        <v>38</v>
      </c>
      <c r="E25" s="281">
        <v>58</v>
      </c>
      <c r="F25" s="282">
        <f t="shared" si="2"/>
        <v>14.82</v>
      </c>
      <c r="G25" s="282">
        <f t="shared" si="11"/>
        <v>14.82</v>
      </c>
      <c r="H25" s="282">
        <f t="shared" si="12"/>
        <v>22.62</v>
      </c>
      <c r="I25" s="254">
        <v>0</v>
      </c>
      <c r="J25" s="254">
        <v>0</v>
      </c>
      <c r="K25" s="254">
        <v>0</v>
      </c>
      <c r="L25" s="283">
        <v>0</v>
      </c>
      <c r="M25" s="277">
        <f t="shared" si="4"/>
        <v>0</v>
      </c>
      <c r="N25" s="277">
        <f t="shared" si="13"/>
        <v>0</v>
      </c>
      <c r="O25" s="277">
        <f t="shared" si="13"/>
        <v>0</v>
      </c>
      <c r="P25" s="293"/>
      <c r="Q25" s="293"/>
      <c r="R25" s="293"/>
      <c r="S25" s="289" t="s">
        <v>186</v>
      </c>
      <c r="T25" s="290">
        <v>43.19999999999993</v>
      </c>
      <c r="U25" s="290">
        <v>1.5720000000000027</v>
      </c>
      <c r="V25" s="291">
        <v>67.91040000000001</v>
      </c>
      <c r="W25"/>
      <c r="X25"/>
      <c r="Y25" s="289" t="s">
        <v>186</v>
      </c>
      <c r="Z25" s="290">
        <v>43.2</v>
      </c>
      <c r="AA25" s="290">
        <v>1.98</v>
      </c>
      <c r="AB25" s="291">
        <v>85.53600000000002</v>
      </c>
      <c r="AE25" s="289" t="s">
        <v>186</v>
      </c>
      <c r="AF25" s="290">
        <v>43.199999999999946</v>
      </c>
      <c r="AG25" s="290">
        <v>4.674000000000007</v>
      </c>
      <c r="AH25" s="291">
        <v>201.91680000000002</v>
      </c>
      <c r="AP25" s="133">
        <v>620</v>
      </c>
      <c r="AQ25" s="133">
        <v>17048.585856844937</v>
      </c>
      <c r="AR25" s="133">
        <v>19590.59650816084</v>
      </c>
      <c r="AS25" s="133">
        <v>26806.328743041315</v>
      </c>
      <c r="AT25" s="133">
        <v>31256.64845486979</v>
      </c>
      <c r="AU25" s="136">
        <v>620</v>
      </c>
      <c r="AV25" s="135">
        <f t="shared" si="5"/>
        <v>21469.430033953227</v>
      </c>
      <c r="AW25" s="119"/>
      <c r="AX25" s="119"/>
      <c r="AY25" s="119"/>
      <c r="AZ25" s="133">
        <v>620</v>
      </c>
      <c r="BA25" s="133">
        <v>15551.748504851694</v>
      </c>
      <c r="BB25" s="133">
        <v>17802.31295565399</v>
      </c>
      <c r="BC25" s="133">
        <v>24790.713707106053</v>
      </c>
      <c r="BD25" s="133">
        <v>29050.481722135086</v>
      </c>
      <c r="BE25" s="136">
        <v>620</v>
      </c>
      <c r="BF25" s="135">
        <f t="shared" si="6"/>
        <v>19661.7086916806</v>
      </c>
      <c r="BJ25">
        <v>620</v>
      </c>
      <c r="BK25" s="194">
        <v>10858.687371813654</v>
      </c>
      <c r="BL25" s="194">
        <v>12435.130383826547</v>
      </c>
      <c r="BM25" s="194">
        <v>17913.507178435397</v>
      </c>
      <c r="BN25" s="194">
        <v>21172.223849985352</v>
      </c>
      <c r="BO25" s="136">
        <v>620</v>
      </c>
      <c r="BP25" s="135">
        <f t="shared" si="7"/>
        <v>13926.290653384121</v>
      </c>
    </row>
    <row r="26" spans="1:68" ht="15.75" thickBot="1">
      <c r="A26" s="285" t="s">
        <v>221</v>
      </c>
      <c r="B26" s="284">
        <v>0.19</v>
      </c>
      <c r="C26" s="280">
        <v>38</v>
      </c>
      <c r="D26" s="281">
        <v>38</v>
      </c>
      <c r="E26" s="281">
        <v>58</v>
      </c>
      <c r="F26" s="282">
        <f t="shared" si="2"/>
        <v>7.22</v>
      </c>
      <c r="G26" s="282">
        <f t="shared" si="11"/>
        <v>7.22</v>
      </c>
      <c r="H26" s="282">
        <f t="shared" si="12"/>
        <v>11.02</v>
      </c>
      <c r="I26" s="282">
        <f>F25-F26</f>
        <v>7.6000000000000005</v>
      </c>
      <c r="J26" s="282">
        <f>G25-G26</f>
        <v>7.6000000000000005</v>
      </c>
      <c r="K26" s="282">
        <f>H25-H26</f>
        <v>11.600000000000001</v>
      </c>
      <c r="L26" s="283">
        <v>4.5360000000000005</v>
      </c>
      <c r="M26" s="277">
        <v>0</v>
      </c>
      <c r="N26" s="277">
        <v>0</v>
      </c>
      <c r="O26" s="277">
        <v>0</v>
      </c>
      <c r="P26" s="293"/>
      <c r="Q26" s="293"/>
      <c r="R26" s="293"/>
      <c r="S26" s="289" t="s">
        <v>188</v>
      </c>
      <c r="T26" s="290">
        <v>48.6</v>
      </c>
      <c r="U26" s="290">
        <v>1.6</v>
      </c>
      <c r="V26" s="291">
        <v>77.76</v>
      </c>
      <c r="W26"/>
      <c r="X26"/>
      <c r="Y26" s="289" t="s">
        <v>188</v>
      </c>
      <c r="Z26" s="290">
        <v>48.6</v>
      </c>
      <c r="AA26" s="290">
        <v>3.631999999999998</v>
      </c>
      <c r="AB26" s="291">
        <v>176.51520000000002</v>
      </c>
      <c r="AE26" s="289" t="s">
        <v>188</v>
      </c>
      <c r="AF26" s="290">
        <v>48.6</v>
      </c>
      <c r="AG26" s="290">
        <v>4.3679999999999986</v>
      </c>
      <c r="AH26" s="291">
        <v>212.28480000000002</v>
      </c>
      <c r="AP26" s="133">
        <v>610</v>
      </c>
      <c r="AQ26" s="133">
        <v>16668.895744644182</v>
      </c>
      <c r="AR26" s="133">
        <v>19155.443718653594</v>
      </c>
      <c r="AS26" s="133">
        <v>26255.183468054674</v>
      </c>
      <c r="AT26" s="133">
        <v>30624.704848244604</v>
      </c>
      <c r="AU26" s="136">
        <v>610</v>
      </c>
      <c r="AV26" s="135">
        <f t="shared" si="5"/>
        <v>21006.53211768153</v>
      </c>
      <c r="AW26" s="119"/>
      <c r="AX26" s="119"/>
      <c r="AY26" s="119"/>
      <c r="AZ26" s="133">
        <v>610</v>
      </c>
      <c r="BA26" s="133">
        <v>15184.260871063927</v>
      </c>
      <c r="BB26" s="133">
        <v>17380.810396235847</v>
      </c>
      <c r="BC26" s="133">
        <v>24255.25240861068</v>
      </c>
      <c r="BD26" s="133">
        <v>28426.15604694852</v>
      </c>
      <c r="BE26" s="136">
        <v>610</v>
      </c>
      <c r="BF26" s="135">
        <f t="shared" si="6"/>
        <v>19212.378276830805</v>
      </c>
      <c r="BJ26">
        <v>610</v>
      </c>
      <c r="BK26" s="194">
        <v>10568.707881629065</v>
      </c>
      <c r="BL26" s="194">
        <v>12104.424260181659</v>
      </c>
      <c r="BM26" s="194">
        <v>17477.7615001465</v>
      </c>
      <c r="BN26" s="194">
        <v>20671.608555523002</v>
      </c>
      <c r="BO26" s="136">
        <v>610</v>
      </c>
      <c r="BP26" s="135">
        <f t="shared" si="7"/>
        <v>13568.974509229418</v>
      </c>
    </row>
    <row r="27" spans="1:68" ht="15.75" thickBot="1">
      <c r="A27" s="286" t="s">
        <v>220</v>
      </c>
      <c r="B27" s="284">
        <f>0.018*0.35</f>
        <v>0.006299999999999999</v>
      </c>
      <c r="C27" s="287">
        <f>8.2*924</f>
        <v>7576.799999999999</v>
      </c>
      <c r="D27" s="288">
        <f>8.2*1568</f>
        <v>12857.599999999999</v>
      </c>
      <c r="E27" s="288">
        <f>8.2*2352</f>
        <v>19286.399999999998</v>
      </c>
      <c r="F27" s="282">
        <f t="shared" si="2"/>
        <v>47.73383999999999</v>
      </c>
      <c r="G27" s="282">
        <f t="shared" si="11"/>
        <v>81.00287999999998</v>
      </c>
      <c r="H27" s="282">
        <f t="shared" si="12"/>
        <v>121.50431999999996</v>
      </c>
      <c r="I27" s="254">
        <v>0</v>
      </c>
      <c r="J27" s="254">
        <v>0</v>
      </c>
      <c r="K27" s="254">
        <v>0</v>
      </c>
      <c r="L27" s="283">
        <v>0</v>
      </c>
      <c r="M27" s="277">
        <f t="shared" si="4"/>
        <v>0</v>
      </c>
      <c r="N27" s="277">
        <f t="shared" si="13"/>
        <v>0</v>
      </c>
      <c r="O27" s="277">
        <f t="shared" si="13"/>
        <v>0</v>
      </c>
      <c r="P27" s="293"/>
      <c r="Q27" s="293"/>
      <c r="R27" s="293"/>
      <c r="S27" s="289" t="s">
        <v>189</v>
      </c>
      <c r="T27" s="290">
        <v>75.5999999999999</v>
      </c>
      <c r="U27" s="290">
        <v>1.8480000000000025</v>
      </c>
      <c r="V27" s="291">
        <v>139.7088</v>
      </c>
      <c r="W27"/>
      <c r="X27"/>
      <c r="Y27" s="289" t="s">
        <v>189</v>
      </c>
      <c r="Z27" s="290">
        <v>75.59999999999994</v>
      </c>
      <c r="AA27" s="290">
        <v>3.136000000000003</v>
      </c>
      <c r="AB27" s="291">
        <v>237.0816</v>
      </c>
      <c r="AE27" s="289" t="s">
        <v>189</v>
      </c>
      <c r="AF27" s="290">
        <v>75.60000000000011</v>
      </c>
      <c r="AG27" s="290">
        <v>4.7039999999999935</v>
      </c>
      <c r="AH27" s="291">
        <v>355.6224</v>
      </c>
      <c r="AP27" s="133">
        <v>600</v>
      </c>
      <c r="AQ27" s="133">
        <v>16290.412092173525</v>
      </c>
      <c r="AR27" s="133">
        <v>18721.014804984403</v>
      </c>
      <c r="AS27" s="133">
        <v>25704.21054445804</v>
      </c>
      <c r="AT27" s="133">
        <v>29993.03700384344</v>
      </c>
      <c r="AU27" s="136">
        <v>600</v>
      </c>
      <c r="AV27" s="135">
        <f t="shared" si="5"/>
        <v>20544.294307233587</v>
      </c>
      <c r="AW27" s="119"/>
      <c r="AX27" s="119"/>
      <c r="AY27" s="119"/>
      <c r="AZ27" s="133">
        <v>600</v>
      </c>
      <c r="BA27" s="133">
        <v>14817.738405060238</v>
      </c>
      <c r="BB27" s="133">
        <v>16959.687009875735</v>
      </c>
      <c r="BC27" s="133">
        <v>23721.273332069424</v>
      </c>
      <c r="BD27" s="133">
        <v>27802.588717878014</v>
      </c>
      <c r="BE27" s="136">
        <v>600</v>
      </c>
      <c r="BF27" s="135">
        <f t="shared" si="6"/>
        <v>18763.83895486117</v>
      </c>
      <c r="BJ27">
        <v>600</v>
      </c>
      <c r="BK27" s="194">
        <v>10279.929680632875</v>
      </c>
      <c r="BL27" s="194">
        <v>11774.216232053912</v>
      </c>
      <c r="BM27" s="194">
        <v>17043.510108409024</v>
      </c>
      <c r="BN27" s="194">
        <v>20171.22765895107</v>
      </c>
      <c r="BO27" s="136">
        <v>600</v>
      </c>
      <c r="BP27" s="135">
        <f t="shared" si="7"/>
        <v>13212.53296220334</v>
      </c>
    </row>
    <row r="28" spans="33:68" ht="15.75" thickBot="1">
      <c r="AG28" s="298"/>
      <c r="AP28" s="133">
        <v>590</v>
      </c>
      <c r="AQ28" s="133">
        <v>15913.376191378986</v>
      </c>
      <c r="AR28" s="133">
        <v>18286.79271298323</v>
      </c>
      <c r="AS28" s="133">
        <v>25153.720204753452</v>
      </c>
      <c r="AT28" s="133">
        <v>29362.64455972838</v>
      </c>
      <c r="AU28" s="136">
        <v>590</v>
      </c>
      <c r="AV28" s="135">
        <f t="shared" si="5"/>
        <v>20082.63387394219</v>
      </c>
      <c r="AW28" s="119"/>
      <c r="AX28" s="119"/>
      <c r="AY28" s="119"/>
      <c r="AZ28" s="133">
        <v>590</v>
      </c>
      <c r="BA28" s="133">
        <v>14451.698522948587</v>
      </c>
      <c r="BB28" s="133">
        <v>16539.287499353686</v>
      </c>
      <c r="BC28" s="133">
        <v>23187.98366108823</v>
      </c>
      <c r="BD28" s="133">
        <v>27180.434670205617</v>
      </c>
      <c r="BE28" s="136">
        <v>590</v>
      </c>
      <c r="BF28" s="135">
        <f t="shared" si="6"/>
        <v>18316.0011030489</v>
      </c>
      <c r="BJ28">
        <v>590</v>
      </c>
      <c r="BK28" s="194">
        <v>9991.3565777908</v>
      </c>
      <c r="BL28" s="194">
        <v>11444.769997070027</v>
      </c>
      <c r="BM28" s="194">
        <v>16611.280398476414</v>
      </c>
      <c r="BN28" s="194">
        <v>19672.95634339291</v>
      </c>
      <c r="BO28" s="136">
        <v>590</v>
      </c>
      <c r="BP28" s="135">
        <f t="shared" si="7"/>
        <v>12857.124230881922</v>
      </c>
    </row>
    <row r="29" spans="33:68" ht="15.75" thickBot="1">
      <c r="AG29" s="120"/>
      <c r="AP29" s="133">
        <v>580</v>
      </c>
      <c r="AQ29" s="133">
        <v>15537.339928646526</v>
      </c>
      <c r="AR29" s="133">
        <v>17852.501680426056</v>
      </c>
      <c r="AS29" s="133">
        <v>24603.953740886926</v>
      </c>
      <c r="AT29" s="133">
        <v>28732.90705089537</v>
      </c>
      <c r="AU29" s="136">
        <v>580</v>
      </c>
      <c r="AV29" s="135">
        <f t="shared" si="5"/>
        <v>19621.352613708834</v>
      </c>
      <c r="AW29" s="119"/>
      <c r="AX29" s="119"/>
      <c r="AY29" s="119"/>
      <c r="AZ29" s="133">
        <v>580</v>
      </c>
      <c r="BA29" s="133">
        <v>14086.279105840991</v>
      </c>
      <c r="BB29" s="133">
        <v>16120.749383843782</v>
      </c>
      <c r="BC29" s="133">
        <v>22654.969752331053</v>
      </c>
      <c r="BD29" s="133">
        <v>26560.452250047398</v>
      </c>
      <c r="BE29" s="136">
        <v>580</v>
      </c>
      <c r="BF29" s="135">
        <f t="shared" si="6"/>
        <v>17869.39556367522</v>
      </c>
      <c r="BJ29">
        <v>580</v>
      </c>
      <c r="BK29" s="194">
        <v>9702.84207442133</v>
      </c>
      <c r="BL29" s="194">
        <v>11116.964547319074</v>
      </c>
      <c r="BM29" s="194">
        <v>16180.515675358922</v>
      </c>
      <c r="BN29" s="194">
        <v>19177.14620568415</v>
      </c>
      <c r="BO29" s="136">
        <v>580</v>
      </c>
      <c r="BP29" s="135">
        <f t="shared" si="7"/>
        <v>12503.036917667741</v>
      </c>
    </row>
    <row r="30" spans="1:68" ht="16.5" thickBot="1">
      <c r="A30" s="122" t="s">
        <v>222</v>
      </c>
      <c r="B30" s="255">
        <v>924</v>
      </c>
      <c r="C30" s="255">
        <v>1568</v>
      </c>
      <c r="D30" s="255">
        <v>2352</v>
      </c>
      <c r="E30" s="256">
        <f>SUMPRODUCT($C$2:$E$2,B30:D30)</f>
        <v>1636.32</v>
      </c>
      <c r="F30"/>
      <c r="G30"/>
      <c r="H30"/>
      <c r="I30"/>
      <c r="J30"/>
      <c r="K30"/>
      <c r="L30"/>
      <c r="M30"/>
      <c r="S30" s="140" t="s">
        <v>289</v>
      </c>
      <c r="AP30" s="133">
        <v>570</v>
      </c>
      <c r="AQ30" s="133">
        <v>15161.648368694092</v>
      </c>
      <c r="AR30" s="133">
        <v>17418.727702038916</v>
      </c>
      <c r="AS30" s="133">
        <v>24054.325158132404</v>
      </c>
      <c r="AT30" s="133">
        <v>28103.996828734427</v>
      </c>
      <c r="AU30" s="136">
        <v>570</v>
      </c>
      <c r="AV30" s="135">
        <f t="shared" si="5"/>
        <v>19160.4746557281</v>
      </c>
      <c r="AW30" s="119"/>
      <c r="AX30" s="119"/>
      <c r="AY30" s="119"/>
      <c r="AZ30" s="133">
        <v>570</v>
      </c>
      <c r="BA30" s="133">
        <v>13721.204391513418</v>
      </c>
      <c r="BB30" s="133">
        <v>15703.693490287998</v>
      </c>
      <c r="BC30" s="133">
        <v>22122.541838299927</v>
      </c>
      <c r="BD30" s="133">
        <v>25941.400527395257</v>
      </c>
      <c r="BE30" s="136">
        <v>570</v>
      </c>
      <c r="BF30" s="135">
        <f t="shared" si="6"/>
        <v>17423.793109391427</v>
      </c>
      <c r="BJ30">
        <v>570</v>
      </c>
      <c r="BK30" s="194">
        <v>9414.620568414884</v>
      </c>
      <c r="BL30" s="194">
        <v>10789.539994140052</v>
      </c>
      <c r="BM30" s="194">
        <v>15752.270729563435</v>
      </c>
      <c r="BN30" s="194">
        <v>18683.18195136244</v>
      </c>
      <c r="BO30" s="136">
        <v>570</v>
      </c>
      <c r="BP30" s="135">
        <f t="shared" si="7"/>
        <v>12149.920890711983</v>
      </c>
    </row>
    <row r="31" spans="1:68" ht="16.5" thickBot="1">
      <c r="A31" s="122" t="s">
        <v>223</v>
      </c>
      <c r="B31" s="255">
        <f>C5+C8+C13+C18+C22+C25</f>
        <v>3050</v>
      </c>
      <c r="C31" s="255">
        <f>D5+D8+D13+D18+D22+D25</f>
        <v>4396</v>
      </c>
      <c r="D31" s="255">
        <f>E5+E8+E13+E18+E22+E25</f>
        <v>6472</v>
      </c>
      <c r="E31" s="256">
        <f>SUMPRODUCT($C$2:$E$2,B31:D31)</f>
        <v>4591.28</v>
      </c>
      <c r="F31"/>
      <c r="G31"/>
      <c r="H31"/>
      <c r="I31"/>
      <c r="J31"/>
      <c r="K31"/>
      <c r="L31"/>
      <c r="M31"/>
      <c r="AP31" s="133">
        <v>560</v>
      </c>
      <c r="AQ31" s="133">
        <v>14786.853035969736</v>
      </c>
      <c r="AR31" s="133">
        <v>16985.608658933834</v>
      </c>
      <c r="AS31" s="133">
        <v>23505.627272883958</v>
      </c>
      <c r="AT31" s="133">
        <v>27475.431309353513</v>
      </c>
      <c r="AU31" s="139">
        <v>560</v>
      </c>
      <c r="AV31" s="135">
        <f t="shared" si="5"/>
        <v>18700.353320349528</v>
      </c>
      <c r="AW31" s="119"/>
      <c r="AX31" s="119"/>
      <c r="AY31" s="119"/>
      <c r="AZ31" s="133">
        <v>560</v>
      </c>
      <c r="BA31" s="133">
        <v>13357.30166663794</v>
      </c>
      <c r="BB31" s="133">
        <v>15286.844418400236</v>
      </c>
      <c r="BC31" s="133">
        <v>21591.389324554904</v>
      </c>
      <c r="BD31" s="133">
        <v>25322.865858913152</v>
      </c>
      <c r="BE31" s="139">
        <v>560</v>
      </c>
      <c r="BF31" s="135">
        <f t="shared" si="6"/>
        <v>16978.87316661209</v>
      </c>
      <c r="BJ31">
        <v>560</v>
      </c>
      <c r="BK31" s="194">
        <v>9128.12774685028</v>
      </c>
      <c r="BL31" s="194">
        <v>10463.932024611779</v>
      </c>
      <c r="BM31" s="194">
        <v>15326.955757398186</v>
      </c>
      <c r="BN31" s="194">
        <v>18190.82918253736</v>
      </c>
      <c r="BO31" s="139">
        <v>560</v>
      </c>
      <c r="BP31" s="135">
        <f t="shared" si="7"/>
        <v>11798.871960152359</v>
      </c>
    </row>
    <row r="32" spans="1:68" ht="15.75" thickBot="1">
      <c r="A32" s="126" t="s">
        <v>204</v>
      </c>
      <c r="B32" s="127">
        <f>VLOOKUP($A32,$A$5:$K$27,6,FALSE)</f>
        <v>85.936</v>
      </c>
      <c r="C32" s="127">
        <f>VLOOKUP($A32,$A$5:$K$27,7,FALSE)</f>
        <v>84.132</v>
      </c>
      <c r="D32" s="127">
        <f>VLOOKUP($A32,$A$5:$K$27,8,FALSE)</f>
        <v>86.83800000000001</v>
      </c>
      <c r="F32"/>
      <c r="G32"/>
      <c r="H32"/>
      <c r="I32"/>
      <c r="J32"/>
      <c r="K32"/>
      <c r="L32"/>
      <c r="M32"/>
      <c r="AP32" s="133">
        <v>550</v>
      </c>
      <c r="AQ32" s="133">
        <v>14412.19558435739</v>
      </c>
      <c r="AR32" s="133">
        <v>16553.454783612833</v>
      </c>
      <c r="AS32" s="133">
        <v>22957.997966253602</v>
      </c>
      <c r="AT32" s="133">
        <v>26847.486254976648</v>
      </c>
      <c r="AU32" s="139">
        <v>550</v>
      </c>
      <c r="AV32" s="135">
        <f t="shared" si="5"/>
        <v>18241.04031299013</v>
      </c>
      <c r="AW32" s="119"/>
      <c r="AX32" s="119"/>
      <c r="AY32" s="119"/>
      <c r="AZ32" s="133">
        <v>550</v>
      </c>
      <c r="BA32" s="133">
        <v>12993.915995932508</v>
      </c>
      <c r="BB32" s="133">
        <v>14870.891573740542</v>
      </c>
      <c r="BC32" s="133">
        <v>21061.13303803795</v>
      </c>
      <c r="BD32" s="133">
        <v>24705.365298771136</v>
      </c>
      <c r="BE32" s="139">
        <v>550</v>
      </c>
      <c r="BF32" s="135">
        <f t="shared" si="6"/>
        <v>16534.780510504817</v>
      </c>
      <c r="BJ32">
        <v>550</v>
      </c>
      <c r="BK32" s="194">
        <v>8843.598007617933</v>
      </c>
      <c r="BL32" s="194">
        <v>10142.660416056257</v>
      </c>
      <c r="BM32" s="194">
        <v>14903.750366246704</v>
      </c>
      <c r="BN32" s="194">
        <v>17701.11338997949</v>
      </c>
      <c r="BO32" s="139">
        <v>550</v>
      </c>
      <c r="BP32" s="135">
        <f t="shared" si="7"/>
        <v>11451.043070612366</v>
      </c>
    </row>
    <row r="33" spans="1:68" ht="15.75" thickBot="1">
      <c r="A33" s="126" t="s">
        <v>212</v>
      </c>
      <c r="B33" s="127">
        <f aca="true" t="shared" si="15" ref="B33:B38">VLOOKUP($A33,$A$5:$K$27,6,FALSE)</f>
        <v>18</v>
      </c>
      <c r="C33" s="127">
        <f aca="true" t="shared" si="16" ref="C33:C38">VLOOKUP($A33,$A$5:$K$27,7,FALSE)</f>
        <v>40.86</v>
      </c>
      <c r="D33" s="127">
        <v>40</v>
      </c>
      <c r="F33"/>
      <c r="G33"/>
      <c r="H33"/>
      <c r="I33"/>
      <c r="J33"/>
      <c r="K33"/>
      <c r="L33"/>
      <c r="M33"/>
      <c r="AP33" s="133">
        <v>540</v>
      </c>
      <c r="AQ33" s="133">
        <v>14037.951776081076</v>
      </c>
      <c r="AR33" s="133">
        <v>16122.541838299927</v>
      </c>
      <c r="AS33" s="133">
        <v>22411.23041657331</v>
      </c>
      <c r="AT33" s="133">
        <v>26219.713551989797</v>
      </c>
      <c r="AU33" s="139">
        <v>540</v>
      </c>
      <c r="AV33" s="135">
        <f t="shared" si="5"/>
        <v>17782.654556108995</v>
      </c>
      <c r="AW33" s="119"/>
      <c r="AX33" s="119"/>
      <c r="AY33" s="119"/>
      <c r="AZ33" s="133">
        <v>540</v>
      </c>
      <c r="BA33" s="133">
        <v>12632.874304131265</v>
      </c>
      <c r="BB33" s="133">
        <v>14456.214129366952</v>
      </c>
      <c r="BC33" s="133">
        <v>20532.56579514314</v>
      </c>
      <c r="BD33" s="133">
        <v>24089.24354974923</v>
      </c>
      <c r="BE33" s="139">
        <v>540</v>
      </c>
      <c r="BF33" s="135">
        <f t="shared" si="6"/>
        <v>16092.285551782974</v>
      </c>
      <c r="BJ33">
        <v>540</v>
      </c>
      <c r="BK33" s="194">
        <v>8559.654263111632</v>
      </c>
      <c r="BL33" s="194">
        <v>9824.31878113097</v>
      </c>
      <c r="BM33" s="194">
        <v>14481.394667447994</v>
      </c>
      <c r="BN33" s="194">
        <v>17212.21799003809</v>
      </c>
      <c r="BO33" s="139">
        <v>540</v>
      </c>
      <c r="BP33" s="135">
        <f t="shared" si="7"/>
        <v>11105.049809551714</v>
      </c>
    </row>
    <row r="34" spans="1:68" ht="15.75" thickBot="1">
      <c r="A34" s="126" t="s">
        <v>213</v>
      </c>
      <c r="B34" s="127">
        <f t="shared" si="15"/>
        <v>24.104</v>
      </c>
      <c r="C34" s="127">
        <f t="shared" si="16"/>
        <v>30.36</v>
      </c>
      <c r="D34" s="127">
        <v>59</v>
      </c>
      <c r="F34"/>
      <c r="G34"/>
      <c r="H34"/>
      <c r="I34"/>
      <c r="J34"/>
      <c r="K34"/>
      <c r="L34"/>
      <c r="M34"/>
      <c r="S34" s="115" t="s">
        <v>52</v>
      </c>
      <c r="T34" s="115" t="s">
        <v>206</v>
      </c>
      <c r="U34" s="115" t="s">
        <v>224</v>
      </c>
      <c r="V34" s="140" t="s">
        <v>225</v>
      </c>
      <c r="W34" s="115" t="s">
        <v>226</v>
      </c>
      <c r="X34" s="115" t="s">
        <v>45</v>
      </c>
      <c r="Y34" s="115" t="s">
        <v>52</v>
      </c>
      <c r="Z34" s="115" t="s">
        <v>206</v>
      </c>
      <c r="AA34" s="115" t="s">
        <v>224</v>
      </c>
      <c r="AB34" s="140" t="s">
        <v>225</v>
      </c>
      <c r="AC34" s="115" t="s">
        <v>226</v>
      </c>
      <c r="AD34" s="115" t="s">
        <v>45</v>
      </c>
      <c r="AE34" s="115" t="s">
        <v>52</v>
      </c>
      <c r="AF34" s="115" t="s">
        <v>206</v>
      </c>
      <c r="AG34" s="115" t="s">
        <v>224</v>
      </c>
      <c r="AH34" s="140" t="s">
        <v>225</v>
      </c>
      <c r="AI34" s="115" t="s">
        <v>226</v>
      </c>
      <c r="AJ34" s="115" t="s">
        <v>45</v>
      </c>
      <c r="AP34" s="133">
        <v>530</v>
      </c>
      <c r="AQ34" s="133">
        <v>13664.776546422847</v>
      </c>
      <c r="AR34" s="133">
        <v>15692.249357991073</v>
      </c>
      <c r="AS34" s="133">
        <v>21864.91098050706</v>
      </c>
      <c r="AT34" s="133">
        <v>25591.630616500926</v>
      </c>
      <c r="AU34" s="139">
        <v>530</v>
      </c>
      <c r="AV34" s="135">
        <f t="shared" si="5"/>
        <v>17324.889264231915</v>
      </c>
      <c r="AW34" s="119"/>
      <c r="AX34" s="119"/>
      <c r="AY34" s="119"/>
      <c r="AZ34" s="133">
        <v>530</v>
      </c>
      <c r="BA34" s="133">
        <v>12272.522017890074</v>
      </c>
      <c r="BB34" s="133">
        <v>14043.294669171508</v>
      </c>
      <c r="BC34" s="133">
        <v>20004.756898364387</v>
      </c>
      <c r="BD34" s="133">
        <v>23473.673325175372</v>
      </c>
      <c r="BE34" s="139">
        <v>530</v>
      </c>
      <c r="BF34" s="135">
        <f t="shared" si="6"/>
        <v>15651.024629013635</v>
      </c>
      <c r="BJ34">
        <v>530</v>
      </c>
      <c r="BK34" s="194">
        <v>8278.14239671843</v>
      </c>
      <c r="BL34" s="194">
        <v>9509.053618517435</v>
      </c>
      <c r="BM34" s="194">
        <v>14061.11924992675</v>
      </c>
      <c r="BN34" s="194">
        <v>16725.08057427483</v>
      </c>
      <c r="BO34" s="139">
        <v>530</v>
      </c>
      <c r="BP34" s="135">
        <f t="shared" si="7"/>
        <v>10761.689129797833</v>
      </c>
    </row>
    <row r="35" spans="1:68" ht="16.5" thickBot="1">
      <c r="A35" s="126" t="s">
        <v>214</v>
      </c>
      <c r="B35" s="127">
        <f t="shared" si="15"/>
        <v>69.3</v>
      </c>
      <c r="C35" s="127">
        <f t="shared" si="16"/>
        <v>117.6</v>
      </c>
      <c r="D35" s="127">
        <f>VLOOKUP($A35,$A$5:$K$27,8,FALSE)</f>
        <v>176.4</v>
      </c>
      <c r="F35"/>
      <c r="G35"/>
      <c r="H35"/>
      <c r="I35"/>
      <c r="J35"/>
      <c r="K35"/>
      <c r="L35"/>
      <c r="M35"/>
      <c r="S35" s="115" t="s">
        <v>227</v>
      </c>
      <c r="T35" s="127">
        <f>B95</f>
        <v>252.08184</v>
      </c>
      <c r="U35" s="115">
        <v>0</v>
      </c>
      <c r="V35" s="121">
        <f>SUM(U$35:U35)</f>
        <v>0</v>
      </c>
      <c r="W35" s="116">
        <f ca="1">IF(ISNA(INDEX($AU$7:$AV$76,MATCH(T35,$AU$7:$AU$76,0),1)),TREND(OFFSET(INDEX($AU$7:$AV$76,MATCH(T35,$AU$7:$AU$76,-1),2),0,0,2,1),OFFSET(INDEX($AU$7:$AV$76,MATCH(T35,$AU$7:$AU$76,-1),1),0,0,2,1),T35),INDEX($AU$7:$AV$76,MATCH(T35,$AU$7:$AU$76,0),2))</f>
        <v>5211.826891601322</v>
      </c>
      <c r="X35" s="116"/>
      <c r="Y35" s="115" t="s">
        <v>227</v>
      </c>
      <c r="Z35" s="127">
        <f>C95</f>
        <v>379.97087999999997</v>
      </c>
      <c r="AA35" s="115">
        <v>0</v>
      </c>
      <c r="AB35" s="121">
        <f>SUM(AA$35:AA35)</f>
        <v>0</v>
      </c>
      <c r="AC35" s="116">
        <f ca="1">IF(ISNA(INDEX($BE$7:$BF$76,MATCH(Z35,$BE$7:$BE$76,0),1)),TREND(OFFSET(INDEX($BE$7:$BF$76,MATCH(Z35,$BE$7:$BE$76,-1),2),0,0,2,1),OFFSET(INDEX($BE$7:$BF$76,MATCH(Z35,$BE$7:$BE$76,-1),1),0,0,2,1),Z35),INDEX($BE$7:$BF$76,MATCH(Z35,$BE$7:$BE$76,0),2))</f>
        <v>9214.262020385719</v>
      </c>
      <c r="AD35" s="116"/>
      <c r="AE35" s="115" t="s">
        <v>227</v>
      </c>
      <c r="AF35" s="127">
        <f>D95</f>
        <v>564.3643199999999</v>
      </c>
      <c r="AG35" s="115">
        <v>0</v>
      </c>
      <c r="AH35" s="121">
        <f>SUM(AG$35:AG35)</f>
        <v>0</v>
      </c>
      <c r="AI35" s="116">
        <f ca="1">IF(ISNA(INDEX($BO$7:$BP$76,MATCH(AF35,$BO$7:$BO$76,0),1)),TREND(OFFSET(INDEX($BO$7:$BP$76,MATCH(AF35,$BO$7:$BO$76,-1),2),0,0,2,1),OFFSET(INDEX($BO$7:$BP$76,MATCH(AF35,$BO$7:$BO$76,-1),1),0,0,2,1),AF35),INDEX($BO$7:$BP$76,MATCH(AF35,$BO$7:$BO$76,0),2))</f>
        <v>11952.080947014343</v>
      </c>
      <c r="AJ35" s="116"/>
      <c r="AP35" s="133">
        <v>520</v>
      </c>
      <c r="AQ35" s="133">
        <v>13292.773306216715</v>
      </c>
      <c r="AR35" s="133">
        <v>15262.19816962824</v>
      </c>
      <c r="AS35" s="133">
        <v>21319.177539166853</v>
      </c>
      <c r="AT35" s="133">
        <v>24963.720032402063</v>
      </c>
      <c r="AU35" s="139">
        <v>520</v>
      </c>
      <c r="AV35" s="135">
        <f t="shared" si="5"/>
        <v>16867.63413246928</v>
      </c>
      <c r="AW35" s="119"/>
      <c r="AX35" s="119"/>
      <c r="AY35" s="119"/>
      <c r="AZ35" s="133">
        <v>520</v>
      </c>
      <c r="BA35" s="133">
        <v>11913.100429154962</v>
      </c>
      <c r="BB35" s="133">
        <v>13631.822960652178</v>
      </c>
      <c r="BC35" s="133">
        <v>19477.533996311682</v>
      </c>
      <c r="BD35" s="133">
        <v>22859.412971165613</v>
      </c>
      <c r="BE35" s="139">
        <v>520</v>
      </c>
      <c r="BF35" s="135">
        <f t="shared" si="6"/>
        <v>15210.885713793285</v>
      </c>
      <c r="BJ35">
        <v>520</v>
      </c>
      <c r="BK35" s="194">
        <v>7998.6815118663935</v>
      </c>
      <c r="BL35" s="194">
        <v>9196.073835335483</v>
      </c>
      <c r="BM35" s="194">
        <v>13641.10753003223</v>
      </c>
      <c r="BN35" s="194">
        <v>16240.492235569882</v>
      </c>
      <c r="BO35" s="139">
        <v>520</v>
      </c>
      <c r="BP35" s="135">
        <f t="shared" si="7"/>
        <v>10420.074714327571</v>
      </c>
    </row>
    <row r="36" spans="1:68" ht="16.5" thickBot="1">
      <c r="A36" s="126" t="s">
        <v>216</v>
      </c>
      <c r="B36" s="127">
        <f t="shared" si="15"/>
        <v>92.32209737827715</v>
      </c>
      <c r="C36" s="127">
        <f t="shared" si="16"/>
        <v>155.99250936329588</v>
      </c>
      <c r="D36" s="127">
        <f>VLOOKUP($A36,$A$5:$K$27,8,FALSE)</f>
        <v>280.9456928838951</v>
      </c>
      <c r="F36"/>
      <c r="G36"/>
      <c r="H36"/>
      <c r="I36"/>
      <c r="J36"/>
      <c r="K36"/>
      <c r="L36"/>
      <c r="M36"/>
      <c r="S36" s="141" t="str">
        <f>S16</f>
        <v>FLOOR R33 </v>
      </c>
      <c r="T36" s="127">
        <f>T35-U16</f>
        <v>240.99384</v>
      </c>
      <c r="U36" s="121">
        <f>V16</f>
        <v>139.7088</v>
      </c>
      <c r="V36" s="121">
        <f>SUM(U$35:U36)</f>
        <v>139.7088</v>
      </c>
      <c r="W36" s="116">
        <f ca="1">IF(ISNA(INDEX($AU$7:$AV$76,MATCH(T36,$AU$7:$AU$76,0),1)),TREND(OFFSET(INDEX($AU$7:$AV$76,MATCH(T36,$AU$7:$AU$76,-1),2),0,0,2,1),OFFSET(INDEX($AU$7:$AV$76,MATCH(T36,$AU$7:$AU$76,-1),1),0,0,2,1),T36),INDEX($AU$7:$AV$76,MATCH(T36,$AU$7:$AU$76,0),2))</f>
        <v>4772.639054866368</v>
      </c>
      <c r="X36" s="116">
        <f>W35-W36</f>
        <v>439.18783673495454</v>
      </c>
      <c r="Y36" s="141" t="str">
        <f>Y16</f>
        <v>FLOOR R33 </v>
      </c>
      <c r="Z36" s="127">
        <f>Z35-AA16</f>
        <v>361.15488</v>
      </c>
      <c r="AA36" s="121">
        <f>AB16</f>
        <v>237.0816</v>
      </c>
      <c r="AB36" s="121">
        <f>SUM(AA$35:AA36)</f>
        <v>237.0816</v>
      </c>
      <c r="AC36" s="116">
        <f ca="1">IF(ISNA(INDEX($BE$7:$BF$76,MATCH(Z36,$BE$7:$BE$76,0),1)),TREND(OFFSET(INDEX($BE$7:$BF$76,MATCH(Z36,$BE$7:$BE$76,-1),2),0,0,2,1),OFFSET(INDEX($BE$7:$BF$76,MATCH(Z36,$BE$7:$BE$76,-1),1),0,0,2,1),Z36),INDEX($BE$7:$BF$76,MATCH(Z36,$BE$7:$BE$76,0),2))</f>
        <v>8438.26730079118</v>
      </c>
      <c r="AD36" s="116">
        <f>AC35-AC36</f>
        <v>775.9947195945388</v>
      </c>
      <c r="AE36" s="141" t="str">
        <f>AE18</f>
        <v>FLOOR R33 </v>
      </c>
      <c r="AF36" s="127">
        <f>AF35-AG18</f>
        <v>536.1403199999999</v>
      </c>
      <c r="AG36" s="121">
        <f>AH18</f>
        <v>355.6224</v>
      </c>
      <c r="AH36" s="121">
        <f>SUM(AG$35:AG36)</f>
        <v>355.6224</v>
      </c>
      <c r="AI36" s="116">
        <f ca="1">IF(ISNA(INDEX($BO$7:$BP$76,MATCH(AF36,$BO$7:$BO$76,0),1)),TREND(OFFSET(INDEX($BO$7:$BP$76,MATCH(AF36,$BO$7:$BO$76,-1),2),0,0,2,1),OFFSET(INDEX($BO$7:$BP$76,MATCH(AF36,$BO$7:$BO$76,-1),1),0,0,2,1),AF36),INDEX($BO$7:$BP$76,MATCH(AF36,$BO$7:$BO$76,0),2))</f>
        <v>10972.523574708426</v>
      </c>
      <c r="AJ36" s="116">
        <f>AI35-AI36</f>
        <v>979.5573723059169</v>
      </c>
      <c r="AP36" s="133">
        <v>510</v>
      </c>
      <c r="AQ36" s="133">
        <v>12922.148877130696</v>
      </c>
      <c r="AR36" s="133">
        <v>14832.905327381468</v>
      </c>
      <c r="AS36" s="133">
        <v>20774.75396839076</v>
      </c>
      <c r="AT36" s="133">
        <v>24336.119680805226</v>
      </c>
      <c r="AU36" s="139">
        <v>510</v>
      </c>
      <c r="AV36" s="135">
        <f t="shared" si="5"/>
        <v>16411.376915254823</v>
      </c>
      <c r="AW36" s="119"/>
      <c r="AX36" s="119"/>
      <c r="AY36" s="119"/>
      <c r="AZ36" s="133">
        <v>510</v>
      </c>
      <c r="BA36" s="133">
        <v>11554.747419037936</v>
      </c>
      <c r="BB36" s="133">
        <v>13221.764533530963</v>
      </c>
      <c r="BC36" s="133">
        <v>18950.621326761</v>
      </c>
      <c r="BD36" s="133">
        <v>22247.15189328002</v>
      </c>
      <c r="BE36" s="139">
        <v>510</v>
      </c>
      <c r="BF36" s="135">
        <f t="shared" si="6"/>
        <v>14771.84467692732</v>
      </c>
      <c r="BJ36">
        <v>510</v>
      </c>
      <c r="BK36" s="194">
        <v>7723.469088778202</v>
      </c>
      <c r="BL36" s="194">
        <v>8883.855845297392</v>
      </c>
      <c r="BM36" s="194">
        <v>13221.916202754177</v>
      </c>
      <c r="BN36" s="194">
        <v>15756.987987108116</v>
      </c>
      <c r="BO36" s="139">
        <v>510</v>
      </c>
      <c r="BP36" s="135">
        <f t="shared" si="7"/>
        <v>10079.950190448286</v>
      </c>
    </row>
    <row r="37" spans="1:68" ht="16.5" thickBot="1">
      <c r="A37" s="137" t="s">
        <v>219</v>
      </c>
      <c r="B37" s="127">
        <f t="shared" si="15"/>
        <v>14.82</v>
      </c>
      <c r="C37" s="127">
        <f t="shared" si="16"/>
        <v>14.82</v>
      </c>
      <c r="D37" s="127">
        <f>VLOOKUP($A37,$A$5:$K$27,8,FALSE)</f>
        <v>22.62</v>
      </c>
      <c r="F37"/>
      <c r="G37"/>
      <c r="H37"/>
      <c r="I37"/>
      <c r="J37"/>
      <c r="K37"/>
      <c r="L37"/>
      <c r="M37"/>
      <c r="S37" s="141" t="str">
        <f aca="true" t="shared" si="17" ref="S37:S47">S17</f>
        <v>ATTIC R25</v>
      </c>
      <c r="T37" s="127">
        <f aca="true" t="shared" si="18" ref="T37:T47">T36-U17</f>
        <v>237.79384000000002</v>
      </c>
      <c r="U37" s="121">
        <f aca="true" t="shared" si="19" ref="U37:U47">V17</f>
        <v>43.2</v>
      </c>
      <c r="V37" s="121">
        <f>SUM(U$35:U37)</f>
        <v>182.90879999999999</v>
      </c>
      <c r="W37" s="116">
        <f aca="true" ca="1" t="shared" si="20" ref="W37:W47">IF(ISNA(INDEX($AU$7:$AV$76,MATCH(T37,$AU$7:$AU$76,0),1)),TREND(OFFSET(INDEX($AU$7:$AV$76,MATCH(T37,$AU$7:$AU$76,-1),2),0,0,2,1),OFFSET(INDEX($AU$7:$AV$76,MATCH(T37,$AU$7:$AU$76,-1),1),0,0,2,1),T37),INDEX($AU$7:$AV$76,MATCH(T37,$AU$7:$AU$76,0),2))</f>
        <v>4647.402692542362</v>
      </c>
      <c r="X37" s="116">
        <f aca="true" t="shared" si="21" ref="X37:X47">W36-W37</f>
        <v>125.23636232400531</v>
      </c>
      <c r="Y37" s="141" t="str">
        <f aca="true" t="shared" si="22" ref="Y37:Y47">Y17</f>
        <v>ATTIC R25</v>
      </c>
      <c r="Z37" s="127">
        <f aca="true" t="shared" si="23" ref="Z37:Z47">Z36-AA17</f>
        <v>353.89088</v>
      </c>
      <c r="AA37" s="121">
        <f aca="true" t="shared" si="24" ref="AA37:AA47">AB17</f>
        <v>98.06400000000001</v>
      </c>
      <c r="AB37" s="121">
        <f>SUM(AA$35:AA37)</f>
        <v>335.1456</v>
      </c>
      <c r="AC37" s="116">
        <f aca="true" ca="1" t="shared" si="25" ref="AC37:AC47">IF(ISNA(INDEX($BE$7:$BF$76,MATCH(Z37,$BE$7:$BE$76,0),1)),TREND(OFFSET(INDEX($BE$7:$BF$76,MATCH(Z37,$BE$7:$BE$76,-1),2),0,0,2,1),OFFSET(INDEX($BE$7:$BF$76,MATCH(Z37,$BE$7:$BE$76,-1),1),0,0,2,1),Z37),INDEX($BE$7:$BF$76,MATCH(Z37,$BE$7:$BE$76,0),2))</f>
        <v>8141.938588690275</v>
      </c>
      <c r="AD37" s="116">
        <f aca="true" t="shared" si="26" ref="AD37:AD47">AC36-AC37</f>
        <v>296.32871210090525</v>
      </c>
      <c r="AE37" s="141" t="str">
        <f aca="true" t="shared" si="27" ref="AE37:AE45">AE19</f>
        <v>ATTIC R30 </v>
      </c>
      <c r="AF37" s="127">
        <f aca="true" t="shared" si="28" ref="AF37:AF45">AF36-AG19</f>
        <v>530.6803199999998</v>
      </c>
      <c r="AG37" s="121">
        <f aca="true" t="shared" si="29" ref="AG37:AG45">AH19</f>
        <v>94.34880000000001</v>
      </c>
      <c r="AH37" s="121">
        <f>SUM(AG$35:AG37)</f>
        <v>449.97120000000007</v>
      </c>
      <c r="AI37" s="116">
        <f aca="true" ca="1" t="shared" si="30" ref="AI37:AI45">IF(ISNA(INDEX($BO$7:$BP$76,MATCH(AF37,$BO$7:$BO$76,0),1)),TREND(OFFSET(INDEX($BO$7:$BP$76,MATCH(AF37,$BO$7:$BO$76,-1),2),0,0,2,1),OFFSET(INDEX($BO$7:$BP$76,MATCH(AF37,$BO$7:$BO$76,-1),1),0,0,2,1),AF37),INDEX($BO$7:$BP$76,MATCH(AF37,$BO$7:$BO$76,0),2))</f>
        <v>10785.048643562997</v>
      </c>
      <c r="AJ37" s="116">
        <f aca="true" t="shared" si="31" ref="AJ37:AJ45">AI36-AI37</f>
        <v>187.47493114542885</v>
      </c>
      <c r="AP37" s="133">
        <v>500</v>
      </c>
      <c r="AQ37" s="133">
        <v>12553.006669998795</v>
      </c>
      <c r="AR37" s="133">
        <v>14404.818944864792</v>
      </c>
      <c r="AS37" s="133">
        <v>20232.260733182815</v>
      </c>
      <c r="AT37" s="133">
        <v>23709.13979421244</v>
      </c>
      <c r="AU37" s="139">
        <v>500</v>
      </c>
      <c r="AV37" s="135">
        <f t="shared" si="5"/>
        <v>15956.53297943848</v>
      </c>
      <c r="AW37" s="119"/>
      <c r="AX37" s="119"/>
      <c r="AY37" s="119"/>
      <c r="AZ37" s="133">
        <v>500</v>
      </c>
      <c r="BA37" s="133">
        <v>11197.635338929009</v>
      </c>
      <c r="BB37" s="133">
        <v>12814.153496147946</v>
      </c>
      <c r="BC37" s="133">
        <v>18423.846538322334</v>
      </c>
      <c r="BD37" s="133">
        <v>21636.64879957257</v>
      </c>
      <c r="BE37" s="139">
        <v>500</v>
      </c>
      <c r="BF37" s="135">
        <f t="shared" si="6"/>
        <v>14334.397890418986</v>
      </c>
      <c r="BJ37">
        <v>500</v>
      </c>
      <c r="BK37" s="194">
        <v>7450.512745385292</v>
      </c>
      <c r="BL37" s="194">
        <v>8573.132141810724</v>
      </c>
      <c r="BM37" s="194">
        <v>12805.391151479638</v>
      </c>
      <c r="BN37" s="194">
        <v>15274.91942572517</v>
      </c>
      <c r="BO37" s="139">
        <v>500</v>
      </c>
      <c r="BP37" s="135">
        <f t="shared" si="7"/>
        <v>9741.762379138589</v>
      </c>
    </row>
    <row r="38" spans="1:68" ht="16.5" thickBot="1">
      <c r="A38" s="138" t="s">
        <v>220</v>
      </c>
      <c r="B38" s="127">
        <f t="shared" si="15"/>
        <v>47.73383999999999</v>
      </c>
      <c r="C38" s="127">
        <f t="shared" si="16"/>
        <v>81.00287999999998</v>
      </c>
      <c r="D38" s="127">
        <f>VLOOKUP($A38,$A$5:$K$27,8,FALSE)</f>
        <v>121.50431999999996</v>
      </c>
      <c r="F38"/>
      <c r="G38"/>
      <c r="H38"/>
      <c r="I38"/>
      <c r="J38"/>
      <c r="K38"/>
      <c r="L38"/>
      <c r="M38"/>
      <c r="S38" s="141" t="str">
        <f t="shared" si="17"/>
        <v>VAULT R25</v>
      </c>
      <c r="T38" s="127">
        <f t="shared" si="18"/>
        <v>233.60184</v>
      </c>
      <c r="U38" s="121">
        <f t="shared" si="19"/>
        <v>56.592000000000006</v>
      </c>
      <c r="V38" s="121">
        <f>SUM(U$35:U38)</f>
        <v>239.5008</v>
      </c>
      <c r="W38" s="116">
        <f ca="1" t="shared" si="20"/>
        <v>4484.0388897812845</v>
      </c>
      <c r="X38" s="116">
        <f t="shared" si="21"/>
        <v>163.36380276107775</v>
      </c>
      <c r="Y38" s="141" t="str">
        <f t="shared" si="22"/>
        <v>VAULT R25</v>
      </c>
      <c r="Z38" s="127">
        <f t="shared" si="23"/>
        <v>348.61088</v>
      </c>
      <c r="AA38" s="121">
        <f t="shared" si="24"/>
        <v>71.28</v>
      </c>
      <c r="AB38" s="121">
        <f>SUM(AA$35:AA38)</f>
        <v>406.42560000000003</v>
      </c>
      <c r="AC38" s="116">
        <f ca="1" t="shared" si="25"/>
        <v>7927.204459075209</v>
      </c>
      <c r="AD38" s="116">
        <f t="shared" si="26"/>
        <v>214.73412961506529</v>
      </c>
      <c r="AE38" s="141" t="str">
        <f t="shared" si="27"/>
        <v>VAULT R30</v>
      </c>
      <c r="AF38" s="127">
        <f t="shared" si="28"/>
        <v>522.8903199999999</v>
      </c>
      <c r="AG38" s="121">
        <f t="shared" si="29"/>
        <v>134.6112</v>
      </c>
      <c r="AH38" s="121">
        <f>SUM(AG$35:AG38)</f>
        <v>584.5824</v>
      </c>
      <c r="AI38" s="116">
        <f ca="1" t="shared" si="30"/>
        <v>10518.812212059725</v>
      </c>
      <c r="AJ38" s="116">
        <f t="shared" si="31"/>
        <v>266.2364315032719</v>
      </c>
      <c r="AP38" s="133">
        <v>490</v>
      </c>
      <c r="AQ38" s="133">
        <v>12184.519398148948</v>
      </c>
      <c r="AR38" s="133">
        <v>13978.00796263422</v>
      </c>
      <c r="AS38" s="133">
        <v>19691.215249650988</v>
      </c>
      <c r="AT38" s="133">
        <v>23082.78037262371</v>
      </c>
      <c r="AU38" s="139">
        <v>490</v>
      </c>
      <c r="AV38" s="135">
        <f t="shared" si="5"/>
        <v>15502.850691990832</v>
      </c>
      <c r="AW38" s="119"/>
      <c r="AX38" s="119"/>
      <c r="AY38" s="119"/>
      <c r="AZ38" s="133">
        <v>490</v>
      </c>
      <c r="BA38" s="133">
        <v>10842.143361886214</v>
      </c>
      <c r="BB38" s="133">
        <v>12407.576567105014</v>
      </c>
      <c r="BC38" s="133">
        <v>17898.174798779753</v>
      </c>
      <c r="BD38" s="133">
        <v>21029.213560607368</v>
      </c>
      <c r="BE38" s="139">
        <v>490</v>
      </c>
      <c r="BF38" s="135">
        <f t="shared" si="6"/>
        <v>13898.22133365506</v>
      </c>
      <c r="BJ38">
        <v>490</v>
      </c>
      <c r="BK38" s="194">
        <v>7180.164078523294</v>
      </c>
      <c r="BL38" s="194">
        <v>8262.760035159683</v>
      </c>
      <c r="BM38" s="194">
        <v>12390.360386756522</v>
      </c>
      <c r="BN38" s="194">
        <v>14794.93114561969</v>
      </c>
      <c r="BO38" s="139">
        <v>490</v>
      </c>
      <c r="BP38" s="135">
        <f t="shared" si="7"/>
        <v>9404.749487254616</v>
      </c>
    </row>
    <row r="39" spans="1:68" ht="16.5" thickBot="1">
      <c r="A39" s="122" t="s">
        <v>228</v>
      </c>
      <c r="B39" s="116">
        <f>SUM(B32:B38)</f>
        <v>352.21593737827715</v>
      </c>
      <c r="C39" s="116">
        <f>SUM(C32:C38)</f>
        <v>524.7673893632958</v>
      </c>
      <c r="D39" s="116">
        <f>SUM(D32:D38)</f>
        <v>787.3080128838952</v>
      </c>
      <c r="E39" s="256">
        <f>SUMPRODUCT($C$2:$E$2,B39:D39)</f>
        <v>549.3702061063669</v>
      </c>
      <c r="F39"/>
      <c r="G39"/>
      <c r="H39"/>
      <c r="I39"/>
      <c r="J39"/>
      <c r="K39"/>
      <c r="L39"/>
      <c r="M39"/>
      <c r="S39" s="141" t="str">
        <f t="shared" si="17"/>
        <v>ATTIC R30 </v>
      </c>
      <c r="T39" s="127">
        <f t="shared" si="18"/>
        <v>231.60184</v>
      </c>
      <c r="U39" s="121">
        <f t="shared" si="19"/>
        <v>34.56</v>
      </c>
      <c r="V39" s="121">
        <f>SUM(U$35:U39)</f>
        <v>274.0608</v>
      </c>
      <c r="W39" s="116">
        <f ca="1" t="shared" si="20"/>
        <v>4406.098144189169</v>
      </c>
      <c r="X39" s="116">
        <f t="shared" si="21"/>
        <v>77.94074559211549</v>
      </c>
      <c r="Y39" s="141" t="str">
        <f t="shared" si="22"/>
        <v>ATTIC R30 </v>
      </c>
      <c r="Z39" s="127">
        <f t="shared" si="23"/>
        <v>344.07088</v>
      </c>
      <c r="AA39" s="121">
        <f t="shared" si="24"/>
        <v>78.4512</v>
      </c>
      <c r="AB39" s="121">
        <f>SUM(AA$35:AA39)</f>
        <v>484.8768</v>
      </c>
      <c r="AC39" s="116">
        <f ca="1" t="shared" si="25"/>
        <v>7743.596627427988</v>
      </c>
      <c r="AD39" s="116">
        <f t="shared" si="26"/>
        <v>183.60783164722125</v>
      </c>
      <c r="AE39" s="141" t="str">
        <f t="shared" si="27"/>
        <v>WINDOW CL40</v>
      </c>
      <c r="AF39" s="127">
        <f t="shared" si="28"/>
        <v>490.41431999999986</v>
      </c>
      <c r="AG39" s="121">
        <f t="shared" si="29"/>
        <v>674.23</v>
      </c>
      <c r="AH39" s="121">
        <f>SUM(AG$35:AG39)</f>
        <v>1258.8124</v>
      </c>
      <c r="AI39" s="116">
        <f ca="1" t="shared" si="30"/>
        <v>9418.71260539109</v>
      </c>
      <c r="AJ39" s="116">
        <f t="shared" si="31"/>
        <v>1100.0996066686348</v>
      </c>
      <c r="AP39" s="133">
        <v>480</v>
      </c>
      <c r="AQ39" s="133">
        <v>11817.066234639184</v>
      </c>
      <c r="AR39" s="133">
        <v>13552.300029299739</v>
      </c>
      <c r="AS39" s="133">
        <v>19150.411058065187</v>
      </c>
      <c r="AT39" s="133">
        <v>22457.110356595025</v>
      </c>
      <c r="AU39" s="139">
        <v>480</v>
      </c>
      <c r="AV39" s="135">
        <f aca="true" t="shared" si="32" ref="AV39:AV70">SUMPRODUCT(AQ$5:AT$5,AQ39:AT39)</f>
        <v>15050.021543923756</v>
      </c>
      <c r="AW39" s="119"/>
      <c r="AX39" s="119"/>
      <c r="AY39" s="119"/>
      <c r="AZ39" s="133">
        <v>480</v>
      </c>
      <c r="BA39" s="133">
        <v>10489.512417917651</v>
      </c>
      <c r="BB39" s="133">
        <v>12002.481860016203</v>
      </c>
      <c r="BC39" s="133">
        <v>17374.1231623033</v>
      </c>
      <c r="BD39" s="133">
        <v>20423.019251650265</v>
      </c>
      <c r="BE39" s="139">
        <v>480</v>
      </c>
      <c r="BF39" s="135">
        <f aca="true" t="shared" si="33" ref="BF39:BF70">SUMPRODUCT(BA$5:BD$5,BA39:BD39)</f>
        <v>13463.82516674997</v>
      </c>
      <c r="BJ39">
        <v>480</v>
      </c>
      <c r="BK39" s="194">
        <v>6910.1377087606215</v>
      </c>
      <c r="BL39" s="194">
        <v>7953.4720187518315</v>
      </c>
      <c r="BM39" s="194">
        <v>11976.032815704659</v>
      </c>
      <c r="BN39" s="194">
        <v>14318.165836507473</v>
      </c>
      <c r="BO39" s="139">
        <v>480</v>
      </c>
      <c r="BP39" s="135">
        <f t="shared" si="7"/>
        <v>9068.68004687958</v>
      </c>
    </row>
    <row r="40" spans="1:68" ht="16.5" thickBot="1">
      <c r="A40" s="122" t="s">
        <v>229</v>
      </c>
      <c r="B40" s="116">
        <f ca="1">IF(ISNA(INDEX($AU$7:$AV$76,MATCH(B39,$AU$7:$AU$76,0),1)),TREND(OFFSET(INDEX($AU$7:$AV$76,MATCH(B39,$AU$7:$AU$76,-1),2),0,0,2,1),OFFSET(INDEX($AU$7:$AV$76,MATCH(B39,$AU$7:$AU$76,-1),1),0,0,2,1),B39),INDEX($AU$7:$AV$76,MATCH(B39,$AU$7:$AU$76,0),2))</f>
        <v>9386.96306173601</v>
      </c>
      <c r="C40" s="116">
        <f ca="1">IF(ISNA(INDEX($BE$7:$BF$76,MATCH(C39,$BE$7:$BE$76,0),1)),TREND(OFFSET(INDEX($BE$7:$BF$76,MATCH(C39,$BE$7:$BE$76,-1),2),0,0,2,1),OFFSET(INDEX($BE$7:$BF$76,MATCH(C39,$BE$7:$BE$76,-1),1),0,0,2,1),C39),INDEX($BE$7:$BF$76,MATCH(C39,$BE$7:$BE$76,0),2))</f>
        <v>15420.717072072694</v>
      </c>
      <c r="D40" s="116">
        <f ca="1">IF(ISNA(INDEX($BO$7:$BP$76,MATCH(D39,$BO$7:$BO$76,0),1)),TREND(OFFSET(INDEX($BO$7:$BP$76,MATCH(D39,$BO$7:$BO$76,-1),2),0,0,2,1),OFFSET(INDEX($BO$7:$BP$76,MATCH(D39,$BO$7:$BO$76,-1),1),0,0,2,1),D39),INDEX($BO$7:$BP$76,MATCH(D39,$BO$7:$BO$76,0),2))</f>
        <v>20045.045206223895</v>
      </c>
      <c r="E40" s="256">
        <f>SUMPRODUCT($C$2:$E$2,B40:D40)</f>
        <v>15734.28628775737</v>
      </c>
      <c r="F40"/>
      <c r="G40"/>
      <c r="H40"/>
      <c r="I40"/>
      <c r="J40"/>
      <c r="K40"/>
      <c r="L40"/>
      <c r="M40"/>
      <c r="S40" s="141" t="str">
        <f t="shared" si="17"/>
        <v>VAULT R30</v>
      </c>
      <c r="T40" s="127">
        <f t="shared" si="18"/>
        <v>228.98184</v>
      </c>
      <c r="U40" s="121">
        <f t="shared" si="19"/>
        <v>45.2736</v>
      </c>
      <c r="V40" s="121">
        <f>SUM(U$35:U40)</f>
        <v>319.33439999999996</v>
      </c>
      <c r="W40" s="116">
        <f ca="1" t="shared" si="20"/>
        <v>4304.636800620461</v>
      </c>
      <c r="X40" s="116">
        <f t="shared" si="21"/>
        <v>101.46134356870789</v>
      </c>
      <c r="Y40" s="141" t="str">
        <f t="shared" si="22"/>
        <v>VAULT R30</v>
      </c>
      <c r="Z40" s="127">
        <f t="shared" si="23"/>
        <v>340.77088</v>
      </c>
      <c r="AA40" s="121">
        <f t="shared" si="24"/>
        <v>57.024</v>
      </c>
      <c r="AB40" s="121">
        <f>SUM(AA$35:AA40)</f>
        <v>541.9008</v>
      </c>
      <c r="AC40" s="116">
        <f ca="1" t="shared" si="25"/>
        <v>7610.137190327584</v>
      </c>
      <c r="AD40" s="116">
        <f t="shared" si="26"/>
        <v>133.4594371004041</v>
      </c>
      <c r="AE40" s="141" t="str">
        <f t="shared" si="27"/>
        <v>WINDOW CL35</v>
      </c>
      <c r="AF40" s="127">
        <f t="shared" si="28"/>
        <v>473.4703199999999</v>
      </c>
      <c r="AG40" s="121">
        <f t="shared" si="29"/>
        <v>353</v>
      </c>
      <c r="AH40" s="121">
        <f>SUM(AG$35:AG40)</f>
        <v>1611.8124</v>
      </c>
      <c r="AI40" s="116">
        <f ca="1" t="shared" si="30"/>
        <v>8850.543201218876</v>
      </c>
      <c r="AJ40" s="116">
        <f t="shared" si="31"/>
        <v>568.1694041722149</v>
      </c>
      <c r="AP40" s="133">
        <v>470</v>
      </c>
      <c r="AQ40" s="133">
        <v>11450.509298357492</v>
      </c>
      <c r="AR40" s="133">
        <v>13128.970545147447</v>
      </c>
      <c r="AS40" s="133">
        <v>18610.46862342945</v>
      </c>
      <c r="AT40" s="133">
        <v>21831.750573068373</v>
      </c>
      <c r="AU40" s="139">
        <v>470</v>
      </c>
      <c r="AV40" s="135">
        <f t="shared" si="32"/>
        <v>14598.791816756004</v>
      </c>
      <c r="AW40" s="119"/>
      <c r="AX40" s="119"/>
      <c r="AY40" s="119"/>
      <c r="AZ40" s="133">
        <v>470</v>
      </c>
      <c r="BA40" s="133">
        <v>10138.39816618121</v>
      </c>
      <c r="BB40" s="133">
        <v>11599.317488495544</v>
      </c>
      <c r="BC40" s="133">
        <v>16850.347288050878</v>
      </c>
      <c r="BD40" s="133">
        <v>19817.307526585206</v>
      </c>
      <c r="BE40" s="139">
        <v>470</v>
      </c>
      <c r="BF40" s="135">
        <f t="shared" si="33"/>
        <v>13030.790575825995</v>
      </c>
      <c r="BJ40">
        <v>470</v>
      </c>
      <c r="BK40" s="194">
        <v>6642.572516847348</v>
      </c>
      <c r="BL40" s="194">
        <v>7646.557280984472</v>
      </c>
      <c r="BM40" s="194">
        <v>11562.320539115148</v>
      </c>
      <c r="BN40" s="194">
        <v>13844.740697333724</v>
      </c>
      <c r="BO40" s="139">
        <v>470</v>
      </c>
      <c r="BP40" s="135">
        <f t="shared" si="7"/>
        <v>8734.610313507179</v>
      </c>
    </row>
    <row r="41" spans="1:68" ht="16.5" thickBot="1">
      <c r="A41" s="142" t="s">
        <v>230</v>
      </c>
      <c r="B41" s="143">
        <f>(B39-B38)/B31</f>
        <v>0.09983019586173021</v>
      </c>
      <c r="C41" s="143">
        <f>(C39-C38)/C31</f>
        <v>0.10094734061949405</v>
      </c>
      <c r="D41" s="143">
        <f>(D39-D38)/D31</f>
        <v>0.1028744890117267</v>
      </c>
      <c r="E41" s="257">
        <f>SUMPRODUCT($C$2:$E$2,B41:D41)</f>
        <v>0.10113391263625142</v>
      </c>
      <c r="F41"/>
      <c r="G41"/>
      <c r="H41"/>
      <c r="I41"/>
      <c r="J41"/>
      <c r="K41"/>
      <c r="L41"/>
      <c r="M41"/>
      <c r="S41" s="141" t="str">
        <f t="shared" si="17"/>
        <v>WINDOW CL40</v>
      </c>
      <c r="T41" s="127">
        <f t="shared" si="18"/>
        <v>218.30984</v>
      </c>
      <c r="U41" s="121">
        <f t="shared" si="19"/>
        <v>221.56</v>
      </c>
      <c r="V41" s="121">
        <f>SUM(U$35:U41)</f>
        <v>540.8943999999999</v>
      </c>
      <c r="W41" s="116">
        <f ca="1" t="shared" si="20"/>
        <v>3896.3810862549617</v>
      </c>
      <c r="X41" s="116">
        <f t="shared" si="21"/>
        <v>408.25571436549944</v>
      </c>
      <c r="Y41" s="141" t="str">
        <f t="shared" si="22"/>
        <v>WINDOW CL40</v>
      </c>
      <c r="Z41" s="127">
        <f t="shared" si="23"/>
        <v>322.73888</v>
      </c>
      <c r="AA41" s="121">
        <f t="shared" si="24"/>
        <v>374.36</v>
      </c>
      <c r="AB41" s="121">
        <f>SUM(AA$35:AA41)</f>
        <v>916.2608</v>
      </c>
      <c r="AC41" s="116">
        <f ca="1" t="shared" si="25"/>
        <v>6891.913496864948</v>
      </c>
      <c r="AD41" s="116">
        <f t="shared" si="26"/>
        <v>718.2236934626362</v>
      </c>
      <c r="AE41" s="141" t="str">
        <f t="shared" si="27"/>
        <v>WALL R21 ADV</v>
      </c>
      <c r="AF41" s="127">
        <f t="shared" si="28"/>
        <v>467.1163199999999</v>
      </c>
      <c r="AG41" s="121">
        <f t="shared" si="29"/>
        <v>157.2615</v>
      </c>
      <c r="AH41" s="121">
        <f>SUM(AG$35:AG41)</f>
        <v>1769.0739</v>
      </c>
      <c r="AI41" s="116">
        <f ca="1" t="shared" si="30"/>
        <v>8638.752244687963</v>
      </c>
      <c r="AJ41" s="116">
        <f t="shared" si="31"/>
        <v>211.7909565309128</v>
      </c>
      <c r="AP41" s="133">
        <v>460</v>
      </c>
      <c r="AQ41" s="133">
        <v>11084.641767635858</v>
      </c>
      <c r="AR41" s="133">
        <v>12707.709277675323</v>
      </c>
      <c r="AS41" s="133">
        <v>18071.939470191828</v>
      </c>
      <c r="AT41" s="133">
        <v>21206.735492321746</v>
      </c>
      <c r="AU41" s="139">
        <v>460</v>
      </c>
      <c r="AV41" s="135">
        <f t="shared" si="32"/>
        <v>14149.104634528878</v>
      </c>
      <c r="AW41" s="119"/>
      <c r="AX41" s="119"/>
      <c r="AY41" s="119"/>
      <c r="AZ41" s="133">
        <v>460</v>
      </c>
      <c r="BA41" s="133">
        <v>9787.456265834784</v>
      </c>
      <c r="BB41" s="133">
        <v>11196.704641422933</v>
      </c>
      <c r="BC41" s="133">
        <v>16329.191154926666</v>
      </c>
      <c r="BD41" s="133">
        <v>19214.250012926357</v>
      </c>
      <c r="BE41" s="139">
        <v>460</v>
      </c>
      <c r="BF41" s="135">
        <f t="shared" si="33"/>
        <v>12598.853863256409</v>
      </c>
      <c r="BJ41">
        <v>460</v>
      </c>
      <c r="BK41" s="194">
        <v>6375.153823615588</v>
      </c>
      <c r="BL41" s="194">
        <v>7341.664225021975</v>
      </c>
      <c r="BM41" s="194">
        <v>11150.805742748315</v>
      </c>
      <c r="BN41" s="194">
        <v>13372.604746557281</v>
      </c>
      <c r="BO41" s="139">
        <v>460</v>
      </c>
      <c r="BP41" s="135">
        <f t="shared" si="7"/>
        <v>8402.194550249049</v>
      </c>
    </row>
    <row r="42" spans="19:68" ht="16.5" thickBot="1">
      <c r="S42" s="141" t="str">
        <f t="shared" si="17"/>
        <v>WINDOW CL35</v>
      </c>
      <c r="T42" s="127">
        <f t="shared" si="18"/>
        <v>212.74184000000002</v>
      </c>
      <c r="U42" s="121">
        <f t="shared" si="19"/>
        <v>116</v>
      </c>
      <c r="V42" s="121">
        <f>SUM(U$35:U42)</f>
        <v>656.8943999999999</v>
      </c>
      <c r="W42" s="116">
        <f ca="1" t="shared" si="20"/>
        <v>3685.920647448349</v>
      </c>
      <c r="X42" s="116">
        <f t="shared" si="21"/>
        <v>210.46043880661273</v>
      </c>
      <c r="Y42" s="141" t="str">
        <f t="shared" si="22"/>
        <v>WINDOW CL35</v>
      </c>
      <c r="Z42" s="127">
        <f t="shared" si="23"/>
        <v>313.33088</v>
      </c>
      <c r="AA42" s="121">
        <f t="shared" si="24"/>
        <v>196</v>
      </c>
      <c r="AB42" s="121">
        <f>SUM(AA$35:AA42)</f>
        <v>1112.2608</v>
      </c>
      <c r="AC42" s="116">
        <f ca="1" t="shared" si="25"/>
        <v>6522.601500174064</v>
      </c>
      <c r="AD42" s="116">
        <f t="shared" si="26"/>
        <v>369.31199669088346</v>
      </c>
      <c r="AE42" s="141" t="str">
        <f t="shared" si="27"/>
        <v>ATTIC R38 </v>
      </c>
      <c r="AF42" s="127">
        <f t="shared" si="28"/>
        <v>461.65631999999994</v>
      </c>
      <c r="AG42" s="121">
        <f t="shared" si="29"/>
        <v>141.52320000000003</v>
      </c>
      <c r="AH42" s="121">
        <f>SUM(AG$35:AG42)</f>
        <v>1910.5971000000002</v>
      </c>
      <c r="AI42" s="116">
        <f ca="1" t="shared" si="30"/>
        <v>8457.253237949004</v>
      </c>
      <c r="AJ42" s="116">
        <f t="shared" si="31"/>
        <v>181.499006738959</v>
      </c>
      <c r="AP42" s="133">
        <v>450</v>
      </c>
      <c r="AQ42" s="133">
        <v>10719.084469416248</v>
      </c>
      <c r="AR42" s="133">
        <v>12287.344237431274</v>
      </c>
      <c r="AS42" s="133">
        <v>17534.409955016286</v>
      </c>
      <c r="AT42" s="133">
        <v>20583.030282139225</v>
      </c>
      <c r="AU42" s="139">
        <v>450</v>
      </c>
      <c r="AV42" s="135">
        <f t="shared" si="32"/>
        <v>13700.243015459919</v>
      </c>
      <c r="AW42" s="119"/>
      <c r="AX42" s="119"/>
      <c r="AY42" s="119"/>
      <c r="AZ42" s="133">
        <v>450</v>
      </c>
      <c r="BA42" s="133">
        <v>9438.513641612519</v>
      </c>
      <c r="BB42" s="133">
        <v>10798.366108822667</v>
      </c>
      <c r="BC42" s="133">
        <v>15808.931249030524</v>
      </c>
      <c r="BD42" s="133">
        <v>18613.5364781717</v>
      </c>
      <c r="BE42" s="139">
        <v>450</v>
      </c>
      <c r="BF42" s="135">
        <f t="shared" si="33"/>
        <v>12169.795418900054</v>
      </c>
      <c r="BJ42">
        <v>450</v>
      </c>
      <c r="BK42" s="194">
        <v>6108.76062115441</v>
      </c>
      <c r="BL42" s="194">
        <v>7038.411954292411</v>
      </c>
      <c r="BM42" s="194">
        <v>10740.697333723998</v>
      </c>
      <c r="BN42" s="194">
        <v>12902.314679167888</v>
      </c>
      <c r="BO42" s="139">
        <v>450</v>
      </c>
      <c r="BP42" s="135">
        <f t="shared" si="7"/>
        <v>8071.248168766481</v>
      </c>
    </row>
    <row r="43" spans="13:68" ht="16.5" thickBot="1">
      <c r="M43" s="145"/>
      <c r="N43" s="145"/>
      <c r="O43" s="145"/>
      <c r="P43" s="145"/>
      <c r="Q43" s="145"/>
      <c r="R43" s="145"/>
      <c r="S43" s="141" t="str">
        <f t="shared" si="17"/>
        <v>WALL R21 ADV</v>
      </c>
      <c r="T43" s="127">
        <f t="shared" si="18"/>
        <v>206.45384</v>
      </c>
      <c r="U43" s="121">
        <f t="shared" si="19"/>
        <v>155.62800000000001</v>
      </c>
      <c r="V43" s="121">
        <f>SUM(U$35:U43)</f>
        <v>812.5224</v>
      </c>
      <c r="W43" s="116">
        <f ca="1" t="shared" si="20"/>
        <v>3450.163397156196</v>
      </c>
      <c r="X43" s="116">
        <f t="shared" si="21"/>
        <v>235.757250292153</v>
      </c>
      <c r="Y43" s="141" t="str">
        <f t="shared" si="22"/>
        <v>WALL R21 ADV</v>
      </c>
      <c r="Z43" s="127">
        <f t="shared" si="23"/>
        <v>307.17488</v>
      </c>
      <c r="AA43" s="121">
        <f t="shared" si="24"/>
        <v>152.36100000000002</v>
      </c>
      <c r="AB43" s="121">
        <f>SUM(AA$35:AA43)</f>
        <v>1264.6218000000001</v>
      </c>
      <c r="AC43" s="116">
        <f ca="1" t="shared" si="25"/>
        <v>6282.46008751313</v>
      </c>
      <c r="AD43" s="116">
        <f t="shared" si="26"/>
        <v>240.1414126609343</v>
      </c>
      <c r="AE43" s="141" t="str">
        <f t="shared" si="27"/>
        <v>VAULT  R38 </v>
      </c>
      <c r="AF43" s="127">
        <f t="shared" si="28"/>
        <v>456.98231999999996</v>
      </c>
      <c r="AG43" s="121">
        <f t="shared" si="29"/>
        <v>201.91680000000002</v>
      </c>
      <c r="AH43" s="121">
        <f>SUM(AG$35:AG43)</f>
        <v>2112.5139000000004</v>
      </c>
      <c r="AI43" s="116">
        <f ca="1" t="shared" si="30"/>
        <v>8302.325522601865</v>
      </c>
      <c r="AJ43" s="116">
        <f t="shared" si="31"/>
        <v>154.92771534713938</v>
      </c>
      <c r="AP43" s="133">
        <v>440</v>
      </c>
      <c r="AQ43" s="133">
        <v>10355.112803984764</v>
      </c>
      <c r="AR43" s="133">
        <v>11867.048137743232</v>
      </c>
      <c r="AS43" s="133">
        <v>16999.01759707692</v>
      </c>
      <c r="AT43" s="133">
        <v>19960.255769462783</v>
      </c>
      <c r="AU43" s="139">
        <v>440</v>
      </c>
      <c r="AV43" s="135">
        <f t="shared" si="32"/>
        <v>13252.313817410937</v>
      </c>
      <c r="AW43" s="119"/>
      <c r="AX43" s="119"/>
      <c r="AY43" s="119"/>
      <c r="AZ43" s="133">
        <v>440</v>
      </c>
      <c r="BA43" s="133">
        <v>9091.191120456388</v>
      </c>
      <c r="BB43" s="133">
        <v>10404.439771806761</v>
      </c>
      <c r="BC43" s="133">
        <v>15289.705451474467</v>
      </c>
      <c r="BD43" s="133">
        <v>18013.719170645112</v>
      </c>
      <c r="BE43" s="139">
        <v>440</v>
      </c>
      <c r="BF43" s="135">
        <f t="shared" si="33"/>
        <v>11743.570431395532</v>
      </c>
      <c r="BJ43">
        <v>440</v>
      </c>
      <c r="BK43" s="194">
        <v>5845.238792850864</v>
      </c>
      <c r="BL43" s="194">
        <v>6739.701142689716</v>
      </c>
      <c r="BM43" s="194">
        <v>10331.819513624378</v>
      </c>
      <c r="BN43" s="194">
        <v>12434.749487254616</v>
      </c>
      <c r="BO43" s="139">
        <v>440</v>
      </c>
      <c r="BP43" s="135">
        <f t="shared" si="7"/>
        <v>7743.590682683856</v>
      </c>
    </row>
    <row r="44" spans="1:68" ht="16.5" thickBot="1">
      <c r="A44" s="122" t="s">
        <v>231</v>
      </c>
      <c r="B44" s="122">
        <v>924</v>
      </c>
      <c r="C44" s="122">
        <v>1568</v>
      </c>
      <c r="D44" s="116">
        <v>2352</v>
      </c>
      <c r="E44" s="256">
        <f>SUMPRODUCT($C$2:$E$2,B44:D44)</f>
        <v>1636.32</v>
      </c>
      <c r="F44" s="117"/>
      <c r="G44"/>
      <c r="H44"/>
      <c r="I44"/>
      <c r="J44"/>
      <c r="K44"/>
      <c r="L44"/>
      <c r="M44"/>
      <c r="N44"/>
      <c r="O44"/>
      <c r="P44"/>
      <c r="Q44"/>
      <c r="R44"/>
      <c r="S44" s="141" t="str">
        <f t="shared" si="17"/>
        <v>ATTIC R38 </v>
      </c>
      <c r="T44" s="127">
        <f t="shared" si="18"/>
        <v>204.45384</v>
      </c>
      <c r="U44" s="121">
        <f t="shared" si="19"/>
        <v>51.84</v>
      </c>
      <c r="V44" s="121">
        <f>SUM(U$35:U44)</f>
        <v>864.3624</v>
      </c>
      <c r="W44" s="116">
        <f ca="1" t="shared" si="20"/>
        <v>3375.6486524947904</v>
      </c>
      <c r="X44" s="116">
        <f t="shared" si="21"/>
        <v>74.51474466140553</v>
      </c>
      <c r="Y44" s="141" t="str">
        <f t="shared" si="22"/>
        <v>ATTIC R38 </v>
      </c>
      <c r="Z44" s="127">
        <f t="shared" si="23"/>
        <v>302.63487999999995</v>
      </c>
      <c r="AA44" s="121">
        <f t="shared" si="24"/>
        <v>117.67680000000001</v>
      </c>
      <c r="AB44" s="121">
        <f>SUM(AA$35:AA44)</f>
        <v>1382.2986</v>
      </c>
      <c r="AC44" s="116">
        <f ca="1" t="shared" si="25"/>
        <v>6106.06902565624</v>
      </c>
      <c r="AD44" s="116">
        <f t="shared" si="26"/>
        <v>176.3910618568898</v>
      </c>
      <c r="AE44" s="141" t="str">
        <f t="shared" si="27"/>
        <v>ATTIC R49 </v>
      </c>
      <c r="AF44" s="127">
        <f t="shared" si="28"/>
        <v>452.61431999999996</v>
      </c>
      <c r="AG44" s="121">
        <f t="shared" si="29"/>
        <v>212.28480000000002</v>
      </c>
      <c r="AH44" s="121">
        <f>SUM(AG$35:AG44)</f>
        <v>2324.7987000000003</v>
      </c>
      <c r="AI44" s="116">
        <f ca="1" t="shared" si="30"/>
        <v>8157.768143170168</v>
      </c>
      <c r="AJ44" s="116">
        <f t="shared" si="31"/>
        <v>144.55737943169697</v>
      </c>
      <c r="AP44" s="133">
        <v>430</v>
      </c>
      <c r="AQ44" s="133">
        <v>9992.10630633736</v>
      </c>
      <c r="AR44" s="133">
        <v>11447.924027507283</v>
      </c>
      <c r="AS44" s="133">
        <v>16464.41805553162</v>
      </c>
      <c r="AT44" s="133">
        <v>19338.205132624396</v>
      </c>
      <c r="AU44" s="139">
        <v>430</v>
      </c>
      <c r="AV44" s="135">
        <f t="shared" si="32"/>
        <v>12805.398045535238</v>
      </c>
      <c r="AW44" s="119"/>
      <c r="AX44" s="119"/>
      <c r="AY44" s="119"/>
      <c r="AZ44" s="133">
        <v>430</v>
      </c>
      <c r="BA44" s="133">
        <v>8745.350821254375</v>
      </c>
      <c r="BB44" s="133">
        <v>10011.030488960894</v>
      </c>
      <c r="BC44" s="133">
        <v>14770.617535030422</v>
      </c>
      <c r="BD44" s="133">
        <v>17415.31514451664</v>
      </c>
      <c r="BE44" s="139">
        <v>430</v>
      </c>
      <c r="BF44" s="135">
        <f t="shared" si="33"/>
        <v>11318.005549714759</v>
      </c>
      <c r="BJ44">
        <v>430</v>
      </c>
      <c r="BK44" s="194">
        <v>5582.947553472019</v>
      </c>
      <c r="BL44" s="194">
        <v>6443.158511573396</v>
      </c>
      <c r="BM44" s="194">
        <v>9925.05127453853</v>
      </c>
      <c r="BN44" s="194">
        <v>11969.205977146206</v>
      </c>
      <c r="BO44" s="139">
        <v>430</v>
      </c>
      <c r="BP44" s="135">
        <f t="shared" si="7"/>
        <v>7417.891883973044</v>
      </c>
    </row>
    <row r="45" spans="1:68" ht="16.5" thickBot="1">
      <c r="A45" s="122" t="s">
        <v>223</v>
      </c>
      <c r="B45" s="122">
        <v>3050</v>
      </c>
      <c r="C45" s="122">
        <v>4396</v>
      </c>
      <c r="D45" s="122">
        <v>6472</v>
      </c>
      <c r="E45" s="256">
        <f>SUMPRODUCT($C$2:$E$2,B45:D45)</f>
        <v>4591.28</v>
      </c>
      <c r="F45" s="117"/>
      <c r="G45"/>
      <c r="H45"/>
      <c r="I45"/>
      <c r="J45"/>
      <c r="K45"/>
      <c r="L45"/>
      <c r="M45"/>
      <c r="N45"/>
      <c r="O45"/>
      <c r="P45"/>
      <c r="Q45"/>
      <c r="R45"/>
      <c r="S45" s="141" t="str">
        <f t="shared" si="17"/>
        <v>VAULT  R38 </v>
      </c>
      <c r="T45" s="127">
        <f t="shared" si="18"/>
        <v>202.88184</v>
      </c>
      <c r="U45" s="121">
        <f t="shared" si="19"/>
        <v>67.91040000000001</v>
      </c>
      <c r="V45" s="121">
        <f>SUM(U$35:U45)</f>
        <v>932.2728</v>
      </c>
      <c r="W45" s="116">
        <f ca="1" t="shared" si="20"/>
        <v>3317.080063190925</v>
      </c>
      <c r="X45" s="116">
        <f t="shared" si="21"/>
        <v>58.56858930386534</v>
      </c>
      <c r="Y45" s="141" t="str">
        <f t="shared" si="22"/>
        <v>VAULT  R38 </v>
      </c>
      <c r="Z45" s="127">
        <f t="shared" si="23"/>
        <v>300.65487999999993</v>
      </c>
      <c r="AA45" s="121">
        <f t="shared" si="24"/>
        <v>85.53600000000002</v>
      </c>
      <c r="AB45" s="121">
        <f>SUM(AA$35:AA45)</f>
        <v>1467.8346000000001</v>
      </c>
      <c r="AC45" s="116">
        <f ca="1" t="shared" si="25"/>
        <v>6029.140765198829</v>
      </c>
      <c r="AD45" s="116">
        <f t="shared" si="26"/>
        <v>76.92826045741094</v>
      </c>
      <c r="AE45" s="141" t="str">
        <f t="shared" si="27"/>
        <v>FLOOR R44</v>
      </c>
      <c r="AF45" s="127">
        <f t="shared" si="28"/>
        <v>447.91031999999996</v>
      </c>
      <c r="AG45" s="121">
        <f t="shared" si="29"/>
        <v>355.6224</v>
      </c>
      <c r="AH45" s="121">
        <f>SUM(AG$35:AG45)</f>
        <v>2680.4211000000005</v>
      </c>
      <c r="AI45" s="116">
        <f ca="1" t="shared" si="30"/>
        <v>8002.778239214674</v>
      </c>
      <c r="AJ45" s="116">
        <f t="shared" si="31"/>
        <v>154.9899039554939</v>
      </c>
      <c r="AP45" s="133">
        <v>420</v>
      </c>
      <c r="AQ45" s="133">
        <v>9630.47861981007</v>
      </c>
      <c r="AR45" s="133">
        <v>11030.557901449476</v>
      </c>
      <c r="AS45" s="133">
        <v>15930.645800658383</v>
      </c>
      <c r="AT45" s="133">
        <v>18716.602609400048</v>
      </c>
      <c r="AU45" s="139">
        <v>420</v>
      </c>
      <c r="AV45" s="135">
        <f t="shared" si="32"/>
        <v>12359.866255321349</v>
      </c>
      <c r="AW45" s="119"/>
      <c r="AX45" s="119"/>
      <c r="AY45" s="119"/>
      <c r="AZ45" s="133">
        <v>420</v>
      </c>
      <c r="BA45" s="133">
        <v>8401.165095396495</v>
      </c>
      <c r="BB45" s="133">
        <v>9617.828027783044</v>
      </c>
      <c r="BC45" s="133">
        <v>14252.494786370453</v>
      </c>
      <c r="BD45" s="133">
        <v>16819.7032109064</v>
      </c>
      <c r="BE45" s="139">
        <v>420</v>
      </c>
      <c r="BF45" s="135">
        <f t="shared" si="33"/>
        <v>10893.255890108754</v>
      </c>
      <c r="BJ45">
        <v>420</v>
      </c>
      <c r="BK45" s="194">
        <v>5321.886903017873</v>
      </c>
      <c r="BL45" s="194">
        <v>6149.077058306475</v>
      </c>
      <c r="BM45" s="194">
        <v>9521.330208028128</v>
      </c>
      <c r="BN45" s="194">
        <v>11505.772048051567</v>
      </c>
      <c r="BO45" s="139">
        <v>420</v>
      </c>
      <c r="BP45" s="135">
        <f t="shared" si="7"/>
        <v>7094.537064166422</v>
      </c>
    </row>
    <row r="46" spans="1:68" ht="16.5" thickBot="1">
      <c r="A46" s="126" t="s">
        <v>204</v>
      </c>
      <c r="B46" s="127">
        <f>VLOOKUP($A46,$A$5:$K$27,6,FALSE)</f>
        <v>85.936</v>
      </c>
      <c r="C46" s="127">
        <f>VLOOKUP($A46,$A$5:$K$27,7,FALSE)</f>
        <v>84.132</v>
      </c>
      <c r="D46" s="127">
        <f>VLOOKUP($A46,$A$5:$K$27,8,FALSE)</f>
        <v>86.83800000000001</v>
      </c>
      <c r="F46" s="117"/>
      <c r="G46"/>
      <c r="H46"/>
      <c r="I46"/>
      <c r="J46"/>
      <c r="K46"/>
      <c r="L46"/>
      <c r="M46"/>
      <c r="N46"/>
      <c r="O46"/>
      <c r="P46"/>
      <c r="Q46"/>
      <c r="R46"/>
      <c r="S46" s="141" t="str">
        <f t="shared" si="17"/>
        <v>ATTIC R49 </v>
      </c>
      <c r="T46" s="127">
        <f t="shared" si="18"/>
        <v>201.28184000000002</v>
      </c>
      <c r="U46" s="121">
        <f t="shared" si="19"/>
        <v>77.76</v>
      </c>
      <c r="V46" s="121">
        <f>SUM(U$35:U46)</f>
        <v>1010.0328</v>
      </c>
      <c r="W46" s="116">
        <f ca="1" t="shared" si="20"/>
        <v>3257.4682674618016</v>
      </c>
      <c r="X46" s="116">
        <f t="shared" si="21"/>
        <v>59.611795729123514</v>
      </c>
      <c r="Y46" s="141" t="str">
        <f t="shared" si="22"/>
        <v>ATTIC R49 </v>
      </c>
      <c r="Z46" s="127">
        <f t="shared" si="23"/>
        <v>297.02287999999993</v>
      </c>
      <c r="AA46" s="121">
        <f t="shared" si="24"/>
        <v>176.51520000000002</v>
      </c>
      <c r="AB46" s="121">
        <f>SUM(AA$35:AA46)</f>
        <v>1644.3498000000002</v>
      </c>
      <c r="AC46" s="116">
        <f ca="1" t="shared" si="25"/>
        <v>5888.940739773529</v>
      </c>
      <c r="AD46" s="116">
        <f t="shared" si="26"/>
        <v>140.20002542530074</v>
      </c>
      <c r="AE46" s="141"/>
      <c r="AF46" s="127"/>
      <c r="AG46" s="121"/>
      <c r="AH46" s="121"/>
      <c r="AI46" s="116"/>
      <c r="AJ46" s="116"/>
      <c r="AP46" s="133">
        <v>410</v>
      </c>
      <c r="AQ46" s="133">
        <v>9269.574809120837</v>
      </c>
      <c r="AR46" s="133">
        <v>10615.535754295859</v>
      </c>
      <c r="AS46" s="133">
        <v>15397.90765412523</v>
      </c>
      <c r="AT46" s="133">
        <v>18095.93078368177</v>
      </c>
      <c r="AU46" s="139">
        <v>410</v>
      </c>
      <c r="AV46" s="135">
        <f t="shared" si="32"/>
        <v>11915.956291687493</v>
      </c>
      <c r="AW46" s="119"/>
      <c r="AX46" s="119"/>
      <c r="AY46" s="119"/>
      <c r="AZ46" s="133">
        <v>410</v>
      </c>
      <c r="BA46" s="133">
        <v>8059.461229554818</v>
      </c>
      <c r="BB46" s="133">
        <v>9228.244945795488</v>
      </c>
      <c r="BC46" s="133">
        <v>13735.819789386602</v>
      </c>
      <c r="BD46" s="133">
        <v>16225.745850640287</v>
      </c>
      <c r="BE46" s="139">
        <v>410</v>
      </c>
      <c r="BF46" s="135">
        <f t="shared" si="33"/>
        <v>10471.256958687372</v>
      </c>
      <c r="BJ46">
        <v>410</v>
      </c>
      <c r="BK46" s="194">
        <v>5063.053032522708</v>
      </c>
      <c r="BL46" s="194">
        <v>5856.40199238207</v>
      </c>
      <c r="BM46" s="194">
        <v>9122.795194843247</v>
      </c>
      <c r="BN46" s="194">
        <v>11044.887196015236</v>
      </c>
      <c r="BO46" s="139">
        <v>410</v>
      </c>
      <c r="BP46" s="135">
        <f t="shared" si="7"/>
        <v>6773.754761207151</v>
      </c>
    </row>
    <row r="47" spans="1:68" ht="16.5" thickBot="1">
      <c r="A47" s="126" t="s">
        <v>212</v>
      </c>
      <c r="B47" s="127">
        <f aca="true" t="shared" si="34" ref="B47:B52">VLOOKUP($A47,$A$5:$K$27,6,FALSE)</f>
        <v>18</v>
      </c>
      <c r="C47" s="127">
        <f aca="true" t="shared" si="35" ref="C47:C52">VLOOKUP($A47,$A$5:$K$27,7,FALSE)</f>
        <v>40.86</v>
      </c>
      <c r="D47" s="127">
        <v>40</v>
      </c>
      <c r="F47" s="117"/>
      <c r="G47"/>
      <c r="H47"/>
      <c r="I47"/>
      <c r="J47"/>
      <c r="K47"/>
      <c r="L47"/>
      <c r="M47"/>
      <c r="N47"/>
      <c r="O47"/>
      <c r="P47"/>
      <c r="Q47"/>
      <c r="R47"/>
      <c r="S47" s="141" t="str">
        <f t="shared" si="17"/>
        <v>FLOOR R44</v>
      </c>
      <c r="T47" s="127">
        <f t="shared" si="18"/>
        <v>199.43384</v>
      </c>
      <c r="U47" s="121">
        <f t="shared" si="19"/>
        <v>139.7088</v>
      </c>
      <c r="V47" s="121">
        <f>SUM(U$35:U47)</f>
        <v>1149.7415999999998</v>
      </c>
      <c r="W47" s="116">
        <f ca="1" t="shared" si="20"/>
        <v>3188.892107395577</v>
      </c>
      <c r="X47" s="116">
        <f t="shared" si="21"/>
        <v>68.57616006622447</v>
      </c>
      <c r="Y47" s="141" t="str">
        <f t="shared" si="22"/>
        <v>FLOOR R44</v>
      </c>
      <c r="Z47" s="127">
        <f t="shared" si="23"/>
        <v>293.8868799999999</v>
      </c>
      <c r="AA47" s="121">
        <f t="shared" si="24"/>
        <v>237.0816</v>
      </c>
      <c r="AB47" s="121">
        <f>SUM(AA$35:AA47)</f>
        <v>1881.4314000000002</v>
      </c>
      <c r="AC47" s="116">
        <f ca="1" t="shared" si="25"/>
        <v>5768.060346812357</v>
      </c>
      <c r="AD47" s="116">
        <f t="shared" si="26"/>
        <v>120.88039296117131</v>
      </c>
      <c r="AE47"/>
      <c r="AF47"/>
      <c r="AG47"/>
      <c r="AH47"/>
      <c r="AI47"/>
      <c r="AJ47"/>
      <c r="AP47" s="133">
        <v>400</v>
      </c>
      <c r="AQ47" s="133">
        <v>8909.394874269661</v>
      </c>
      <c r="AR47" s="133">
        <v>10200.754899088262</v>
      </c>
      <c r="AS47" s="133">
        <v>14866.755140380206</v>
      </c>
      <c r="AT47" s="133">
        <v>17477.120352975646</v>
      </c>
      <c r="AU47" s="139">
        <v>400</v>
      </c>
      <c r="AV47" s="135">
        <f t="shared" si="32"/>
        <v>11472.801227141897</v>
      </c>
      <c r="AW47" s="119"/>
      <c r="AX47" s="119"/>
      <c r="AY47" s="119"/>
      <c r="AZ47" s="133">
        <v>400</v>
      </c>
      <c r="BA47" s="133">
        <v>7721.032040123404</v>
      </c>
      <c r="BB47" s="133">
        <v>8839.73044242602</v>
      </c>
      <c r="BC47" s="133">
        <v>13221.109598248911</v>
      </c>
      <c r="BD47" s="133">
        <v>15633.649885386327</v>
      </c>
      <c r="BE47" s="139">
        <v>400</v>
      </c>
      <c r="BF47" s="135">
        <f t="shared" si="33"/>
        <v>10051.031523069236</v>
      </c>
      <c r="BJ47">
        <v>400</v>
      </c>
      <c r="BK47" s="194">
        <v>4805.010254907706</v>
      </c>
      <c r="BL47" s="194">
        <v>5567.301494286552</v>
      </c>
      <c r="BM47" s="194">
        <v>8728.50864342221</v>
      </c>
      <c r="BN47" s="194">
        <v>10586.375622619398</v>
      </c>
      <c r="BO47" s="139">
        <v>400</v>
      </c>
      <c r="BP47" s="135">
        <f t="shared" si="7"/>
        <v>6456.09874011134</v>
      </c>
    </row>
    <row r="48" spans="1:68" ht="15.75" thickBot="1">
      <c r="A48" s="126" t="s">
        <v>213</v>
      </c>
      <c r="B48" s="127">
        <f t="shared" si="34"/>
        <v>24.104</v>
      </c>
      <c r="C48" s="127">
        <f t="shared" si="35"/>
        <v>30.36</v>
      </c>
      <c r="D48" s="127">
        <v>59</v>
      </c>
      <c r="F48" s="117"/>
      <c r="G48"/>
      <c r="H48"/>
      <c r="I48"/>
      <c r="J48"/>
      <c r="K48"/>
      <c r="L48"/>
      <c r="M48"/>
      <c r="N48"/>
      <c r="O48"/>
      <c r="P48"/>
      <c r="Q48"/>
      <c r="R48"/>
      <c r="S48"/>
      <c r="T48"/>
      <c r="U48"/>
      <c r="V48"/>
      <c r="W48"/>
      <c r="X48"/>
      <c r="Y48"/>
      <c r="Z48"/>
      <c r="AA48"/>
      <c r="AB48"/>
      <c r="AC48"/>
      <c r="AD48"/>
      <c r="AP48" s="133">
        <v>390</v>
      </c>
      <c r="AQ48" s="133">
        <v>8550.352458592579</v>
      </c>
      <c r="AR48" s="133">
        <v>9787.973320004829</v>
      </c>
      <c r="AS48" s="133">
        <v>14338.567070543426</v>
      </c>
      <c r="AT48" s="133">
        <v>16861.550128401785</v>
      </c>
      <c r="AU48" s="139">
        <v>390</v>
      </c>
      <c r="AV48" s="135">
        <f t="shared" si="32"/>
        <v>11031.776425776876</v>
      </c>
      <c r="AW48" s="119"/>
      <c r="AX48" s="119"/>
      <c r="AY48" s="119"/>
      <c r="AZ48" s="133">
        <v>390</v>
      </c>
      <c r="BA48" s="133">
        <v>7382.775202082005</v>
      </c>
      <c r="BB48" s="133">
        <v>8453.31862601472</v>
      </c>
      <c r="BC48" s="133">
        <v>12708.01951017735</v>
      </c>
      <c r="BD48" s="133">
        <v>15042.519087916444</v>
      </c>
      <c r="BE48" s="139">
        <v>390</v>
      </c>
      <c r="BF48" s="135">
        <f t="shared" si="33"/>
        <v>9632.34518536392</v>
      </c>
      <c r="BJ48">
        <v>390</v>
      </c>
      <c r="BK48" s="194">
        <v>4548.901259888661</v>
      </c>
      <c r="BL48" s="194">
        <v>5283.123351889833</v>
      </c>
      <c r="BM48" s="194">
        <v>8337.181365367713</v>
      </c>
      <c r="BN48" s="194">
        <v>10129.35833577498</v>
      </c>
      <c r="BO48" s="139">
        <v>390</v>
      </c>
      <c r="BP48" s="135">
        <f t="shared" si="7"/>
        <v>6142.105186053326</v>
      </c>
    </row>
    <row r="49" spans="1:68" ht="15.75" thickBot="1">
      <c r="A49" s="126" t="s">
        <v>214</v>
      </c>
      <c r="B49" s="127">
        <f t="shared" si="34"/>
        <v>69.3</v>
      </c>
      <c r="C49" s="127">
        <f t="shared" si="35"/>
        <v>117.6</v>
      </c>
      <c r="D49" s="127">
        <f>VLOOKUP($A49,$A$5:$K$27,8,FALSE)</f>
        <v>176.4</v>
      </c>
      <c r="F49" s="117"/>
      <c r="G49"/>
      <c r="H49"/>
      <c r="I49"/>
      <c r="J49"/>
      <c r="K49"/>
      <c r="L49"/>
      <c r="M49"/>
      <c r="N49"/>
      <c r="O49"/>
      <c r="P49"/>
      <c r="Q49"/>
      <c r="R49"/>
      <c r="S49"/>
      <c r="AP49" s="133">
        <v>380</v>
      </c>
      <c r="AQ49" s="133">
        <v>8192.72332431361</v>
      </c>
      <c r="AR49" s="133">
        <v>9378.25959566364</v>
      </c>
      <c r="AS49" s="133">
        <v>13811.895692938764</v>
      </c>
      <c r="AT49" s="133">
        <v>16247.531066338051</v>
      </c>
      <c r="AU49" s="139">
        <v>380</v>
      </c>
      <c r="AV49" s="135">
        <f t="shared" si="32"/>
        <v>10593.024939246136</v>
      </c>
      <c r="AW49" s="119"/>
      <c r="AX49" s="119"/>
      <c r="AY49" s="119"/>
      <c r="AZ49" s="133">
        <v>380</v>
      </c>
      <c r="BA49" s="133">
        <v>7045.759294048707</v>
      </c>
      <c r="BB49" s="133">
        <v>8068.561382947554</v>
      </c>
      <c r="BC49" s="133">
        <v>12197.514692956</v>
      </c>
      <c r="BD49" s="133">
        <v>14453.146274624707</v>
      </c>
      <c r="BE49" s="139">
        <v>380</v>
      </c>
      <c r="BF49" s="135">
        <f t="shared" si="33"/>
        <v>9215.468537253753</v>
      </c>
      <c r="BJ49">
        <v>380</v>
      </c>
      <c r="BK49" s="194">
        <v>4293.612657486083</v>
      </c>
      <c r="BL49" s="194">
        <v>5001.201289188397</v>
      </c>
      <c r="BM49" s="194">
        <v>7950.278347494873</v>
      </c>
      <c r="BN49" s="194">
        <v>9673.835335481983</v>
      </c>
      <c r="BO49" s="139">
        <v>380</v>
      </c>
      <c r="BP49" s="135">
        <f t="shared" si="7"/>
        <v>5830.5845297392325</v>
      </c>
    </row>
    <row r="50" spans="1:68" ht="15.75" thickBot="1">
      <c r="A50" s="126" t="s">
        <v>216</v>
      </c>
      <c r="B50" s="127">
        <f t="shared" si="34"/>
        <v>92.32209737827715</v>
      </c>
      <c r="C50" s="127">
        <f t="shared" si="35"/>
        <v>155.99250936329588</v>
      </c>
      <c r="D50" s="127">
        <f>VLOOKUP($A50,$A$5:$K$27,8,FALSE)</f>
        <v>280.9456928838951</v>
      </c>
      <c r="F50" s="117"/>
      <c r="G50"/>
      <c r="H50"/>
      <c r="I50"/>
      <c r="J50"/>
      <c r="K50"/>
      <c r="L50"/>
      <c r="M50"/>
      <c r="N50"/>
      <c r="O50"/>
      <c r="P50"/>
      <c r="Q50"/>
      <c r="R50"/>
      <c r="S50"/>
      <c r="AP50" s="133">
        <v>370</v>
      </c>
      <c r="AQ50" s="133">
        <v>7838.299925888902</v>
      </c>
      <c r="AR50" s="133">
        <v>8971.09667189466</v>
      </c>
      <c r="AS50" s="133">
        <v>13285.879250616157</v>
      </c>
      <c r="AT50" s="133">
        <v>15634.683993726412</v>
      </c>
      <c r="AU50" s="139">
        <v>370</v>
      </c>
      <c r="AV50" s="135">
        <f t="shared" si="32"/>
        <v>10156.412333465469</v>
      </c>
      <c r="AW50" s="119"/>
      <c r="AX50" s="119"/>
      <c r="AY50" s="119"/>
      <c r="AZ50" s="133">
        <v>370</v>
      </c>
      <c r="BA50" s="133">
        <v>6709.9153754675035</v>
      </c>
      <c r="BB50" s="133">
        <v>7686.52729184261</v>
      </c>
      <c r="BC50" s="133">
        <v>11690.284552144913</v>
      </c>
      <c r="BD50" s="133">
        <v>13866.496613295189</v>
      </c>
      <c r="BE50" s="139">
        <v>370</v>
      </c>
      <c r="BF50" s="135">
        <f t="shared" si="33"/>
        <v>8801.142689715794</v>
      </c>
      <c r="BJ50">
        <v>370</v>
      </c>
      <c r="BK50" s="194">
        <v>4040.8438324055087</v>
      </c>
      <c r="BL50" s="194">
        <v>4723.32259009669</v>
      </c>
      <c r="BM50" s="194">
        <v>7565.484910635805</v>
      </c>
      <c r="BN50" s="194">
        <v>9222.09200117199</v>
      </c>
      <c r="BO50" s="139">
        <v>370</v>
      </c>
      <c r="BP50" s="135">
        <f t="shared" si="7"/>
        <v>5522.305889246997</v>
      </c>
    </row>
    <row r="51" spans="1:68" ht="15.75" thickBot="1">
      <c r="A51" s="137" t="s">
        <v>219</v>
      </c>
      <c r="B51" s="127">
        <f t="shared" si="34"/>
        <v>14.82</v>
      </c>
      <c r="C51" s="127">
        <f t="shared" si="35"/>
        <v>14.82</v>
      </c>
      <c r="D51" s="127">
        <f>VLOOKUP($A51,$A$5:$K$27,8,FALSE)</f>
        <v>22.62</v>
      </c>
      <c r="F51" s="117"/>
      <c r="G51"/>
      <c r="H51"/>
      <c r="I51"/>
      <c r="J51"/>
      <c r="K51"/>
      <c r="L51"/>
      <c r="M51"/>
      <c r="N51"/>
      <c r="O51"/>
      <c r="P51"/>
      <c r="Q51"/>
      <c r="R51"/>
      <c r="S51"/>
      <c r="AP51" s="133">
        <v>360</v>
      </c>
      <c r="AQ51" s="133">
        <v>7486.117095534376</v>
      </c>
      <c r="AR51" s="133">
        <v>8567.622067871976</v>
      </c>
      <c r="AS51" s="133">
        <v>12760.96585718964</v>
      </c>
      <c r="AT51" s="133">
        <v>15023.457024180903</v>
      </c>
      <c r="AU51" s="139">
        <v>360</v>
      </c>
      <c r="AV51" s="135">
        <f t="shared" si="32"/>
        <v>9722.448768549319</v>
      </c>
      <c r="AW51" s="119"/>
      <c r="AX51" s="119"/>
      <c r="AY51" s="119"/>
      <c r="AZ51" s="133">
        <v>360</v>
      </c>
      <c r="BA51" s="133">
        <v>6376.863549404526</v>
      </c>
      <c r="BB51" s="133">
        <v>7309.181158546045</v>
      </c>
      <c r="BC51" s="133">
        <v>11186.949552748143</v>
      </c>
      <c r="BD51" s="133">
        <v>13283.742093379986</v>
      </c>
      <c r="BE51" s="139">
        <v>360</v>
      </c>
      <c r="BF51" s="135">
        <f t="shared" si="33"/>
        <v>8390.887782009962</v>
      </c>
      <c r="BJ51">
        <v>360</v>
      </c>
      <c r="BK51" s="194">
        <v>3792.6457661881045</v>
      </c>
      <c r="BL51" s="194">
        <v>4448.198066217405</v>
      </c>
      <c r="BM51" s="194">
        <v>7182.742455317903</v>
      </c>
      <c r="BN51" s="194">
        <v>8776.120714913566</v>
      </c>
      <c r="BO51" s="139">
        <v>360</v>
      </c>
      <c r="BP51" s="135">
        <f t="shared" si="7"/>
        <v>5217.119835921477</v>
      </c>
    </row>
    <row r="52" spans="1:68" ht="15.75" thickBot="1">
      <c r="A52" s="138" t="s">
        <v>220</v>
      </c>
      <c r="B52" s="127">
        <f t="shared" si="34"/>
        <v>47.73383999999999</v>
      </c>
      <c r="C52" s="127">
        <f t="shared" si="35"/>
        <v>81.00287999999998</v>
      </c>
      <c r="D52" s="127">
        <f>VLOOKUP($A52,$A$5:$K$27,8,FALSE)</f>
        <v>121.50431999999996</v>
      </c>
      <c r="F52" s="117"/>
      <c r="G52"/>
      <c r="H52"/>
      <c r="I52"/>
      <c r="J52"/>
      <c r="K52"/>
      <c r="L52"/>
      <c r="M52"/>
      <c r="N52"/>
      <c r="O52"/>
      <c r="P52"/>
      <c r="Q52"/>
      <c r="R52"/>
      <c r="S52"/>
      <c r="W52" s="127">
        <f>W47</f>
        <v>3188.892107395577</v>
      </c>
      <c r="X52" s="127">
        <f>AC47</f>
        <v>5768.060346812357</v>
      </c>
      <c r="Y52" s="127">
        <f>AI45</f>
        <v>8002.778239214674</v>
      </c>
      <c r="AP52" s="133">
        <v>350</v>
      </c>
      <c r="AQ52" s="133">
        <v>7136.519536030059</v>
      </c>
      <c r="AR52" s="133">
        <v>8167.5944916495755</v>
      </c>
      <c r="AS52" s="133">
        <v>12238.430912945316</v>
      </c>
      <c r="AT52" s="133">
        <v>14414.987676875615</v>
      </c>
      <c r="AU52" s="139">
        <v>350</v>
      </c>
      <c r="AV52" s="135">
        <f t="shared" si="32"/>
        <v>9291.458265110909</v>
      </c>
      <c r="AW52" s="119"/>
      <c r="AX52" s="119"/>
      <c r="AY52" s="119"/>
      <c r="AZ52" s="133">
        <v>350</v>
      </c>
      <c r="BA52" s="133">
        <v>6045.742058909706</v>
      </c>
      <c r="BB52" s="133">
        <v>6934.971820547733</v>
      </c>
      <c r="BC52" s="133">
        <v>10686.199824201583</v>
      </c>
      <c r="BD52" s="133">
        <v>12703.986487651026</v>
      </c>
      <c r="BE52" s="139">
        <v>350</v>
      </c>
      <c r="BF52" s="135">
        <f t="shared" si="33"/>
        <v>7983.383602488755</v>
      </c>
      <c r="BJ52">
        <v>350</v>
      </c>
      <c r="BK52" s="194">
        <v>3549.1649575153824</v>
      </c>
      <c r="BL52" s="194">
        <v>4176.677409903311</v>
      </c>
      <c r="BM52" s="194">
        <v>6803.926164664518</v>
      </c>
      <c r="BN52" s="194">
        <v>8334.075593319661</v>
      </c>
      <c r="BO52" s="139">
        <v>350</v>
      </c>
      <c r="BP52" s="135">
        <f t="shared" si="7"/>
        <v>4915.857017286845</v>
      </c>
    </row>
    <row r="53" spans="1:68" ht="16.5" thickBot="1">
      <c r="A53" s="122" t="s">
        <v>228</v>
      </c>
      <c r="B53" s="116">
        <f>SUM(B46:B52)</f>
        <v>352.21593737827715</v>
      </c>
      <c r="C53" s="116">
        <f>SUM(C46:C52)</f>
        <v>524.7673893632958</v>
      </c>
      <c r="D53" s="116">
        <f>SUM(D46:D52)</f>
        <v>787.3080128838952</v>
      </c>
      <c r="E53" s="256">
        <f>SUMPRODUCT($C$2:$E$2,B53:D53)</f>
        <v>549.3702061063669</v>
      </c>
      <c r="F53" s="117"/>
      <c r="G53"/>
      <c r="H53"/>
      <c r="I53"/>
      <c r="J53"/>
      <c r="K53"/>
      <c r="L53"/>
      <c r="M53"/>
      <c r="N53"/>
      <c r="O53"/>
      <c r="P53"/>
      <c r="Q53"/>
      <c r="R53"/>
      <c r="S53"/>
      <c r="Z53"/>
      <c r="AP53" s="133">
        <v>340</v>
      </c>
      <c r="AQ53" s="133">
        <v>6789.300425707933</v>
      </c>
      <c r="AR53" s="133">
        <v>7769.669602385345</v>
      </c>
      <c r="AS53" s="133">
        <v>11717.550542045123</v>
      </c>
      <c r="AT53" s="133">
        <v>13808.13843263646</v>
      </c>
      <c r="AU53" s="139">
        <v>340</v>
      </c>
      <c r="AV53" s="135">
        <f t="shared" si="32"/>
        <v>8862.489443477363</v>
      </c>
      <c r="AW53" s="119"/>
      <c r="AX53" s="119"/>
      <c r="AY53" s="119"/>
      <c r="AZ53" s="133">
        <v>340</v>
      </c>
      <c r="BA53" s="133">
        <v>5716.895606763069</v>
      </c>
      <c r="BB53" s="133">
        <v>6563.623515623655</v>
      </c>
      <c r="BC53" s="133">
        <v>10189.276296513332</v>
      </c>
      <c r="BD53" s="133">
        <v>12129.02225056445</v>
      </c>
      <c r="BE53" s="139">
        <v>340</v>
      </c>
      <c r="BF53" s="135">
        <f t="shared" si="33"/>
        <v>7578.961065820997</v>
      </c>
      <c r="BJ53">
        <v>340</v>
      </c>
      <c r="BK53" s="194">
        <v>3314.0638734251393</v>
      </c>
      <c r="BL53" s="194">
        <v>3908.5262232639907</v>
      </c>
      <c r="BM53" s="194">
        <v>6432.141810723704</v>
      </c>
      <c r="BN53" s="194">
        <v>7894.843246410783</v>
      </c>
      <c r="BO53" s="139">
        <v>340</v>
      </c>
      <c r="BP53" s="135">
        <f t="shared" si="7"/>
        <v>4619.853501318488</v>
      </c>
    </row>
    <row r="54" spans="1:68" ht="16.5" thickBot="1">
      <c r="A54" s="122" t="s">
        <v>229</v>
      </c>
      <c r="B54" s="116">
        <f ca="1">IF(ISNA(INDEX($AU$7:$AV$76,MATCH(B53,$AU$7:$AU$76,0),1)),TREND(OFFSET(INDEX($AU$7:$AV$76,MATCH(B53,$AU$7:$AU$76,-1),2),0,0,2,1),OFFSET(INDEX($AU$7:$AV$76,MATCH(B53,$AU$7:$AU$76,-1),1),0,0,2,1),B53),INDEX($AU$7:$AV$76,MATCH(B53,$AU$7:$AU$76,0),2))</f>
        <v>9386.96306173601</v>
      </c>
      <c r="C54" s="116">
        <f ca="1">IF(ISNA(INDEX($BE$7:$BF$76,MATCH(C53,$BE$7:$BE$76,0),1)),TREND(OFFSET(INDEX($BE$7:$BF$76,MATCH(C53,$BE$7:$BE$76,-1),2),0,0,2,1),OFFSET(INDEX($BE$7:$BF$76,MATCH(C53,$BE$7:$BE$76,-1),1),0,0,2,1),C53),INDEX($BE$7:$BF$76,MATCH(C53,$BE$7:$BE$76,0),2))</f>
        <v>15420.717072072694</v>
      </c>
      <c r="D54" s="116">
        <f ca="1">IF(ISNA(INDEX($BO$7:$BP$76,MATCH(D53,$BO$7:$BO$76,0),1)),TREND(OFFSET(INDEX($BO$7:$BP$76,MATCH(D53,$BO$7:$BO$76,-1),2),0,0,2,1),OFFSET(INDEX($BO$7:$BP$76,MATCH(D53,$BO$7:$BO$76,-1),1),0,0,2,1),D53),INDEX($BO$7:$BP$76,MATCH(D53,$BO$7:$BO$76,0),2))</f>
        <v>20045.045206223895</v>
      </c>
      <c r="E54" s="256">
        <f>SUMPRODUCT($C$2:$E$2,B54:D54)</f>
        <v>15734.28628775737</v>
      </c>
      <c r="F54" s="117"/>
      <c r="G54"/>
      <c r="H54"/>
      <c r="I54"/>
      <c r="J54"/>
      <c r="K54"/>
      <c r="L54"/>
      <c r="M54"/>
      <c r="N54"/>
      <c r="O54"/>
      <c r="P54"/>
      <c r="Q54"/>
      <c r="R54"/>
      <c r="S54"/>
      <c r="AP54" s="133">
        <v>330</v>
      </c>
      <c r="AQ54" s="133">
        <v>6442.046845107807</v>
      </c>
      <c r="AR54" s="133">
        <v>7374.192102859311</v>
      </c>
      <c r="AS54" s="133">
        <v>11198.290274211062</v>
      </c>
      <c r="AT54" s="133">
        <v>13205.080918977614</v>
      </c>
      <c r="AU54" s="139">
        <v>330</v>
      </c>
      <c r="AV54" s="135">
        <f t="shared" si="32"/>
        <v>8435.332034952862</v>
      </c>
      <c r="AW54" s="119"/>
      <c r="AX54" s="119"/>
      <c r="AY54" s="119"/>
      <c r="AZ54" s="133">
        <v>330</v>
      </c>
      <c r="BA54" s="133">
        <v>5390.634425466642</v>
      </c>
      <c r="BB54" s="133">
        <v>6198.238568794059</v>
      </c>
      <c r="BC54" s="133">
        <v>9695.31721273332</v>
      </c>
      <c r="BD54" s="133">
        <v>11557.401630444148</v>
      </c>
      <c r="BE54" s="139">
        <v>330</v>
      </c>
      <c r="BF54" s="135">
        <f t="shared" si="33"/>
        <v>7178.945554195895</v>
      </c>
      <c r="BJ54">
        <v>330</v>
      </c>
      <c r="BK54" s="194">
        <v>3086.727219455025</v>
      </c>
      <c r="BL54" s="194">
        <v>3643.158511573396</v>
      </c>
      <c r="BM54" s="194">
        <v>6066.012305889247</v>
      </c>
      <c r="BN54" s="194">
        <v>7459.888661002051</v>
      </c>
      <c r="BO54" s="139">
        <v>330</v>
      </c>
      <c r="BP54" s="135">
        <f t="shared" si="7"/>
        <v>4328.422209200116</v>
      </c>
    </row>
    <row r="55" spans="1:68" ht="16.5" thickBot="1">
      <c r="A55" s="142" t="s">
        <v>230</v>
      </c>
      <c r="B55" s="143">
        <f>(B53-B52)/B45</f>
        <v>0.09983019586173021</v>
      </c>
      <c r="C55" s="143">
        <f>(C53-C52)/C45</f>
        <v>0.10094734061949405</v>
      </c>
      <c r="D55" s="143">
        <f>(D53-D52)/D45</f>
        <v>0.1028744890117267</v>
      </c>
      <c r="E55" s="257">
        <f>SUMPRODUCT($C$2:$E$2,B55:D55)</f>
        <v>0.10113391263625142</v>
      </c>
      <c r="F55" s="117"/>
      <c r="G55"/>
      <c r="H55"/>
      <c r="I55"/>
      <c r="J55"/>
      <c r="K55"/>
      <c r="L55"/>
      <c r="M55"/>
      <c r="N55"/>
      <c r="O55"/>
      <c r="P55"/>
      <c r="Q55"/>
      <c r="R55"/>
      <c r="S55"/>
      <c r="AP55" s="133">
        <v>320</v>
      </c>
      <c r="AQ55" s="133">
        <v>6097.27512452388</v>
      </c>
      <c r="AR55" s="133">
        <v>6981.4722255735</v>
      </c>
      <c r="AS55" s="133">
        <v>10680.546698609125</v>
      </c>
      <c r="AT55" s="133">
        <v>12605.091260061014</v>
      </c>
      <c r="AU55" s="139">
        <v>320</v>
      </c>
      <c r="AV55" s="135">
        <f t="shared" si="32"/>
        <v>8010.582375346858</v>
      </c>
      <c r="AW55" s="119"/>
      <c r="AX55" s="119"/>
      <c r="AY55" s="119"/>
      <c r="AZ55" s="133">
        <v>320</v>
      </c>
      <c r="BA55" s="133">
        <v>5068.957791144586</v>
      </c>
      <c r="BB55" s="133">
        <v>5838.127574498889</v>
      </c>
      <c r="BC55" s="133">
        <v>9205.011978421608</v>
      </c>
      <c r="BD55" s="133">
        <v>10990.744730356251</v>
      </c>
      <c r="BE55" s="139">
        <v>320</v>
      </c>
      <c r="BF55" s="135">
        <f t="shared" si="33"/>
        <v>6783.645576601576</v>
      </c>
      <c r="BJ55">
        <v>320</v>
      </c>
      <c r="BK55" s="194">
        <v>2863.9613243480812</v>
      </c>
      <c r="BL55" s="194">
        <v>3382.5373571637856</v>
      </c>
      <c r="BM55" s="194">
        <v>5702.900673893935</v>
      </c>
      <c r="BN55" s="194">
        <v>7027.541752124232</v>
      </c>
      <c r="BO55" s="139">
        <v>320</v>
      </c>
      <c r="BP55" s="135">
        <f t="shared" si="7"/>
        <v>4041.1631995312046</v>
      </c>
    </row>
    <row r="56" spans="1:68" ht="15.75" thickBot="1">
      <c r="A56"/>
      <c r="B56"/>
      <c r="C56"/>
      <c r="D56"/>
      <c r="E56"/>
      <c r="F56"/>
      <c r="G56"/>
      <c r="H56"/>
      <c r="I56"/>
      <c r="J56"/>
      <c r="K56"/>
      <c r="L56"/>
      <c r="M56"/>
      <c r="N56"/>
      <c r="O56"/>
      <c r="P56"/>
      <c r="Q56"/>
      <c r="R56"/>
      <c r="S56"/>
      <c r="AP56" s="133">
        <v>310</v>
      </c>
      <c r="AQ56" s="133">
        <v>5756.6053670222855</v>
      </c>
      <c r="AR56" s="133">
        <v>6592.130435531963</v>
      </c>
      <c r="AS56" s="133">
        <v>10165.04369107737</v>
      </c>
      <c r="AT56" s="133">
        <v>12008.479688388687</v>
      </c>
      <c r="AU56" s="139">
        <v>310</v>
      </c>
      <c r="AV56" s="135">
        <f t="shared" si="32"/>
        <v>7589.0711983592155</v>
      </c>
      <c r="AW56" s="119"/>
      <c r="AX56" s="119"/>
      <c r="AY56" s="119"/>
      <c r="AZ56" s="133">
        <v>310</v>
      </c>
      <c r="BA56" s="133">
        <v>4751.969114630911</v>
      </c>
      <c r="BB56" s="133">
        <v>5481.773840506024</v>
      </c>
      <c r="BC56" s="133">
        <v>8718.084831354165</v>
      </c>
      <c r="BD56" s="133">
        <v>10428.431085296703</v>
      </c>
      <c r="BE56" s="139">
        <v>310</v>
      </c>
      <c r="BF56" s="135">
        <f t="shared" si="33"/>
        <v>6392.22350528257</v>
      </c>
      <c r="BJ56">
        <v>310</v>
      </c>
      <c r="BK56" s="194">
        <v>2644.9164957515386</v>
      </c>
      <c r="BL56" s="194">
        <v>3126.193964254322</v>
      </c>
      <c r="BM56" s="194">
        <v>5348.256665690009</v>
      </c>
      <c r="BN56" s="194">
        <v>6597.802519777322</v>
      </c>
      <c r="BO56" s="139">
        <v>310</v>
      </c>
      <c r="BP56" s="135">
        <f t="shared" si="7"/>
        <v>3759.034573688837</v>
      </c>
    </row>
    <row r="57" spans="1:68" ht="15.75" thickBot="1">
      <c r="A57"/>
      <c r="B57"/>
      <c r="C57"/>
      <c r="D57"/>
      <c r="E57"/>
      <c r="F57"/>
      <c r="G57"/>
      <c r="H57"/>
      <c r="I57"/>
      <c r="J57"/>
      <c r="K57"/>
      <c r="L57"/>
      <c r="M57"/>
      <c r="N57"/>
      <c r="O57"/>
      <c r="P57"/>
      <c r="Q57"/>
      <c r="R57"/>
      <c r="S57"/>
      <c r="AP57" s="133">
        <v>300</v>
      </c>
      <c r="AQ57" s="133">
        <v>5419.072404818945</v>
      </c>
      <c r="AR57" s="133">
        <v>6206.304613846712</v>
      </c>
      <c r="AS57" s="133">
        <v>9651.195256889747</v>
      </c>
      <c r="AT57" s="133">
        <v>11415.004912014616</v>
      </c>
      <c r="AU57" s="139">
        <v>300</v>
      </c>
      <c r="AV57" s="135">
        <f t="shared" si="32"/>
        <v>7170.515847710312</v>
      </c>
      <c r="AW57" s="119"/>
      <c r="AX57" s="119"/>
      <c r="AY57" s="119"/>
      <c r="AZ57" s="133">
        <v>300</v>
      </c>
      <c r="BA57" s="133">
        <v>4441.529790937764</v>
      </c>
      <c r="BB57" s="133">
        <v>5127.040209579291</v>
      </c>
      <c r="BC57" s="133">
        <v>8233.846365970943</v>
      </c>
      <c r="BD57" s="133">
        <v>9868.185656917323</v>
      </c>
      <c r="BE57" s="139">
        <v>300</v>
      </c>
      <c r="BF57" s="135">
        <f t="shared" si="33"/>
        <v>6003.6969373158</v>
      </c>
      <c r="BJ57">
        <v>300</v>
      </c>
      <c r="BK57" s="194">
        <v>2431.6437152065637</v>
      </c>
      <c r="BL57" s="194">
        <v>2880.750073249341</v>
      </c>
      <c r="BM57" s="194">
        <v>4999.267506592441</v>
      </c>
      <c r="BN57" s="194">
        <v>6171.286258423675</v>
      </c>
      <c r="BO57" s="139">
        <v>300</v>
      </c>
      <c r="BP57" s="135">
        <f t="shared" si="7"/>
        <v>3485.0849692352776</v>
      </c>
    </row>
    <row r="58" spans="1:68" ht="16.5" thickBot="1">
      <c r="A58" s="142" t="s">
        <v>232</v>
      </c>
      <c r="B58" s="122">
        <v>924</v>
      </c>
      <c r="C58" s="122">
        <v>1568</v>
      </c>
      <c r="D58" s="116">
        <v>2352</v>
      </c>
      <c r="E58" s="256">
        <f>SUMPRODUCT($C$2:$E$2,B58:D58)</f>
        <v>1636.32</v>
      </c>
      <c r="F58"/>
      <c r="G58"/>
      <c r="H58"/>
      <c r="I58"/>
      <c r="J58"/>
      <c r="K58"/>
      <c r="L58"/>
      <c r="AP58" s="133">
        <v>290</v>
      </c>
      <c r="AQ58" s="133">
        <v>5084.503886523845</v>
      </c>
      <c r="AR58" s="133">
        <v>5824.856517467814</v>
      </c>
      <c r="AS58" s="133">
        <v>9138.622222988228</v>
      </c>
      <c r="AT58" s="133">
        <v>10824.28775788077</v>
      </c>
      <c r="AU58" s="139">
        <v>290</v>
      </c>
      <c r="AV58" s="135">
        <f t="shared" si="32"/>
        <v>6755.198979679772</v>
      </c>
      <c r="AW58" s="119"/>
      <c r="AX58" s="119"/>
      <c r="AY58" s="119"/>
      <c r="AZ58" s="133">
        <v>290</v>
      </c>
      <c r="BA58" s="133">
        <v>4133.503386704814</v>
      </c>
      <c r="BB58" s="133">
        <v>4775.408903672809</v>
      </c>
      <c r="BC58" s="133">
        <v>7752.985987831992</v>
      </c>
      <c r="BD58" s="133">
        <v>9311.69748884025</v>
      </c>
      <c r="BE58" s="139">
        <v>290</v>
      </c>
      <c r="BF58" s="135">
        <f t="shared" si="33"/>
        <v>5618.236500577378</v>
      </c>
      <c r="BJ58">
        <v>290</v>
      </c>
      <c r="BK58" s="194">
        <v>2226.4869616173455</v>
      </c>
      <c r="BL58" s="194">
        <v>2640.169938470554</v>
      </c>
      <c r="BM58" s="194">
        <v>4658.130676823909</v>
      </c>
      <c r="BN58" s="194">
        <v>5751.59683562848</v>
      </c>
      <c r="BO58" s="139">
        <v>290</v>
      </c>
      <c r="BP58" s="135">
        <f t="shared" si="7"/>
        <v>3217.4948725461472</v>
      </c>
    </row>
    <row r="59" spans="1:68" ht="16.5" thickBot="1">
      <c r="A59" s="122" t="s">
        <v>223</v>
      </c>
      <c r="B59" s="122">
        <v>3050</v>
      </c>
      <c r="C59" s="122">
        <v>4396</v>
      </c>
      <c r="D59" s="122">
        <v>6472</v>
      </c>
      <c r="E59" s="256">
        <f>SUMPRODUCT($C$2:$E$2,B59:D59)</f>
        <v>4591.28</v>
      </c>
      <c r="F59"/>
      <c r="G59"/>
      <c r="H59"/>
      <c r="I59"/>
      <c r="J59"/>
      <c r="K59"/>
      <c r="L59"/>
      <c r="M59" s="146"/>
      <c r="N59" s="146"/>
      <c r="O59" s="146"/>
      <c r="P59" s="146"/>
      <c r="Q59" s="146"/>
      <c r="R59" s="146"/>
      <c r="S59" s="122"/>
      <c r="AP59" s="133">
        <v>280</v>
      </c>
      <c r="AQ59" s="133">
        <v>4752.038055186915</v>
      </c>
      <c r="AR59" s="133">
        <v>5446.958859723204</v>
      </c>
      <c r="AS59" s="133">
        <v>8628.01399493287</v>
      </c>
      <c r="AT59" s="133">
        <v>10235.328587925063</v>
      </c>
      <c r="AU59" s="139">
        <v>280</v>
      </c>
      <c r="AV59" s="135">
        <f t="shared" si="32"/>
        <v>6342.656969028456</v>
      </c>
      <c r="AW59" s="119"/>
      <c r="AX59" s="119"/>
      <c r="AY59" s="119"/>
      <c r="AZ59" s="133">
        <v>280</v>
      </c>
      <c r="BA59" s="133">
        <v>3827.6486099860404</v>
      </c>
      <c r="BB59" s="133">
        <v>4431.085296702918</v>
      </c>
      <c r="BC59" s="133">
        <v>7273.159718033126</v>
      </c>
      <c r="BD59" s="133">
        <v>8762.551489977766</v>
      </c>
      <c r="BE59" s="139">
        <v>280</v>
      </c>
      <c r="BF59" s="135">
        <f t="shared" si="33"/>
        <v>5237.489874355836</v>
      </c>
      <c r="BJ59">
        <v>280</v>
      </c>
      <c r="BK59" s="194">
        <v>2025.6665690008792</v>
      </c>
      <c r="BL59" s="194">
        <v>2401.464986815119</v>
      </c>
      <c r="BM59" s="194">
        <v>4319.982420158219</v>
      </c>
      <c r="BN59" s="194">
        <v>5336.185174333432</v>
      </c>
      <c r="BO59" s="139">
        <v>280</v>
      </c>
      <c r="BP59" s="135">
        <f t="shared" si="7"/>
        <v>2952.6706709639616</v>
      </c>
    </row>
    <row r="60" spans="1:68" ht="15.75" thickBot="1">
      <c r="A60" s="126" t="s">
        <v>205</v>
      </c>
      <c r="B60" s="127">
        <f>VLOOKUP($A60,$A$5:$K$27,6,FALSE)</f>
        <v>58.688</v>
      </c>
      <c r="C60" s="127">
        <f>VLOOKUP($A60,$A$5:$K$27,7,FALSE)</f>
        <v>57.456</v>
      </c>
      <c r="D60" s="127">
        <f>VLOOKUP($A60,$A$5:$K$27,8,FALSE)</f>
        <v>59.304</v>
      </c>
      <c r="F60"/>
      <c r="G60"/>
      <c r="H60"/>
      <c r="I60"/>
      <c r="J60"/>
      <c r="K60"/>
      <c r="L60"/>
      <c r="M60" s="147"/>
      <c r="N60" s="147"/>
      <c r="O60" s="147"/>
      <c r="P60" s="147"/>
      <c r="Q60" s="147"/>
      <c r="R60" s="147"/>
      <c r="S60" s="127"/>
      <c r="AP60" s="133">
        <v>270</v>
      </c>
      <c r="AQ60" s="133">
        <v>4421.60597025215</v>
      </c>
      <c r="AR60" s="133">
        <v>5072.47375950087</v>
      </c>
      <c r="AS60" s="133">
        <v>8122.335016631909</v>
      </c>
      <c r="AT60" s="133">
        <v>9650.36797021768</v>
      </c>
      <c r="AU60" s="139">
        <v>270</v>
      </c>
      <c r="AV60" s="135">
        <f t="shared" si="32"/>
        <v>5933.660226469726</v>
      </c>
      <c r="AW60" s="119"/>
      <c r="AX60" s="119"/>
      <c r="AY60" s="119"/>
      <c r="AZ60" s="133">
        <v>270</v>
      </c>
      <c r="BA60" s="133">
        <v>3526.2404991296257</v>
      </c>
      <c r="BB60" s="133">
        <v>4089.071198359215</v>
      </c>
      <c r="BC60" s="133">
        <v>6797.435411316593</v>
      </c>
      <c r="BD60" s="133">
        <v>8217.093810861585</v>
      </c>
      <c r="BE60" s="139">
        <v>270</v>
      </c>
      <c r="BF60" s="135">
        <f t="shared" si="33"/>
        <v>4859.997242377761</v>
      </c>
      <c r="BJ60">
        <v>270</v>
      </c>
      <c r="BK60" s="194">
        <v>1832.7278054497513</v>
      </c>
      <c r="BL60" s="194">
        <v>2169.0594784646937</v>
      </c>
      <c r="BM60" s="194">
        <v>3988.836800468796</v>
      </c>
      <c r="BN60" s="194">
        <v>4923.996484031643</v>
      </c>
      <c r="BO60" s="139">
        <v>270</v>
      </c>
      <c r="BP60" s="135">
        <f t="shared" si="7"/>
        <v>2694.4843246410783</v>
      </c>
    </row>
    <row r="61" spans="1:68" ht="15.75" thickBot="1">
      <c r="A61" s="126" t="s">
        <v>176</v>
      </c>
      <c r="B61" s="127">
        <f aca="true" t="shared" si="36" ref="B61:B66">VLOOKUP($A61,$A$5:$K$27,6,FALSE)</f>
        <v>14.799999999999999</v>
      </c>
      <c r="C61" s="127">
        <f aca="true" t="shared" si="37" ref="C61:C66">VLOOKUP($A61,$A$5:$K$27,7,FALSE)</f>
        <v>33.596</v>
      </c>
      <c r="D61" s="127">
        <f aca="true" t="shared" si="38" ref="D61:D66">VLOOKUP($A61,$A$5:$K$27,8,FALSE)</f>
        <v>40.403999999999996</v>
      </c>
      <c r="F61"/>
      <c r="G61"/>
      <c r="H61"/>
      <c r="I61"/>
      <c r="J61"/>
      <c r="K61"/>
      <c r="L61"/>
      <c r="M61" s="147"/>
      <c r="N61" s="147"/>
      <c r="O61" s="147"/>
      <c r="P61" s="147"/>
      <c r="Q61" s="147"/>
      <c r="R61" s="147"/>
      <c r="S61" s="127"/>
      <c r="AP61" s="133">
        <v>260</v>
      </c>
      <c r="AQ61" s="133">
        <v>4093.6212750555833</v>
      </c>
      <c r="AR61" s="133">
        <v>4703.1247307009535</v>
      </c>
      <c r="AS61" s="133">
        <v>7621.068233915307</v>
      </c>
      <c r="AT61" s="133">
        <v>9069.681666982644</v>
      </c>
      <c r="AU61" s="139">
        <v>260</v>
      </c>
      <c r="AV61" s="135">
        <f t="shared" si="32"/>
        <v>5529.037762189553</v>
      </c>
      <c r="AW61" s="119"/>
      <c r="AX61" s="119"/>
      <c r="AY61" s="119"/>
      <c r="AZ61" s="133">
        <v>260</v>
      </c>
      <c r="BA61" s="133">
        <v>3227.7968321814515</v>
      </c>
      <c r="BB61" s="133">
        <v>3749.74578169973</v>
      </c>
      <c r="BC61" s="133">
        <v>6326.640354354458</v>
      </c>
      <c r="BD61" s="133">
        <v>7676.461970665793</v>
      </c>
      <c r="BE61" s="139">
        <v>260</v>
      </c>
      <c r="BF61" s="135">
        <f t="shared" si="33"/>
        <v>4485.915444408059</v>
      </c>
      <c r="BJ61">
        <v>260</v>
      </c>
      <c r="BK61" s="194">
        <v>1649.1942572516848</v>
      </c>
      <c r="BL61" s="194">
        <v>1941.1661295048345</v>
      </c>
      <c r="BM61" s="194">
        <v>3668.502783474949</v>
      </c>
      <c r="BN61" s="194">
        <v>4520.011719894521</v>
      </c>
      <c r="BO61" s="139">
        <v>260</v>
      </c>
      <c r="BP61" s="135">
        <f t="shared" si="7"/>
        <v>2443.5481980662175</v>
      </c>
    </row>
    <row r="62" spans="1:68" ht="15.75" thickBot="1">
      <c r="A62" s="126" t="s">
        <v>213</v>
      </c>
      <c r="B62" s="127">
        <f t="shared" si="36"/>
        <v>24.104</v>
      </c>
      <c r="C62" s="127">
        <f t="shared" si="37"/>
        <v>30.36</v>
      </c>
      <c r="D62" s="127">
        <v>59</v>
      </c>
      <c r="F62"/>
      <c r="G62"/>
      <c r="H62"/>
      <c r="I62"/>
      <c r="J62"/>
      <c r="K62"/>
      <c r="L62"/>
      <c r="M62" s="147"/>
      <c r="N62" s="147"/>
      <c r="O62" s="147"/>
      <c r="P62" s="147"/>
      <c r="Q62" s="147"/>
      <c r="R62" s="147"/>
      <c r="S62" s="127"/>
      <c r="AP62" s="133">
        <v>250</v>
      </c>
      <c r="AQ62" s="133">
        <v>3768.7044346012653</v>
      </c>
      <c r="AR62" s="133">
        <v>4337.843194705365</v>
      </c>
      <c r="AS62" s="133">
        <v>7124.2481170610645</v>
      </c>
      <c r="AT62" s="133">
        <v>8494.028024336016</v>
      </c>
      <c r="AU62" s="139">
        <v>250</v>
      </c>
      <c r="AV62" s="135">
        <f t="shared" si="32"/>
        <v>5128.425914755003</v>
      </c>
      <c r="AW62" s="119"/>
      <c r="AX62" s="119"/>
      <c r="AY62" s="119"/>
      <c r="AZ62" s="133">
        <v>250</v>
      </c>
      <c r="BA62" s="133">
        <v>2932.1107874735017</v>
      </c>
      <c r="BB62" s="133">
        <v>3415.073852570621</v>
      </c>
      <c r="BC62" s="133">
        <v>5864.42839661502</v>
      </c>
      <c r="BD62" s="133">
        <v>7142.689715792559</v>
      </c>
      <c r="BE62" s="139">
        <v>250</v>
      </c>
      <c r="BF62" s="135">
        <f t="shared" si="33"/>
        <v>4117.200668723394</v>
      </c>
      <c r="BJ62">
        <v>250</v>
      </c>
      <c r="BK62" s="194">
        <v>1470.6416642250222</v>
      </c>
      <c r="BL62" s="194">
        <v>1721.2130090829185</v>
      </c>
      <c r="BM62" s="194">
        <v>3351.97773220041</v>
      </c>
      <c r="BN62" s="194">
        <v>4127.5124523879285</v>
      </c>
      <c r="BO62" s="139">
        <v>250</v>
      </c>
      <c r="BP62" s="135">
        <f t="shared" si="7"/>
        <v>2199.1048930559627</v>
      </c>
    </row>
    <row r="63" spans="1:68" ht="15.75" thickBot="1">
      <c r="A63" s="126" t="s">
        <v>214</v>
      </c>
      <c r="B63" s="127">
        <f t="shared" si="36"/>
        <v>69.3</v>
      </c>
      <c r="C63" s="127">
        <f t="shared" si="37"/>
        <v>117.6</v>
      </c>
      <c r="D63" s="127">
        <v>103</v>
      </c>
      <c r="F63"/>
      <c r="G63"/>
      <c r="H63"/>
      <c r="I63"/>
      <c r="J63"/>
      <c r="K63"/>
      <c r="L63"/>
      <c r="M63" s="147"/>
      <c r="N63" s="147"/>
      <c r="O63" s="147"/>
      <c r="P63" s="147"/>
      <c r="Q63" s="147"/>
      <c r="R63" s="147"/>
      <c r="S63" s="127"/>
      <c r="AP63" s="133">
        <v>240</v>
      </c>
      <c r="AQ63" s="133">
        <v>3449.3373089053966</v>
      </c>
      <c r="AR63" s="133">
        <v>3978.1113734682276</v>
      </c>
      <c r="AS63" s="133">
        <v>6633.012185243274</v>
      </c>
      <c r="AT63" s="133">
        <v>7924.027507281847</v>
      </c>
      <c r="AU63" s="139">
        <v>240</v>
      </c>
      <c r="AV63" s="135">
        <f t="shared" si="32"/>
        <v>4733.377570190104</v>
      </c>
      <c r="AW63" s="119"/>
      <c r="AX63" s="119"/>
      <c r="AY63" s="119"/>
      <c r="AZ63" s="133">
        <v>240</v>
      </c>
      <c r="BA63" s="133">
        <v>2641.2161114079386</v>
      </c>
      <c r="BB63" s="133">
        <v>3089.5710173902557</v>
      </c>
      <c r="BC63" s="133">
        <v>5413.005635890453</v>
      </c>
      <c r="BD63" s="133">
        <v>6612.157667051585</v>
      </c>
      <c r="BE63" s="139">
        <v>240</v>
      </c>
      <c r="BF63" s="135">
        <f t="shared" si="33"/>
        <v>3756.888023301908</v>
      </c>
      <c r="BJ63">
        <v>240</v>
      </c>
      <c r="BK63" s="194">
        <v>1295.1362437738062</v>
      </c>
      <c r="BL63" s="194">
        <v>1510.8702021681806</v>
      </c>
      <c r="BM63" s="194">
        <v>3043.6566070905365</v>
      </c>
      <c r="BN63" s="194">
        <v>3748.491063580428</v>
      </c>
      <c r="BO63" s="139">
        <v>240</v>
      </c>
      <c r="BP63" s="135">
        <f t="shared" si="7"/>
        <v>1962.8010547905071</v>
      </c>
    </row>
    <row r="64" spans="1:68" ht="15.75" thickBot="1">
      <c r="A64" s="126" t="s">
        <v>216</v>
      </c>
      <c r="B64" s="127">
        <f t="shared" si="36"/>
        <v>92.32209737827715</v>
      </c>
      <c r="C64" s="127">
        <f t="shared" si="37"/>
        <v>155.99250936329588</v>
      </c>
      <c r="D64" s="127">
        <f t="shared" si="38"/>
        <v>280.9456928838951</v>
      </c>
      <c r="F64"/>
      <c r="G64"/>
      <c r="H64"/>
      <c r="I64"/>
      <c r="J64"/>
      <c r="K64"/>
      <c r="L64"/>
      <c r="M64" s="147"/>
      <c r="N64" s="147"/>
      <c r="O64" s="147"/>
      <c r="P64" s="147"/>
      <c r="Q64" s="147"/>
      <c r="R64" s="147"/>
      <c r="S64" s="127"/>
      <c r="AP64" s="133">
        <v>230</v>
      </c>
      <c r="AQ64" s="133">
        <v>3133.9342651798493</v>
      </c>
      <c r="AR64" s="133">
        <v>3624.997845607625</v>
      </c>
      <c r="AS64" s="133">
        <v>6145.705865117803</v>
      </c>
      <c r="AT64" s="133">
        <v>7359.2320022060985</v>
      </c>
      <c r="AU64" s="139">
        <v>230</v>
      </c>
      <c r="AV64" s="135">
        <f t="shared" si="32"/>
        <v>4343.673842229538</v>
      </c>
      <c r="AW64" s="119"/>
      <c r="AX64" s="119"/>
      <c r="AY64" s="119"/>
      <c r="AZ64" s="133">
        <v>230</v>
      </c>
      <c r="BA64" s="133">
        <v>2359.6284104031297</v>
      </c>
      <c r="BB64" s="133">
        <v>2772.927043656607</v>
      </c>
      <c r="BC64" s="133">
        <v>4965.478016580205</v>
      </c>
      <c r="BD64" s="133">
        <v>6089.519311973252</v>
      </c>
      <c r="BE64" s="139">
        <v>230</v>
      </c>
      <c r="BF64" s="135">
        <f t="shared" si="33"/>
        <v>3404.2346736526433</v>
      </c>
      <c r="BJ64">
        <v>230</v>
      </c>
      <c r="BK64" s="194">
        <v>1124.7582771755056</v>
      </c>
      <c r="BL64" s="194">
        <v>1312.2179900380897</v>
      </c>
      <c r="BM64" s="194">
        <v>2748.901259888661</v>
      </c>
      <c r="BN64" s="194">
        <v>3388.7489012598885</v>
      </c>
      <c r="BO64" s="139">
        <v>230</v>
      </c>
      <c r="BP64" s="135">
        <f t="shared" si="7"/>
        <v>1737.7234104893055</v>
      </c>
    </row>
    <row r="65" spans="1:68" ht="15.75" thickBot="1">
      <c r="A65" s="137" t="s">
        <v>219</v>
      </c>
      <c r="B65" s="127">
        <f t="shared" si="36"/>
        <v>14.82</v>
      </c>
      <c r="C65" s="127">
        <f t="shared" si="37"/>
        <v>14.82</v>
      </c>
      <c r="D65" s="127">
        <f t="shared" si="38"/>
        <v>22.62</v>
      </c>
      <c r="F65"/>
      <c r="G65"/>
      <c r="H65"/>
      <c r="I65"/>
      <c r="J65"/>
      <c r="K65"/>
      <c r="L65"/>
      <c r="M65" s="148"/>
      <c r="N65" s="148"/>
      <c r="O65" s="148"/>
      <c r="P65" s="148"/>
      <c r="Q65" s="148"/>
      <c r="R65" s="148"/>
      <c r="S65" s="127"/>
      <c r="AP65" s="133">
        <v>220</v>
      </c>
      <c r="AQ65" s="133">
        <v>2826.4249151169406</v>
      </c>
      <c r="AR65" s="133">
        <v>3278.2268488995364</v>
      </c>
      <c r="AS65" s="133">
        <v>5663.1564433567155</v>
      </c>
      <c r="AT65" s="133">
        <v>6801.571844676928</v>
      </c>
      <c r="AU65" s="139">
        <v>220</v>
      </c>
      <c r="AV65" s="135">
        <f t="shared" si="32"/>
        <v>3960.266110546181</v>
      </c>
      <c r="AW65" s="119"/>
      <c r="AX65" s="119"/>
      <c r="AY65" s="119"/>
      <c r="AZ65" s="133">
        <v>220</v>
      </c>
      <c r="BA65" s="133">
        <v>2087.0029816790475</v>
      </c>
      <c r="BB65" s="133">
        <v>2464.418055531618</v>
      </c>
      <c r="BC65" s="133">
        <v>4523.0864686923705</v>
      </c>
      <c r="BD65" s="133">
        <v>5572.70643387739</v>
      </c>
      <c r="BE65" s="139">
        <v>220</v>
      </c>
      <c r="BF65" s="135">
        <f t="shared" si="33"/>
        <v>3059.0165629685807</v>
      </c>
      <c r="BJ65">
        <v>220</v>
      </c>
      <c r="BK65" s="194">
        <v>965.5728098447114</v>
      </c>
      <c r="BL65" s="194">
        <v>1127.307354233812</v>
      </c>
      <c r="BM65" s="194">
        <v>2464.81101670085</v>
      </c>
      <c r="BN65" s="194">
        <v>3041.3712276589513</v>
      </c>
      <c r="BO65" s="139">
        <v>220</v>
      </c>
      <c r="BP65" s="135">
        <f t="shared" si="7"/>
        <v>1525.0395546440084</v>
      </c>
    </row>
    <row r="66" spans="1:68" ht="15.75" thickBot="1">
      <c r="A66" s="138" t="s">
        <v>220</v>
      </c>
      <c r="B66" s="127">
        <f t="shared" si="36"/>
        <v>47.73383999999999</v>
      </c>
      <c r="C66" s="127">
        <f t="shared" si="37"/>
        <v>81.00287999999998</v>
      </c>
      <c r="D66" s="127">
        <f t="shared" si="38"/>
        <v>121.50431999999996</v>
      </c>
      <c r="F66"/>
      <c r="G66"/>
      <c r="H66"/>
      <c r="I66"/>
      <c r="J66"/>
      <c r="K66"/>
      <c r="L66"/>
      <c r="M66" s="148"/>
      <c r="N66" s="148"/>
      <c r="O66" s="148"/>
      <c r="P66" s="148"/>
      <c r="Q66" s="148"/>
      <c r="R66" s="148"/>
      <c r="S66" s="127"/>
      <c r="T66"/>
      <c r="U66"/>
      <c r="V66"/>
      <c r="AP66" s="133">
        <v>210</v>
      </c>
      <c r="AQ66" s="133">
        <v>2526.774788438669</v>
      </c>
      <c r="AR66" s="133">
        <v>2936.7987452818807</v>
      </c>
      <c r="AS66" s="133">
        <v>5184.19193050792</v>
      </c>
      <c r="AT66" s="133">
        <v>6249.633753296221</v>
      </c>
      <c r="AU66" s="139">
        <v>210</v>
      </c>
      <c r="AV66" s="135">
        <f t="shared" si="32"/>
        <v>3582.284000620465</v>
      </c>
      <c r="AW66" s="119"/>
      <c r="AX66" s="119"/>
      <c r="AY66" s="119"/>
      <c r="AZ66" s="133">
        <v>210</v>
      </c>
      <c r="BA66" s="133">
        <v>1830.3717619482602</v>
      </c>
      <c r="BB66" s="133">
        <v>2163.940642181279</v>
      </c>
      <c r="BC66" s="133">
        <v>4090.691301425346</v>
      </c>
      <c r="BD66" s="133">
        <v>5061.753503042002</v>
      </c>
      <c r="BE66" s="139">
        <v>210</v>
      </c>
      <c r="BF66" s="135">
        <f t="shared" si="33"/>
        <v>2723.8051739887283</v>
      </c>
      <c r="BJ66">
        <v>210</v>
      </c>
      <c r="BK66" s="194">
        <v>813.3899794901846</v>
      </c>
      <c r="BL66" s="194">
        <v>952.4465279812482</v>
      </c>
      <c r="BM66" s="194">
        <v>2191.0049809551715</v>
      </c>
      <c r="BN66" s="194">
        <v>2704.3949604453564</v>
      </c>
      <c r="BO66" s="139">
        <v>210</v>
      </c>
      <c r="BP66" s="135">
        <f t="shared" si="7"/>
        <v>1321.8722531497217</v>
      </c>
    </row>
    <row r="67" spans="1:68" ht="16.5" thickBot="1">
      <c r="A67" s="122" t="s">
        <v>228</v>
      </c>
      <c r="B67" s="116">
        <f>SUM(B60:B66)</f>
        <v>321.7679373782771</v>
      </c>
      <c r="C67" s="116">
        <f>SUM(C60:C66)</f>
        <v>490.8273893632959</v>
      </c>
      <c r="D67" s="116">
        <f>SUM(D60:D66)</f>
        <v>686.778012883895</v>
      </c>
      <c r="E67" s="256">
        <f>SUMPRODUCT($C$2:$E$2,B67:D67)</f>
        <v>507.579086106367</v>
      </c>
      <c r="F67"/>
      <c r="G67"/>
      <c r="H67"/>
      <c r="I67"/>
      <c r="J67"/>
      <c r="K67"/>
      <c r="L67"/>
      <c r="M67" s="146"/>
      <c r="N67" s="146"/>
      <c r="O67" s="146"/>
      <c r="P67" s="146"/>
      <c r="Q67" s="146"/>
      <c r="R67" s="146"/>
      <c r="S67" s="116"/>
      <c r="T67"/>
      <c r="U67"/>
      <c r="V67"/>
      <c r="AE67"/>
      <c r="AF67"/>
      <c r="AG67"/>
      <c r="AP67" s="133">
        <v>200</v>
      </c>
      <c r="AQ67" s="133">
        <v>2233.94977680495</v>
      </c>
      <c r="AR67" s="133">
        <v>2600.679064476655</v>
      </c>
      <c r="AS67" s="133">
        <v>4708.88126712742</v>
      </c>
      <c r="AT67" s="133">
        <v>5707.2094586442845</v>
      </c>
      <c r="AU67" s="139">
        <v>200</v>
      </c>
      <c r="AV67" s="135">
        <f t="shared" si="32"/>
        <v>3209.7102773133865</v>
      </c>
      <c r="AW67" s="119"/>
      <c r="AX67" s="119"/>
      <c r="AY67" s="119"/>
      <c r="AZ67" s="133">
        <v>200</v>
      </c>
      <c r="BA67" s="133">
        <v>1582.4615225521795</v>
      </c>
      <c r="BB67" s="133">
        <v>1874.2524258458145</v>
      </c>
      <c r="BC67" s="133">
        <v>3666.1208872649563</v>
      </c>
      <c r="BD67" s="133">
        <v>4560.210958101377</v>
      </c>
      <c r="BE67" s="139">
        <v>200</v>
      </c>
      <c r="BF67" s="135">
        <f t="shared" si="33"/>
        <v>2398.1592871546513</v>
      </c>
      <c r="BJ67">
        <v>200</v>
      </c>
      <c r="BK67" s="194">
        <v>669.6161734544389</v>
      </c>
      <c r="BL67" s="194">
        <v>789.8622912393789</v>
      </c>
      <c r="BM67" s="194">
        <v>1926.1939642543218</v>
      </c>
      <c r="BN67" s="194">
        <v>2373.776736009376</v>
      </c>
      <c r="BO67" s="139">
        <v>200</v>
      </c>
      <c r="BP67" s="135">
        <f t="shared" si="7"/>
        <v>1129.0917081746265</v>
      </c>
    </row>
    <row r="68" spans="1:68" ht="16.5" thickBot="1">
      <c r="A68" s="122" t="s">
        <v>229</v>
      </c>
      <c r="B68" s="116">
        <f ca="1">IF(ISNA(INDEX($AU$7:$AV$76,MATCH(B67,$AU$7:$AU$76,0),1)),TREND(OFFSET(INDEX($AU$7:$AV$76,MATCH(B67,$AU$7:$AU$76,-1),2),0,0,2,1),OFFSET(INDEX($AU$7:$AV$76,MATCH(B67,$AU$7:$AU$76,-1),1),0,0,2,1),B67),INDEX($AU$7:$AV$76,MATCH(B67,$AU$7:$AU$76,0),2))</f>
        <v>8085.675455309688</v>
      </c>
      <c r="C68" s="116">
        <f ca="1">IF(ISNA(INDEX($BE$7:$BF$76,MATCH(C67,$BE$7:$BE$76,0),1)),TREND(OFFSET(INDEX($BE$7:$BF$76,MATCH(C67,$BE$7:$BE$76,-1),2),0,0,2,1),OFFSET(INDEX($BE$7:$BF$76,MATCH(C67,$BE$7:$BE$76,-1),1),0,0,2,1),C67),INDEX($BE$7:$BF$76,MATCH(C67,$BE$7:$BE$76,0),2))</f>
        <v>13934.310118013484</v>
      </c>
      <c r="D68" s="116">
        <f ca="1">IF(ISNA(INDEX($BO$7:$BP$76,MATCH(D67,$BO$7:$BO$76,0),1)),TREND(OFFSET(INDEX($BO$7:$BP$76,MATCH(D67,$BO$7:$BO$76,-1),2),0,0,2,1),OFFSET(INDEX($BO$7:$BP$76,MATCH(D67,$BO$7:$BO$76,-1),1),0,0,2,1),D67),INDEX($BO$7:$BP$76,MATCH(D67,$BO$7:$BO$76,0),2))</f>
        <v>16336.959708023016</v>
      </c>
      <c r="E68" s="256">
        <f>SUMPRODUCT($C$2:$E$2,B68:D68)</f>
        <v>13988.682682306475</v>
      </c>
      <c r="F68"/>
      <c r="G68"/>
      <c r="H68"/>
      <c r="I68"/>
      <c r="J68"/>
      <c r="K68"/>
      <c r="L68"/>
      <c r="S68" s="141"/>
      <c r="T68"/>
      <c r="U68"/>
      <c r="V68"/>
      <c r="W68"/>
      <c r="X68"/>
      <c r="Y68"/>
      <c r="Z68"/>
      <c r="AA68"/>
      <c r="AB68"/>
      <c r="AC68"/>
      <c r="AD68"/>
      <c r="AE68"/>
      <c r="AF68"/>
      <c r="AG68"/>
      <c r="AP68" s="133">
        <v>190</v>
      </c>
      <c r="AQ68" s="133">
        <v>1944.675203805519</v>
      </c>
      <c r="AR68" s="133">
        <v>2268.937108977784</v>
      </c>
      <c r="AS68" s="133">
        <v>4240.223367401459</v>
      </c>
      <c r="AT68" s="133">
        <v>5170.851932920839</v>
      </c>
      <c r="AU68" s="139">
        <v>190</v>
      </c>
      <c r="AV68" s="135">
        <f t="shared" si="32"/>
        <v>2842.0020337464025</v>
      </c>
      <c r="AW68" s="119"/>
      <c r="AX68" s="119"/>
      <c r="AY68" s="119"/>
      <c r="AZ68" s="133">
        <v>190</v>
      </c>
      <c r="BA68" s="133">
        <v>1348.0636321331933</v>
      </c>
      <c r="BB68" s="133">
        <v>1600.6273590596509</v>
      </c>
      <c r="BC68" s="133">
        <v>3255.3385843056826</v>
      </c>
      <c r="BD68" s="133">
        <v>4068.0787990555145</v>
      </c>
      <c r="BE68" s="139">
        <v>190</v>
      </c>
      <c r="BF68" s="135">
        <f t="shared" si="33"/>
        <v>2087.1649919856604</v>
      </c>
      <c r="BJ68">
        <v>190</v>
      </c>
      <c r="BK68" s="194">
        <v>532.2883094052154</v>
      </c>
      <c r="BL68" s="194">
        <v>642.8362144740697</v>
      </c>
      <c r="BM68" s="194">
        <v>1670.3486668619983</v>
      </c>
      <c r="BN68" s="194">
        <v>2053.1790213888075</v>
      </c>
      <c r="BO68" s="139">
        <v>190</v>
      </c>
      <c r="BP68" s="135">
        <f t="shared" si="7"/>
        <v>948.1218869030179</v>
      </c>
    </row>
    <row r="69" spans="1:68" ht="16.5" thickBot="1">
      <c r="A69" s="142" t="s">
        <v>230</v>
      </c>
      <c r="B69" s="143">
        <f>(B67-B66)/B59</f>
        <v>0.08984724504205807</v>
      </c>
      <c r="C69" s="143">
        <f>(C67-C66)/C59</f>
        <v>0.09322668547845675</v>
      </c>
      <c r="D69" s="143">
        <f>(D67-D66)/D59</f>
        <v>0.08734142349874768</v>
      </c>
      <c r="E69" s="257">
        <f>SUMPRODUCT($C$2:$E$2,B69:D69)</f>
        <v>0.0923852764234357</v>
      </c>
      <c r="F69"/>
      <c r="G69"/>
      <c r="H69"/>
      <c r="I69"/>
      <c r="J69"/>
      <c r="K69"/>
      <c r="L69"/>
      <c r="M69" s="145"/>
      <c r="N69" s="145"/>
      <c r="O69" s="145"/>
      <c r="P69" s="145"/>
      <c r="Q69" s="145"/>
      <c r="R69" s="145"/>
      <c r="S69" s="143"/>
      <c r="T69"/>
      <c r="U69"/>
      <c r="V69"/>
      <c r="W69"/>
      <c r="X69"/>
      <c r="Y69"/>
      <c r="Z69"/>
      <c r="AA69"/>
      <c r="AB69"/>
      <c r="AC69"/>
      <c r="AD69"/>
      <c r="AE69"/>
      <c r="AF69"/>
      <c r="AG69"/>
      <c r="AP69" s="133">
        <v>180</v>
      </c>
      <c r="AQ69" s="133">
        <v>1661.7431619586016</v>
      </c>
      <c r="AR69" s="133">
        <v>1947.3983557677393</v>
      </c>
      <c r="AS69" s="133">
        <v>3783.4232433084576</v>
      </c>
      <c r="AT69" s="133">
        <v>4643.904793092157</v>
      </c>
      <c r="AU69" s="139">
        <v>180</v>
      </c>
      <c r="AV69" s="135">
        <f t="shared" si="32"/>
        <v>2484.0988607573127</v>
      </c>
      <c r="AW69" s="119"/>
      <c r="AX69" s="119"/>
      <c r="AY69" s="119"/>
      <c r="AZ69" s="133">
        <v>180</v>
      </c>
      <c r="BA69" s="133">
        <v>1129.3152479274745</v>
      </c>
      <c r="BB69" s="133">
        <v>1339.3081815204841</v>
      </c>
      <c r="BC69" s="133">
        <v>2857.2068733734336</v>
      </c>
      <c r="BD69" s="133">
        <v>3587.4252425845816</v>
      </c>
      <c r="BE69" s="139">
        <v>180</v>
      </c>
      <c r="BF69" s="135">
        <f t="shared" si="33"/>
        <v>1789.1901208183244</v>
      </c>
      <c r="BJ69">
        <v>180</v>
      </c>
      <c r="BK69" s="194">
        <v>407.8523293290361</v>
      </c>
      <c r="BL69" s="194">
        <v>507.67653091122185</v>
      </c>
      <c r="BM69" s="194">
        <v>1420.539115147964</v>
      </c>
      <c r="BN69" s="194">
        <v>1750.2490477585704</v>
      </c>
      <c r="BO69" s="139">
        <v>180</v>
      </c>
      <c r="BP69" s="135">
        <f t="shared" si="7"/>
        <v>778.0559624963377</v>
      </c>
    </row>
    <row r="70" spans="20:68" ht="15.75" thickBot="1">
      <c r="T70"/>
      <c r="U70"/>
      <c r="V70"/>
      <c r="W70"/>
      <c r="X70"/>
      <c r="Y70"/>
      <c r="Z70"/>
      <c r="AA70"/>
      <c r="AB70"/>
      <c r="AC70"/>
      <c r="AD70"/>
      <c r="AE70"/>
      <c r="AF70"/>
      <c r="AG70"/>
      <c r="AP70" s="133">
        <v>170</v>
      </c>
      <c r="AQ70" s="133">
        <v>1392.2545285327728</v>
      </c>
      <c r="AR70" s="133">
        <v>1643.1636821150962</v>
      </c>
      <c r="AS70" s="133">
        <v>3337.2054945623136</v>
      </c>
      <c r="AT70" s="133">
        <v>4123.265714137985</v>
      </c>
      <c r="AU70" s="139">
        <v>170</v>
      </c>
      <c r="AV70" s="135">
        <f t="shared" si="32"/>
        <v>2140.4974061115804</v>
      </c>
      <c r="AW70" s="119"/>
      <c r="AX70" s="119"/>
      <c r="AY70" s="119"/>
      <c r="AZ70" s="133">
        <v>170</v>
      </c>
      <c r="BA70" s="133">
        <v>921.4939418486412</v>
      </c>
      <c r="BB70" s="133">
        <v>1089.6744282242637</v>
      </c>
      <c r="BC70" s="133">
        <v>2477.378880060668</v>
      </c>
      <c r="BD70" s="133">
        <v>3112.286930594096</v>
      </c>
      <c r="BE70" s="139">
        <v>170</v>
      </c>
      <c r="BF70" s="135">
        <f t="shared" si="33"/>
        <v>1504.0950690267318</v>
      </c>
      <c r="BJ70">
        <v>170</v>
      </c>
      <c r="BK70" s="194">
        <v>298.06621740404336</v>
      </c>
      <c r="BL70" s="194">
        <v>390.1259888661002</v>
      </c>
      <c r="BM70" s="194">
        <v>1181.9220627014358</v>
      </c>
      <c r="BN70" s="194">
        <v>1464.6059185467332</v>
      </c>
      <c r="BO70" s="139">
        <v>170</v>
      </c>
      <c r="BP70" s="135">
        <f t="shared" si="7"/>
        <v>623.3870495165544</v>
      </c>
    </row>
    <row r="71" spans="1:68" ht="15.75" thickBot="1">
      <c r="A71"/>
      <c r="B71"/>
      <c r="C71"/>
      <c r="D71"/>
      <c r="E71"/>
      <c r="F71"/>
      <c r="G71"/>
      <c r="H71"/>
      <c r="I71"/>
      <c r="J71"/>
      <c r="K71"/>
      <c r="L71"/>
      <c r="M71"/>
      <c r="N71"/>
      <c r="O71"/>
      <c r="P71"/>
      <c r="Q71"/>
      <c r="R71"/>
      <c r="S71"/>
      <c r="T71"/>
      <c r="U71"/>
      <c r="V71"/>
      <c r="W71"/>
      <c r="X71"/>
      <c r="Y71"/>
      <c r="Z71"/>
      <c r="AA71"/>
      <c r="AB71"/>
      <c r="AC71"/>
      <c r="AD71"/>
      <c r="AE71"/>
      <c r="AF71"/>
      <c r="AG71"/>
      <c r="AP71" s="133">
        <v>160</v>
      </c>
      <c r="AQ71" s="133">
        <v>1137.6225849261475</v>
      </c>
      <c r="AR71" s="133">
        <v>1351.9587735475088</v>
      </c>
      <c r="AS71" s="133">
        <v>2900.053428930905</v>
      </c>
      <c r="AT71" s="133">
        <v>3609.8653935643993</v>
      </c>
      <c r="AU71" s="139">
        <v>160</v>
      </c>
      <c r="AV71" s="135">
        <f aca="true" t="shared" si="39" ref="AV71:AV76">SUMPRODUCT(AQ$5:AT$5,AQ71:AT71)</f>
        <v>1809.0105306699302</v>
      </c>
      <c r="AW71" s="119"/>
      <c r="AX71" s="119"/>
      <c r="AY71" s="119"/>
      <c r="AZ71" s="133">
        <v>160</v>
      </c>
      <c r="BA71" s="133">
        <v>727.4952172489271</v>
      </c>
      <c r="BB71" s="133">
        <v>858.4478033815344</v>
      </c>
      <c r="BC71" s="133">
        <v>2111.8560521190607</v>
      </c>
      <c r="BD71" s="133">
        <v>2656.1762120611506</v>
      </c>
      <c r="BE71" s="139">
        <v>160</v>
      </c>
      <c r="BF71" s="135">
        <f aca="true" t="shared" si="40" ref="BF71:BF76">SUMPRODUCT(BA$5:BD$5,BA71:BD71)</f>
        <v>1235.4957687733752</v>
      </c>
      <c r="BJ71">
        <v>160</v>
      </c>
      <c r="BK71" s="194">
        <v>204.6000585994726</v>
      </c>
      <c r="BL71" s="194">
        <v>285.32083211251097</v>
      </c>
      <c r="BM71" s="194">
        <v>957.5153823615587</v>
      </c>
      <c r="BN71" s="194">
        <v>1197.4216232053914</v>
      </c>
      <c r="BO71" s="139">
        <v>160</v>
      </c>
      <c r="BP71" s="135">
        <f aca="true" t="shared" si="41" ref="BP71:BP76">SUMPRODUCT(BK$5:BN$5,BK71:BN71)</f>
        <v>482.8303545268093</v>
      </c>
    </row>
    <row r="72" spans="1:68" ht="16.5" thickBot="1">
      <c r="A72" s="149" t="s">
        <v>233</v>
      </c>
      <c r="B72" s="122">
        <v>924</v>
      </c>
      <c r="C72" s="122">
        <v>1568</v>
      </c>
      <c r="D72" s="116">
        <v>2352</v>
      </c>
      <c r="E72" s="256">
        <f>SUMPRODUCT($C$2:$E$2,B72:D72)</f>
        <v>1636.32</v>
      </c>
      <c r="F72"/>
      <c r="G72"/>
      <c r="H72"/>
      <c r="I72"/>
      <c r="J72"/>
      <c r="K72"/>
      <c r="L72"/>
      <c r="M72"/>
      <c r="N72"/>
      <c r="O72"/>
      <c r="P72"/>
      <c r="Q72"/>
      <c r="R72"/>
      <c r="S72"/>
      <c r="T72"/>
      <c r="U72"/>
      <c r="V72"/>
      <c r="W72"/>
      <c r="X72"/>
      <c r="Y72"/>
      <c r="Z72"/>
      <c r="AA72"/>
      <c r="AB72"/>
      <c r="AC72"/>
      <c r="AD72"/>
      <c r="AE72"/>
      <c r="AF72"/>
      <c r="AG72"/>
      <c r="AP72" s="133">
        <v>150</v>
      </c>
      <c r="AQ72" s="133">
        <v>905.7754950793678</v>
      </c>
      <c r="AR72" s="133">
        <v>1081.0568587235657</v>
      </c>
      <c r="AS72" s="133">
        <v>2473.82844142638</v>
      </c>
      <c r="AT72" s="133">
        <v>3109.5293083538722</v>
      </c>
      <c r="AU72" s="139">
        <v>150</v>
      </c>
      <c r="AV72" s="135">
        <f t="shared" si="39"/>
        <v>1495.617104151945</v>
      </c>
      <c r="AW72" s="119"/>
      <c r="AX72" s="119"/>
      <c r="AY72" s="119"/>
      <c r="AZ72" s="133">
        <v>150</v>
      </c>
      <c r="BA72" s="133">
        <v>553.7994863928578</v>
      </c>
      <c r="BB72" s="133">
        <v>652.1776598128265</v>
      </c>
      <c r="BC72" s="133">
        <v>1767.9460884852035</v>
      </c>
      <c r="BD72" s="133">
        <v>2231.8470898467795</v>
      </c>
      <c r="BE72" s="139">
        <v>150</v>
      </c>
      <c r="BF72" s="135">
        <f t="shared" si="40"/>
        <v>990.4276037986247</v>
      </c>
      <c r="BJ72">
        <v>150</v>
      </c>
      <c r="BK72" s="194">
        <v>132.28830940521536</v>
      </c>
      <c r="BL72" s="194">
        <v>189.53999414005276</v>
      </c>
      <c r="BM72" s="194">
        <v>741.0196308233226</v>
      </c>
      <c r="BN72" s="194">
        <v>952.4172282449458</v>
      </c>
      <c r="BO72" s="139">
        <v>150</v>
      </c>
      <c r="BP72" s="135">
        <f t="shared" si="41"/>
        <v>354.10342806914736</v>
      </c>
    </row>
    <row r="73" spans="1:68" ht="16.5" thickBot="1">
      <c r="A73" s="122" t="s">
        <v>223</v>
      </c>
      <c r="B73" s="122">
        <v>3050</v>
      </c>
      <c r="C73" s="122">
        <v>4396</v>
      </c>
      <c r="D73" s="122">
        <v>6472</v>
      </c>
      <c r="E73" s="256">
        <f>SUMPRODUCT($C$2:$E$2,B73:D73)</f>
        <v>4591.28</v>
      </c>
      <c r="F73"/>
      <c r="G73"/>
      <c r="H73"/>
      <c r="I73"/>
      <c r="J73"/>
      <c r="K73"/>
      <c r="L73"/>
      <c r="M73"/>
      <c r="N73"/>
      <c r="O73"/>
      <c r="P73"/>
      <c r="Q73"/>
      <c r="R73"/>
      <c r="S73"/>
      <c r="T73"/>
      <c r="U73"/>
      <c r="V73"/>
      <c r="W73"/>
      <c r="X73"/>
      <c r="Y73"/>
      <c r="Z73"/>
      <c r="AA73"/>
      <c r="AB73"/>
      <c r="AC73"/>
      <c r="AD73"/>
      <c r="AE73"/>
      <c r="AF73"/>
      <c r="AG73"/>
      <c r="AP73" s="133">
        <v>140</v>
      </c>
      <c r="AQ73" s="133">
        <v>697.0234914944589</v>
      </c>
      <c r="AR73" s="133">
        <v>829.9408834732252</v>
      </c>
      <c r="AS73" s="133">
        <v>2065.6314093173164</v>
      </c>
      <c r="AT73" s="133">
        <v>2625.42872408266</v>
      </c>
      <c r="AU73" s="139">
        <v>140</v>
      </c>
      <c r="AV73" s="135">
        <f t="shared" si="39"/>
        <v>1202.0544285689666</v>
      </c>
      <c r="AW73" s="119"/>
      <c r="AX73" s="119"/>
      <c r="AY73" s="119"/>
      <c r="AZ73" s="133">
        <v>140</v>
      </c>
      <c r="BA73" s="133">
        <v>397.4767756501956</v>
      </c>
      <c r="BB73" s="133">
        <v>470.5192947381121</v>
      </c>
      <c r="BC73" s="133">
        <v>1449.0270764033714</v>
      </c>
      <c r="BD73" s="133">
        <v>1834.887368366626</v>
      </c>
      <c r="BE73" s="139">
        <v>140</v>
      </c>
      <c r="BF73" s="135">
        <f t="shared" si="40"/>
        <v>768.7561400182693</v>
      </c>
      <c r="BJ73">
        <v>140</v>
      </c>
      <c r="BK73" s="194">
        <v>75.21242308819221</v>
      </c>
      <c r="BL73" s="194">
        <v>121.8283035452681</v>
      </c>
      <c r="BM73" s="194">
        <v>550.8057427483153</v>
      </c>
      <c r="BN73" s="194">
        <v>734.1927922648697</v>
      </c>
      <c r="BO73" s="139">
        <v>140</v>
      </c>
      <c r="BP73" s="135">
        <f t="shared" si="41"/>
        <v>250.36771169059483</v>
      </c>
    </row>
    <row r="74" spans="1:68" ht="15.75" thickBot="1">
      <c r="A74" s="126" t="s">
        <v>205</v>
      </c>
      <c r="B74" s="127">
        <f>VLOOKUP($A74,$A$5:$K$27,6,FALSE)</f>
        <v>58.688</v>
      </c>
      <c r="C74" s="127">
        <f>VLOOKUP($A74,$A$5:$K$27,7,FALSE)</f>
        <v>57.456</v>
      </c>
      <c r="D74" s="127">
        <f>VLOOKUP($A74,$A$5:$K$27,8,FALSE)</f>
        <v>59.304</v>
      </c>
      <c r="F74"/>
      <c r="G74"/>
      <c r="H74"/>
      <c r="I74"/>
      <c r="J74"/>
      <c r="K74"/>
      <c r="L74"/>
      <c r="M74"/>
      <c r="N74"/>
      <c r="O74"/>
      <c r="P74"/>
      <c r="Q74"/>
      <c r="R74"/>
      <c r="S74"/>
      <c r="T74"/>
      <c r="U74"/>
      <c r="V74"/>
      <c r="W74"/>
      <c r="X74"/>
      <c r="Y74"/>
      <c r="Z74"/>
      <c r="AA74"/>
      <c r="AB74"/>
      <c r="AC74"/>
      <c r="AD74"/>
      <c r="AE74"/>
      <c r="AF74"/>
      <c r="AG74"/>
      <c r="AP74" s="133">
        <v>130</v>
      </c>
      <c r="AQ74" s="133">
        <v>505.9202702469796</v>
      </c>
      <c r="AR74" s="133">
        <v>596.9907447303564</v>
      </c>
      <c r="AS74" s="133">
        <v>1679.3919442960307</v>
      </c>
      <c r="AT74" s="133">
        <v>2157.6670515847713</v>
      </c>
      <c r="AU74" s="139">
        <v>130</v>
      </c>
      <c r="AV74" s="135">
        <f t="shared" si="39"/>
        <v>927.4107650678204</v>
      </c>
      <c r="AW74" s="119"/>
      <c r="AX74" s="119"/>
      <c r="AY74" s="119"/>
      <c r="AZ74" s="133">
        <v>130</v>
      </c>
      <c r="BA74" s="133">
        <v>259.9403664190552</v>
      </c>
      <c r="BB74" s="133">
        <v>321.67663432205586</v>
      </c>
      <c r="BC74" s="133">
        <v>1145.4473380327813</v>
      </c>
      <c r="BD74" s="133">
        <v>1458.7476948001586</v>
      </c>
      <c r="BE74" s="139">
        <v>130</v>
      </c>
      <c r="BF74" s="135">
        <f t="shared" si="40"/>
        <v>572.1256096930422</v>
      </c>
      <c r="BJ74">
        <v>130</v>
      </c>
      <c r="BK74" s="194">
        <v>43.21711104600059</v>
      </c>
      <c r="BL74" s="194">
        <v>66.4518019337826</v>
      </c>
      <c r="BM74" s="194">
        <v>390.30178728391445</v>
      </c>
      <c r="BN74" s="194">
        <v>538.3240550835043</v>
      </c>
      <c r="BO74" s="139">
        <v>130</v>
      </c>
      <c r="BP74" s="135">
        <f t="shared" si="41"/>
        <v>166.36097275124524</v>
      </c>
    </row>
    <row r="75" spans="1:68" ht="15.75" thickBot="1">
      <c r="A75" s="126" t="s">
        <v>176</v>
      </c>
      <c r="B75" s="127">
        <f aca="true" t="shared" si="42" ref="B75:B80">VLOOKUP($A75,$A$5:$K$27,6,FALSE)</f>
        <v>14.799999999999999</v>
      </c>
      <c r="C75" s="127">
        <f aca="true" t="shared" si="43" ref="C75:C80">VLOOKUP($A75,$A$5:$K$27,7,FALSE)</f>
        <v>33.596</v>
      </c>
      <c r="D75" s="127">
        <f aca="true" t="shared" si="44" ref="D75:D80">VLOOKUP($A75,$A$5:$K$27,8,FALSE)</f>
        <v>40.403999999999996</v>
      </c>
      <c r="F75"/>
      <c r="G75"/>
      <c r="H75"/>
      <c r="I75"/>
      <c r="J75"/>
      <c r="K75"/>
      <c r="L75"/>
      <c r="M75"/>
      <c r="N75"/>
      <c r="O75"/>
      <c r="P75"/>
      <c r="Q75"/>
      <c r="R75"/>
      <c r="S75"/>
      <c r="T75"/>
      <c r="U75"/>
      <c r="V75"/>
      <c r="W75"/>
      <c r="X75"/>
      <c r="Y75"/>
      <c r="Z75"/>
      <c r="AA75"/>
      <c r="AB75"/>
      <c r="AC75"/>
      <c r="AD75"/>
      <c r="AE75"/>
      <c r="AF75"/>
      <c r="AG75"/>
      <c r="AP75" s="133">
        <v>120</v>
      </c>
      <c r="AQ75" s="133">
        <v>341.80727667568647</v>
      </c>
      <c r="AR75" s="133">
        <v>403.0264904086452</v>
      </c>
      <c r="AS75" s="133">
        <v>1323.2450319711832</v>
      </c>
      <c r="AT75" s="133">
        <v>1709.2776753244516</v>
      </c>
      <c r="AU75" s="139">
        <v>120</v>
      </c>
      <c r="AV75" s="135">
        <f t="shared" si="39"/>
        <v>686.1498422984782</v>
      </c>
      <c r="AW75" s="119"/>
      <c r="AX75" s="119"/>
      <c r="AY75" s="119"/>
      <c r="AZ75" s="133">
        <v>120</v>
      </c>
      <c r="BA75" s="133">
        <v>153.56508850243875</v>
      </c>
      <c r="BB75" s="133">
        <v>198.4109201840713</v>
      </c>
      <c r="BC75" s="133">
        <v>858.6201547715484</v>
      </c>
      <c r="BD75" s="133">
        <v>1109.2880164078524</v>
      </c>
      <c r="BE75" s="139">
        <v>120</v>
      </c>
      <c r="BF75" s="135">
        <f t="shared" si="40"/>
        <v>400.03791730580315</v>
      </c>
      <c r="BJ75">
        <v>120</v>
      </c>
      <c r="BK75" s="194">
        <v>17.14034573688837</v>
      </c>
      <c r="BL75" s="194">
        <v>26.662760035159685</v>
      </c>
      <c r="BM75" s="194">
        <v>248.901259888661</v>
      </c>
      <c r="BN75" s="194">
        <v>373.8939349545854</v>
      </c>
      <c r="BO75" s="139">
        <v>120</v>
      </c>
      <c r="BP75" s="135">
        <f t="shared" si="41"/>
        <v>97.67946088485203</v>
      </c>
    </row>
    <row r="76" spans="1:68" ht="15">
      <c r="A76" s="126" t="s">
        <v>213</v>
      </c>
      <c r="B76" s="127">
        <f t="shared" si="42"/>
        <v>24.104</v>
      </c>
      <c r="C76" s="127">
        <f t="shared" si="43"/>
        <v>30.36</v>
      </c>
      <c r="D76" s="127">
        <v>59</v>
      </c>
      <c r="F76"/>
      <c r="G76"/>
      <c r="H76"/>
      <c r="I76"/>
      <c r="J76"/>
      <c r="K76"/>
      <c r="L76"/>
      <c r="M76"/>
      <c r="N76"/>
      <c r="O76"/>
      <c r="P76"/>
      <c r="Q76"/>
      <c r="R76"/>
      <c r="S76"/>
      <c r="T76"/>
      <c r="U76"/>
      <c r="V76"/>
      <c r="W76"/>
      <c r="X76"/>
      <c r="Y76"/>
      <c r="Z76"/>
      <c r="AA76"/>
      <c r="AB76"/>
      <c r="AC76"/>
      <c r="AD76"/>
      <c r="AE76"/>
      <c r="AF76"/>
      <c r="AG76"/>
      <c r="AP76" s="133">
        <v>110</v>
      </c>
      <c r="AQ76" s="133">
        <v>207.30425190879166</v>
      </c>
      <c r="AR76" s="133">
        <v>246.66930938798023</v>
      </c>
      <c r="AS76" s="133">
        <v>999.0520673549233</v>
      </c>
      <c r="AT76" s="133">
        <v>1300.4257079333347</v>
      </c>
      <c r="AU76" s="139">
        <v>110</v>
      </c>
      <c r="AV76" s="135">
        <f t="shared" si="39"/>
        <v>479.57980731114606</v>
      </c>
      <c r="AW76" s="119"/>
      <c r="AX76" s="119"/>
      <c r="AY76" s="119"/>
      <c r="AZ76" s="133">
        <v>110</v>
      </c>
      <c r="BA76" s="133">
        <v>79.79869357646369</v>
      </c>
      <c r="BB76" s="133">
        <v>101.30814705020595</v>
      </c>
      <c r="BC76" s="133">
        <v>599.3347236345462</v>
      </c>
      <c r="BD76" s="133">
        <v>795.3671946364248</v>
      </c>
      <c r="BE76" s="139">
        <v>110</v>
      </c>
      <c r="BF76" s="135">
        <f t="shared" si="40"/>
        <v>256.2158528808535</v>
      </c>
      <c r="BO76" s="139">
        <v>110</v>
      </c>
      <c r="BP76" s="135">
        <f t="shared" si="41"/>
        <v>0</v>
      </c>
    </row>
    <row r="77" spans="1:48" ht="15">
      <c r="A77" s="126" t="s">
        <v>214</v>
      </c>
      <c r="B77" s="127">
        <f t="shared" si="42"/>
        <v>69.3</v>
      </c>
      <c r="C77" s="127">
        <f t="shared" si="43"/>
        <v>117.6</v>
      </c>
      <c r="D77" s="127">
        <v>103</v>
      </c>
      <c r="F77"/>
      <c r="G77"/>
      <c r="H77"/>
      <c r="I77"/>
      <c r="J77"/>
      <c r="K77"/>
      <c r="L77"/>
      <c r="M77"/>
      <c r="N77"/>
      <c r="O77"/>
      <c r="P77"/>
      <c r="Q77"/>
      <c r="R77"/>
      <c r="S77"/>
      <c r="T77"/>
      <c r="U77"/>
      <c r="V77"/>
      <c r="W77"/>
      <c r="X77"/>
      <c r="Y77"/>
      <c r="Z77"/>
      <c r="AA77"/>
      <c r="AB77"/>
      <c r="AC77"/>
      <c r="AD77"/>
      <c r="AE77"/>
      <c r="AF77"/>
      <c r="AG77"/>
      <c r="AU77"/>
      <c r="AV77"/>
    </row>
    <row r="78" spans="1:33" ht="15">
      <c r="A78" s="126" t="s">
        <v>217</v>
      </c>
      <c r="B78" s="127">
        <f t="shared" si="42"/>
        <v>55.68</v>
      </c>
      <c r="C78" s="127">
        <f t="shared" si="43"/>
        <v>94.08</v>
      </c>
      <c r="D78" s="127">
        <f t="shared" si="44"/>
        <v>169.44</v>
      </c>
      <c r="F78"/>
      <c r="G78"/>
      <c r="H78"/>
      <c r="I78"/>
      <c r="J78"/>
      <c r="K78"/>
      <c r="L78"/>
      <c r="M78"/>
      <c r="N78"/>
      <c r="O78"/>
      <c r="P78"/>
      <c r="Q78"/>
      <c r="R78"/>
      <c r="S78"/>
      <c r="T78"/>
      <c r="U78"/>
      <c r="V78"/>
      <c r="W78"/>
      <c r="X78"/>
      <c r="Y78"/>
      <c r="Z78"/>
      <c r="AA78"/>
      <c r="AB78"/>
      <c r="AC78"/>
      <c r="AD78"/>
      <c r="AE78"/>
      <c r="AF78"/>
      <c r="AG78"/>
    </row>
    <row r="79" spans="1:30" ht="15">
      <c r="A79" s="137" t="s">
        <v>221</v>
      </c>
      <c r="B79" s="127">
        <f t="shared" si="42"/>
        <v>7.22</v>
      </c>
      <c r="C79" s="127">
        <f t="shared" si="43"/>
        <v>7.22</v>
      </c>
      <c r="D79" s="127">
        <f t="shared" si="44"/>
        <v>11.02</v>
      </c>
      <c r="F79"/>
      <c r="G79"/>
      <c r="H79"/>
      <c r="I79"/>
      <c r="J79"/>
      <c r="K79"/>
      <c r="L79"/>
      <c r="M79"/>
      <c r="N79"/>
      <c r="O79"/>
      <c r="P79"/>
      <c r="Q79"/>
      <c r="R79"/>
      <c r="S79"/>
      <c r="T79"/>
      <c r="U79"/>
      <c r="V79"/>
      <c r="W79"/>
      <c r="X79"/>
      <c r="Y79"/>
      <c r="Z79"/>
      <c r="AA79"/>
      <c r="AB79"/>
      <c r="AC79"/>
      <c r="AD79"/>
    </row>
    <row r="80" spans="1:29" ht="15.75">
      <c r="A80" s="138" t="s">
        <v>220</v>
      </c>
      <c r="B80" s="127">
        <f t="shared" si="42"/>
        <v>47.73383999999999</v>
      </c>
      <c r="C80" s="127">
        <f t="shared" si="43"/>
        <v>81.00287999999998</v>
      </c>
      <c r="D80" s="127">
        <f t="shared" si="44"/>
        <v>121.50431999999996</v>
      </c>
      <c r="F80"/>
      <c r="G80"/>
      <c r="H80"/>
      <c r="I80"/>
      <c r="J80"/>
      <c r="K80"/>
      <c r="L80"/>
      <c r="S80" s="116"/>
      <c r="T80" s="116"/>
      <c r="Y80" s="141"/>
      <c r="Z80" s="127"/>
      <c r="AA80" s="121"/>
      <c r="AB80" s="116"/>
      <c r="AC80" s="116"/>
    </row>
    <row r="81" spans="1:29" ht="15.75">
      <c r="A81" s="122" t="s">
        <v>228</v>
      </c>
      <c r="B81" s="116">
        <f>SUM(B74:B80)</f>
        <v>277.52584</v>
      </c>
      <c r="C81" s="116">
        <f>SUM(C74:C80)</f>
        <v>421.31488</v>
      </c>
      <c r="D81" s="116">
        <f>SUM(D74:D80)</f>
        <v>563.6723199999999</v>
      </c>
      <c r="E81" s="256">
        <f>SUMPRODUCT($C$2:$E$2,B81:D81)</f>
        <v>432.6462111999999</v>
      </c>
      <c r="F81"/>
      <c r="G81"/>
      <c r="H81"/>
      <c r="I81"/>
      <c r="J81"/>
      <c r="K81"/>
      <c r="L81"/>
      <c r="M81"/>
      <c r="N81"/>
      <c r="O81"/>
      <c r="P81"/>
      <c r="Q81"/>
      <c r="R81"/>
      <c r="S81"/>
      <c r="T81"/>
      <c r="Y81" s="141"/>
      <c r="Z81" s="127"/>
      <c r="AA81" s="121"/>
      <c r="AB81" s="116"/>
      <c r="AC81" s="116"/>
    </row>
    <row r="82" spans="1:20" ht="15.75">
      <c r="A82" s="122" t="s">
        <v>229</v>
      </c>
      <c r="B82" s="116">
        <f ca="1">IF(ISNA(INDEX($AU$7:$AV$76,MATCH(B81,$AU$7:$AU$76,0),1)),TREND(OFFSET(INDEX($AU$7:$AV$76,MATCH(B81,$AU$7:$AU$76,-1),2),0,0,2,1),OFFSET(INDEX($AU$7:$AV$76,MATCH(B81,$AU$7:$AU$76,-1),1),0,0,2,1),B81),INDEX($AU$7:$AV$76,MATCH(B81,$AU$7:$AU$76,0),2))</f>
        <v>6241.464630971581</v>
      </c>
      <c r="C82" s="116">
        <f ca="1">IF(ISNA(INDEX($BE$7:$BF$76,MATCH(C81,$BE$7:$BE$76,0),1)),TREND(OFFSET(INDEX($BE$7:$BF$76,MATCH(C81,$BE$7:$BE$76,-1),2),0,0,2,1),OFFSET(INDEX($BE$7:$BF$76,MATCH(C81,$BE$7:$BE$76,-1),1),0,0,2,1),C81),INDEX($BE$7:$BF$76,MATCH(C81,$BE$7:$BE$76,0),2))</f>
        <v>10949.105373351123</v>
      </c>
      <c r="D82" s="116">
        <f ca="1">IF(ISNA(INDEX($BO$7:$BP$76,MATCH(D81,$BO$7:$BO$76,0),1)),TREND(OFFSET(INDEX($BO$7:$BP$76,MATCH(D81,$BO$7:$BO$76,-1),2),0,0,2,1),OFFSET(INDEX($BO$7:$BP$76,MATCH(D81,$BO$7:$BO$76,-1),1),0,0,2,1),D81),INDEX($BO$7:$BP$76,MATCH(D81,$BO$7:$BO$76,0),2))</f>
        <v>11927.7883610196</v>
      </c>
      <c r="E82" s="256">
        <f>SUMPRODUCT($C$2:$E$2,B82:D82)</f>
        <v>10878.241702176158</v>
      </c>
      <c r="F82"/>
      <c r="G82"/>
      <c r="H82"/>
      <c r="I82"/>
      <c r="J82"/>
      <c r="K82"/>
      <c r="L82"/>
      <c r="M82"/>
      <c r="N82"/>
      <c r="O82"/>
      <c r="P82"/>
      <c r="Q82"/>
      <c r="R82"/>
      <c r="S82"/>
      <c r="T82"/>
    </row>
    <row r="83" spans="1:29" ht="15.75">
      <c r="A83" s="142" t="s">
        <v>230</v>
      </c>
      <c r="B83" s="143">
        <f>(B81-B80)/B73</f>
        <v>0.0753416393442623</v>
      </c>
      <c r="C83" s="143">
        <f>(C81-C80)/C73</f>
        <v>0.07741401273885351</v>
      </c>
      <c r="D83" s="143">
        <f>(D81-D80)/D73</f>
        <v>0.06832014833127317</v>
      </c>
      <c r="E83" s="257">
        <f>SUMPRODUCT($C$2:$E$2,B83:D83)</f>
        <v>0.07623985407416022</v>
      </c>
      <c r="F83"/>
      <c r="G83"/>
      <c r="H83"/>
      <c r="I83"/>
      <c r="J83"/>
      <c r="K83"/>
      <c r="L83"/>
      <c r="M83"/>
      <c r="N83"/>
      <c r="O83"/>
      <c r="P83"/>
      <c r="Q83"/>
      <c r="R83"/>
      <c r="S83"/>
      <c r="T83"/>
      <c r="AB83"/>
      <c r="AC83"/>
    </row>
    <row r="84" spans="1:29" ht="15">
      <c r="A84"/>
      <c r="B84"/>
      <c r="C84"/>
      <c r="D84"/>
      <c r="E84"/>
      <c r="F84"/>
      <c r="G84"/>
      <c r="H84"/>
      <c r="I84"/>
      <c r="J84"/>
      <c r="K84"/>
      <c r="L84"/>
      <c r="M84"/>
      <c r="N84"/>
      <c r="O84"/>
      <c r="P84"/>
      <c r="Q84"/>
      <c r="R84"/>
      <c r="S84"/>
      <c r="T84"/>
      <c r="AB84"/>
      <c r="AC84"/>
    </row>
    <row r="85" spans="1:29" ht="15">
      <c r="A85"/>
      <c r="B85"/>
      <c r="C85"/>
      <c r="D85"/>
      <c r="E85"/>
      <c r="F85"/>
      <c r="G85"/>
      <c r="H85"/>
      <c r="I85"/>
      <c r="J85"/>
      <c r="K85"/>
      <c r="L85"/>
      <c r="M85"/>
      <c r="N85"/>
      <c r="O85"/>
      <c r="P85"/>
      <c r="Q85"/>
      <c r="R85"/>
      <c r="S85"/>
      <c r="T85"/>
      <c r="AB85"/>
      <c r="AC85"/>
    </row>
    <row r="86" spans="1:29" ht="15.75">
      <c r="A86" s="149" t="s">
        <v>270</v>
      </c>
      <c r="B86" s="122">
        <v>924</v>
      </c>
      <c r="C86" s="122">
        <v>1568</v>
      </c>
      <c r="D86" s="116">
        <v>2352</v>
      </c>
      <c r="E86" s="256">
        <f>SUMPRODUCT($C$2:$E$2,B86:D86)</f>
        <v>1636.32</v>
      </c>
      <c r="F86"/>
      <c r="G86"/>
      <c r="H86"/>
      <c r="I86"/>
      <c r="J86"/>
      <c r="K86"/>
      <c r="L86"/>
      <c r="M86"/>
      <c r="N86"/>
      <c r="O86"/>
      <c r="P86"/>
      <c r="Q86"/>
      <c r="R86"/>
      <c r="S86"/>
      <c r="T86"/>
      <c r="AB86"/>
      <c r="AC86"/>
    </row>
    <row r="87" spans="1:29" ht="15.75">
      <c r="A87" s="122" t="s">
        <v>223</v>
      </c>
      <c r="B87" s="122">
        <v>3050</v>
      </c>
      <c r="C87" s="122">
        <v>4396</v>
      </c>
      <c r="D87" s="122">
        <v>6472</v>
      </c>
      <c r="E87" s="256">
        <f>SUMPRODUCT($C$2:$E$2,B87:D87)</f>
        <v>4591.28</v>
      </c>
      <c r="F87"/>
      <c r="G87"/>
      <c r="H87"/>
      <c r="I87"/>
      <c r="J87"/>
      <c r="K87"/>
      <c r="L87"/>
      <c r="M87"/>
      <c r="N87"/>
      <c r="O87"/>
      <c r="P87"/>
      <c r="Q87"/>
      <c r="R87"/>
      <c r="S87"/>
      <c r="T87"/>
      <c r="AB87"/>
      <c r="AC87"/>
    </row>
    <row r="88" spans="1:29" ht="15">
      <c r="A88" s="126" t="s">
        <v>205</v>
      </c>
      <c r="B88" s="127">
        <f>VLOOKUP($A88,$A$5:$K$27,6,FALSE)</f>
        <v>58.688</v>
      </c>
      <c r="C88" s="127">
        <f>VLOOKUP($A88,$A$5:$K$27,7,FALSE)</f>
        <v>57.456</v>
      </c>
      <c r="D88" s="127">
        <f>VLOOKUP($A88,$A$5:$K$27,8,FALSE)</f>
        <v>59.304</v>
      </c>
      <c r="F88" t="s">
        <v>293</v>
      </c>
      <c r="G88"/>
      <c r="H88"/>
      <c r="I88"/>
      <c r="J88"/>
      <c r="K88"/>
      <c r="L88"/>
      <c r="M88"/>
      <c r="N88"/>
      <c r="O88"/>
      <c r="P88"/>
      <c r="Q88"/>
      <c r="R88"/>
      <c r="S88"/>
      <c r="T88"/>
      <c r="AB88"/>
      <c r="AC88"/>
    </row>
    <row r="89" spans="1:29" ht="15">
      <c r="A89" s="126" t="s">
        <v>212</v>
      </c>
      <c r="B89" s="127">
        <f aca="true" t="shared" si="45" ref="B89:B94">VLOOKUP($A89,$A$5:$K$27,6,FALSE)</f>
        <v>18</v>
      </c>
      <c r="C89" s="127">
        <f aca="true" t="shared" si="46" ref="C89:C94">VLOOKUP($A89,$A$5:$K$27,7,FALSE)</f>
        <v>40.86</v>
      </c>
      <c r="D89" s="127">
        <f>VLOOKUP(F89,$A$5:$K$27,8,FALSE)</f>
        <v>40.403999999999996</v>
      </c>
      <c r="F89" s="278" t="s">
        <v>176</v>
      </c>
      <c r="G89"/>
      <c r="H89"/>
      <c r="I89"/>
      <c r="J89"/>
      <c r="K89"/>
      <c r="L89"/>
      <c r="M89"/>
      <c r="T89"/>
      <c r="AB89"/>
      <c r="AC89"/>
    </row>
    <row r="90" spans="1:29" ht="15">
      <c r="A90" s="126" t="s">
        <v>213</v>
      </c>
      <c r="B90" s="127">
        <f t="shared" si="45"/>
        <v>24.104</v>
      </c>
      <c r="C90" s="127">
        <f t="shared" si="46"/>
        <v>30.36</v>
      </c>
      <c r="D90" s="127">
        <f>VLOOKUP(F90,$A$5:$K$27,8,FALSE)</f>
        <v>59.204</v>
      </c>
      <c r="F90" s="278" t="s">
        <v>177</v>
      </c>
      <c r="G90"/>
      <c r="H90"/>
      <c r="I90"/>
      <c r="J90"/>
      <c r="K90"/>
      <c r="L90"/>
      <c r="M90"/>
      <c r="S90"/>
      <c r="T90"/>
      <c r="AB90"/>
      <c r="AC90"/>
    </row>
    <row r="91" spans="1:29" ht="15">
      <c r="A91" s="126" t="s">
        <v>215</v>
      </c>
      <c r="B91" s="127">
        <f t="shared" si="45"/>
        <v>40.656</v>
      </c>
      <c r="C91" s="127">
        <f t="shared" si="46"/>
        <v>68.99199999999999</v>
      </c>
      <c r="D91" s="127">
        <f>VLOOKUP($A91,$A$5:$K$27,8,FALSE)</f>
        <v>103.488</v>
      </c>
      <c r="F91"/>
      <c r="G91"/>
      <c r="H91"/>
      <c r="I91"/>
      <c r="J91"/>
      <c r="K91"/>
      <c r="L91"/>
      <c r="M91"/>
      <c r="S91"/>
      <c r="T91"/>
      <c r="AB91"/>
      <c r="AC91"/>
    </row>
    <row r="92" spans="1:29" ht="15">
      <c r="A92" s="126" t="s">
        <v>217</v>
      </c>
      <c r="B92" s="127">
        <f t="shared" si="45"/>
        <v>55.68</v>
      </c>
      <c r="C92" s="127">
        <f t="shared" si="46"/>
        <v>94.08</v>
      </c>
      <c r="D92" s="127">
        <f>VLOOKUP($A92,$A$5:$K$27,8,FALSE)</f>
        <v>169.44</v>
      </c>
      <c r="F92"/>
      <c r="G92"/>
      <c r="H92"/>
      <c r="I92"/>
      <c r="J92"/>
      <c r="K92"/>
      <c r="L92"/>
      <c r="M92"/>
      <c r="N92" s="115"/>
      <c r="S92"/>
      <c r="T92"/>
      <c r="AB92"/>
      <c r="AC92"/>
    </row>
    <row r="93" spans="1:29" ht="15">
      <c r="A93" s="138" t="s">
        <v>221</v>
      </c>
      <c r="B93" s="127">
        <f t="shared" si="45"/>
        <v>7.22</v>
      </c>
      <c r="C93" s="127">
        <f t="shared" si="46"/>
        <v>7.22</v>
      </c>
      <c r="D93" s="127">
        <f>VLOOKUP($A93,$A$5:$K$27,8,FALSE)</f>
        <v>11.02</v>
      </c>
      <c r="F93"/>
      <c r="G93"/>
      <c r="H93"/>
      <c r="I93"/>
      <c r="J93"/>
      <c r="K93"/>
      <c r="L93"/>
      <c r="M93"/>
      <c r="N93" s="115"/>
      <c r="S93"/>
      <c r="T93"/>
      <c r="AB93"/>
      <c r="AC93"/>
    </row>
    <row r="94" spans="1:29" ht="15">
      <c r="A94" s="138" t="s">
        <v>220</v>
      </c>
      <c r="B94" s="127">
        <f t="shared" si="45"/>
        <v>47.73383999999999</v>
      </c>
      <c r="C94" s="127">
        <f t="shared" si="46"/>
        <v>81.00287999999998</v>
      </c>
      <c r="D94" s="127">
        <f>VLOOKUP($A94,$A$5:$K$27,8,FALSE)</f>
        <v>121.50431999999996</v>
      </c>
      <c r="J94" s="141"/>
      <c r="K94" s="141"/>
      <c r="L94" s="141"/>
      <c r="M94"/>
      <c r="N94"/>
      <c r="S94"/>
      <c r="T94"/>
      <c r="AB94"/>
      <c r="AC94"/>
    </row>
    <row r="95" spans="1:29" ht="15.75">
      <c r="A95" s="122" t="s">
        <v>228</v>
      </c>
      <c r="B95" s="116">
        <f>SUM(B88:B94)</f>
        <v>252.08184</v>
      </c>
      <c r="C95" s="116">
        <f>SUM(C88:C94)</f>
        <v>379.97087999999997</v>
      </c>
      <c r="D95" s="116">
        <f>SUM(D88:D94)</f>
        <v>564.3643199999999</v>
      </c>
      <c r="E95" s="256">
        <f>SUMPRODUCT($C$2:$E$2,B95:D95)</f>
        <v>396.9825311999999</v>
      </c>
      <c r="F95"/>
      <c r="G95"/>
      <c r="H95"/>
      <c r="I95"/>
      <c r="J95"/>
      <c r="K95"/>
      <c r="L95"/>
      <c r="N95"/>
      <c r="S95"/>
      <c r="T95"/>
      <c r="AB95"/>
      <c r="AC95"/>
    </row>
    <row r="96" spans="1:29" ht="15.75">
      <c r="A96" s="122" t="s">
        <v>229</v>
      </c>
      <c r="B96" s="116">
        <f ca="1">IF(ISNA(INDEX($AU$7:$AV$76,MATCH(B95,$AU$7:$AU$76,0),1)),TREND(OFFSET(INDEX($AU$7:$AV$76,MATCH(B95,$AU$7:$AU$76,-1),2),0,0,2,1),OFFSET(INDEX($AU$7:$AV$76,MATCH(B95,$AU$7:$AU$76,-1),1),0,0,2,1),B95),INDEX($AU$7:$AV$76,MATCH(B95,$AU$7:$AU$76,0),2))</f>
        <v>5211.826891601322</v>
      </c>
      <c r="C96" s="116">
        <f ca="1">IF(ISNA(INDEX($BE$7:$BF$76,MATCH(C95,$BE$7:$BE$76,0),1)),TREND(OFFSET(INDEX($BE$7:$BF$76,MATCH(C95,$BE$7:$BE$76,-1),2),0,0,2,1),OFFSET(INDEX($BE$7:$BF$76,MATCH(C95,$BE$7:$BE$76,-1),1),0,0,2,1),C95),INDEX($BE$7:$BF$76,MATCH(C95,$BE$7:$BE$76,0),2))</f>
        <v>9214.262020385719</v>
      </c>
      <c r="D96" s="116">
        <f ca="1">IF(ISNA(INDEX($BO$7:$BP$76,MATCH(D95,$BO$7:$BO$76,0),1)),TREND(OFFSET(INDEX($BO$7:$BP$76,MATCH(D95,$BO$7:$BO$76,-1),2),0,0,2,1),OFFSET(INDEX($BO$7:$BP$76,MATCH(D95,$BO$7:$BO$76,-1),1),0,0,2,1),D95),INDEX($BO$7:$BP$76,MATCH(D95,$BO$7:$BO$76,0),2))</f>
        <v>11952.080947014343</v>
      </c>
      <c r="E96" s="256">
        <f>SUMPRODUCT($C$2:$E$2,B96:D96)</f>
        <v>9382.702886429777</v>
      </c>
      <c r="F96"/>
      <c r="G96" s="93"/>
      <c r="H96" s="93"/>
      <c r="I96"/>
      <c r="J96"/>
      <c r="K96"/>
      <c r="L96"/>
      <c r="N96"/>
      <c r="S96"/>
      <c r="T96"/>
      <c r="AB96"/>
      <c r="AC96"/>
    </row>
    <row r="97" spans="1:29" ht="15.75">
      <c r="A97" s="142" t="s">
        <v>230</v>
      </c>
      <c r="B97" s="143">
        <f>(B95-B94)/B87</f>
        <v>0.06699934426229509</v>
      </c>
      <c r="C97" s="143">
        <f>(C95-C94)/C87</f>
        <v>0.0680090991810737</v>
      </c>
      <c r="D97" s="143">
        <f>(D95-D94)/D87</f>
        <v>0.06842707045735476</v>
      </c>
      <c r="E97" s="257">
        <f>SUMPRODUCT($C$2:$E$2,B97:D97)</f>
        <v>0.06801886553747628</v>
      </c>
      <c r="F97"/>
      <c r="G97"/>
      <c r="H97"/>
      <c r="I97"/>
      <c r="J97"/>
      <c r="K97"/>
      <c r="L97"/>
      <c r="N97"/>
      <c r="S97"/>
      <c r="T97"/>
      <c r="AB97"/>
      <c r="AC97"/>
    </row>
    <row r="98" spans="1:29" ht="15.75">
      <c r="A98" s="142"/>
      <c r="B98" s="143"/>
      <c r="C98" s="143"/>
      <c r="D98" s="144"/>
      <c r="E98" s="144"/>
      <c r="F98"/>
      <c r="G98"/>
      <c r="H98"/>
      <c r="I98"/>
      <c r="J98"/>
      <c r="K98"/>
      <c r="L98"/>
      <c r="M98" s="115"/>
      <c r="N98"/>
      <c r="S98"/>
      <c r="T98"/>
      <c r="AB98"/>
      <c r="AC98"/>
    </row>
    <row r="99" spans="1:29" ht="15.75">
      <c r="A99" s="142"/>
      <c r="B99" s="143"/>
      <c r="C99" s="143"/>
      <c r="D99" s="144"/>
      <c r="E99" s="144"/>
      <c r="F99"/>
      <c r="G99"/>
      <c r="H99"/>
      <c r="I99"/>
      <c r="J99"/>
      <c r="K99"/>
      <c r="L99"/>
      <c r="M99"/>
      <c r="N99"/>
      <c r="S99"/>
      <c r="T99"/>
      <c r="AB99"/>
      <c r="AC99"/>
    </row>
    <row r="100" spans="1:29" ht="15.75">
      <c r="A100" s="149" t="s">
        <v>271</v>
      </c>
      <c r="B100" s="122">
        <v>924</v>
      </c>
      <c r="C100" s="122">
        <v>1568</v>
      </c>
      <c r="D100" s="116">
        <v>2352</v>
      </c>
      <c r="E100" s="256">
        <f>SUMPRODUCT($C$2:$E$2,B100:D100)</f>
        <v>1636.32</v>
      </c>
      <c r="F100"/>
      <c r="G100"/>
      <c r="H100"/>
      <c r="I100"/>
      <c r="J100"/>
      <c r="K100"/>
      <c r="L100"/>
      <c r="M100"/>
      <c r="S100"/>
      <c r="T100"/>
      <c r="AB100"/>
      <c r="AC100"/>
    </row>
    <row r="101" spans="1:29" ht="15.75">
      <c r="A101" s="122" t="s">
        <v>223</v>
      </c>
      <c r="B101" s="122">
        <v>3050</v>
      </c>
      <c r="C101" s="122">
        <v>4396</v>
      </c>
      <c r="D101" s="122">
        <v>6472</v>
      </c>
      <c r="E101" s="256">
        <f>SUMPRODUCT($C$2:$E$2,B101:D101)</f>
        <v>4591.28</v>
      </c>
      <c r="F101"/>
      <c r="G101"/>
      <c r="H101"/>
      <c r="I101"/>
      <c r="J101"/>
      <c r="K101"/>
      <c r="L101"/>
      <c r="M101"/>
      <c r="S101"/>
      <c r="T101"/>
      <c r="AB101"/>
      <c r="AC101"/>
    </row>
    <row r="102" spans="1:29" ht="15">
      <c r="A102" s="126" t="s">
        <v>182</v>
      </c>
      <c r="B102" s="127">
        <f>VLOOKUP($A102,$A$5:$K$27,6,FALSE)</f>
        <v>52.400000000000006</v>
      </c>
      <c r="C102" s="127">
        <f>VLOOKUP($A102,$A$5:$K$27,7,FALSE)</f>
        <v>51.300000000000004</v>
      </c>
      <c r="D102" s="127">
        <f aca="true" t="shared" si="47" ref="D102:D108">VLOOKUP($A102,$A$5:$K$27,8,FALSE)</f>
        <v>52.95</v>
      </c>
      <c r="F102"/>
      <c r="G102" s="150"/>
      <c r="H102" s="150"/>
      <c r="I102"/>
      <c r="J102"/>
      <c r="K102"/>
      <c r="L102"/>
      <c r="M102"/>
      <c r="S102"/>
      <c r="T102" s="150"/>
      <c r="U102" s="127"/>
      <c r="AB102"/>
      <c r="AC102"/>
    </row>
    <row r="103" spans="1:29" ht="15">
      <c r="A103" s="126" t="s">
        <v>184</v>
      </c>
      <c r="B103" s="127">
        <f aca="true" t="shared" si="48" ref="B103:B108">VLOOKUP($A103,$A$5:$K$27,6,FALSE)</f>
        <v>10.8</v>
      </c>
      <c r="C103" s="127">
        <f aca="true" t="shared" si="49" ref="C103:C108">VLOOKUP($A103,$A$5:$K$27,7,FALSE)</f>
        <v>24.516</v>
      </c>
      <c r="D103" s="127">
        <f t="shared" si="47"/>
        <v>29.483999999999998</v>
      </c>
      <c r="F103" s="299"/>
      <c r="G103" s="299"/>
      <c r="H103" s="60"/>
      <c r="I103"/>
      <c r="J103"/>
      <c r="K103"/>
      <c r="L103"/>
      <c r="M103"/>
      <c r="S103"/>
      <c r="T103" s="60"/>
      <c r="U103" s="127"/>
      <c r="V103" s="120"/>
      <c r="W103" s="120"/>
      <c r="AB103"/>
      <c r="AC103"/>
    </row>
    <row r="104" spans="1:29" ht="15">
      <c r="A104" s="126" t="s">
        <v>180</v>
      </c>
      <c r="B104" s="127">
        <f t="shared" si="48"/>
        <v>17.292</v>
      </c>
      <c r="C104" s="127">
        <f t="shared" si="49"/>
        <v>21.78</v>
      </c>
      <c r="D104" s="127">
        <f t="shared" si="47"/>
        <v>51.414</v>
      </c>
      <c r="F104"/>
      <c r="G104"/>
      <c r="H104"/>
      <c r="I104"/>
      <c r="J104"/>
      <c r="K104"/>
      <c r="L104"/>
      <c r="M104"/>
      <c r="S104"/>
      <c r="T104" s="150"/>
      <c r="U104" s="150"/>
      <c r="AB104"/>
      <c r="AC104"/>
    </row>
    <row r="105" spans="1:29" ht="15">
      <c r="A105" s="126" t="s">
        <v>175</v>
      </c>
      <c r="B105" s="127">
        <f t="shared" si="48"/>
        <v>29.568</v>
      </c>
      <c r="C105" s="127">
        <f t="shared" si="49"/>
        <v>50.176</v>
      </c>
      <c r="D105" s="127">
        <f t="shared" si="47"/>
        <v>75.264</v>
      </c>
      <c r="F105"/>
      <c r="G105"/>
      <c r="H105"/>
      <c r="I105"/>
      <c r="J105"/>
      <c r="K105"/>
      <c r="L105"/>
      <c r="M105"/>
      <c r="S105"/>
      <c r="T105"/>
      <c r="AB105"/>
      <c r="AC105"/>
    </row>
    <row r="106" spans="1:29" ht="15">
      <c r="A106" s="126" t="s">
        <v>181</v>
      </c>
      <c r="B106" s="127">
        <f t="shared" si="48"/>
        <v>39.440000000000005</v>
      </c>
      <c r="C106" s="127">
        <f t="shared" si="49"/>
        <v>66.64</v>
      </c>
      <c r="D106" s="127">
        <f t="shared" si="47"/>
        <v>120.02000000000001</v>
      </c>
      <c r="F106"/>
      <c r="G106"/>
      <c r="H106"/>
      <c r="I106"/>
      <c r="J106"/>
      <c r="K106"/>
      <c r="L106"/>
      <c r="M106" s="115"/>
      <c r="S106"/>
      <c r="T106"/>
      <c r="AB106"/>
      <c r="AC106"/>
    </row>
    <row r="107" spans="1:29" ht="15">
      <c r="A107" s="138" t="s">
        <v>221</v>
      </c>
      <c r="B107" s="127">
        <f t="shared" si="48"/>
        <v>7.22</v>
      </c>
      <c r="C107" s="127">
        <f t="shared" si="49"/>
        <v>7.22</v>
      </c>
      <c r="D107" s="127">
        <f t="shared" si="47"/>
        <v>11.02</v>
      </c>
      <c r="F107"/>
      <c r="G107"/>
      <c r="H107"/>
      <c r="I107"/>
      <c r="J107"/>
      <c r="K107"/>
      <c r="L107"/>
      <c r="S107"/>
      <c r="T107"/>
      <c r="AB107"/>
      <c r="AC107"/>
    </row>
    <row r="108" spans="1:29" ht="15">
      <c r="A108" s="138" t="s">
        <v>220</v>
      </c>
      <c r="B108" s="127">
        <f t="shared" si="48"/>
        <v>47.73383999999999</v>
      </c>
      <c r="C108" s="127">
        <f t="shared" si="49"/>
        <v>81.00287999999998</v>
      </c>
      <c r="D108" s="127">
        <f t="shared" si="47"/>
        <v>121.50431999999996</v>
      </c>
      <c r="F108"/>
      <c r="G108"/>
      <c r="H108"/>
      <c r="I108"/>
      <c r="J108"/>
      <c r="K108"/>
      <c r="L108"/>
      <c r="S108"/>
      <c r="T108"/>
      <c r="AB108"/>
      <c r="AC108"/>
    </row>
    <row r="109" spans="1:29" ht="15.75">
      <c r="A109" s="122" t="s">
        <v>228</v>
      </c>
      <c r="B109" s="116">
        <f>SUM(B102:B108)</f>
        <v>204.45383999999999</v>
      </c>
      <c r="C109" s="116">
        <f>SUM(C102:C108)</f>
        <v>302.63487999999995</v>
      </c>
      <c r="D109" s="116">
        <f>SUM(D102:D108)</f>
        <v>461.65632</v>
      </c>
      <c r="E109" s="256">
        <f>SUMPRODUCT($C$2:$E$2,B109:D109)</f>
        <v>317.79021119999993</v>
      </c>
      <c r="F109" s="142"/>
      <c r="S109"/>
      <c r="T109"/>
      <c r="AB109"/>
      <c r="AC109"/>
    </row>
    <row r="110" spans="1:29" ht="15.75">
      <c r="A110" s="122" t="s">
        <v>229</v>
      </c>
      <c r="B110" s="116">
        <f ca="1">IF(ISNA(INDEX($AU$7:$AV$76,MATCH(B109,$AU$7:$AU$76,0),1)),TREND(OFFSET(INDEX($AU$7:$AV$76,MATCH(B109,$AU$7:$AU$76,-1),2),0,0,2,1),OFFSET(INDEX($AU$7:$AV$76,MATCH(B109,$AU$7:$AU$76,-1),1),0,0,2,1),B109),INDEX($AU$7:$AV$76,MATCH(B109,$AU$7:$AU$76,0),2))</f>
        <v>3375.6486524947895</v>
      </c>
      <c r="C110" s="116">
        <f ca="1">IF(ISNA(INDEX($BE$7:$BF$76,MATCH(C109,$BE$7:$BE$76,0),1)),TREND(OFFSET(INDEX($BE$7:$BF$76,MATCH(C109,$BE$7:$BE$76,-1),2),0,0,2,1),OFFSET(INDEX($BE$7:$BF$76,MATCH(C109,$BE$7:$BE$76,-1),1),0,0,2,1),C109),INDEX($BE$7:$BF$76,MATCH(C109,$BE$7:$BE$76,0),2))</f>
        <v>6106.06902565624</v>
      </c>
      <c r="D110" s="116">
        <f ca="1">IF(ISNA(INDEX($BO$7:$BP$76,MATCH(D109,$BO$7:$BO$76,0),1)),TREND(OFFSET(INDEX($BO$7:$BP$76,MATCH(D109,$BO$7:$BO$76,-1),2),0,0,2,1),OFFSET(INDEX($BO$7:$BP$76,MATCH(D109,$BO$7:$BO$76,-1),1),0,0,2,1),D109),INDEX($BO$7:$BP$76,MATCH(D109,$BO$7:$BO$76,0),2))</f>
        <v>8457.253237949004</v>
      </c>
      <c r="E110" s="256">
        <f>SUMPRODUCT($C$2:$E$2,B110:D110)</f>
        <v>6278.994316204914</v>
      </c>
      <c r="F110"/>
      <c r="G110" s="93"/>
      <c r="H110" s="93"/>
      <c r="S110"/>
      <c r="T110"/>
      <c r="AB110"/>
      <c r="AC110"/>
    </row>
    <row r="111" spans="1:29" ht="15.75">
      <c r="A111" s="142" t="s">
        <v>230</v>
      </c>
      <c r="B111" s="143">
        <f>(B109-B108)/B101</f>
        <v>0.051383606557377046</v>
      </c>
      <c r="C111" s="143">
        <f>(C109-C108)/C101</f>
        <v>0.05041674249317561</v>
      </c>
      <c r="D111" s="143">
        <f>(D109-D108)/D101</f>
        <v>0.052557478368356</v>
      </c>
      <c r="E111" s="257">
        <f>SUMPRODUCT($C$2:$E$2,B111:D111)</f>
        <v>0.05071230536076531</v>
      </c>
      <c r="F111"/>
      <c r="G111"/>
      <c r="H111"/>
      <c r="I111" s="151"/>
      <c r="S111"/>
      <c r="T111"/>
      <c r="AB111"/>
      <c r="AC111"/>
    </row>
    <row r="112" spans="1:29" ht="16.5" thickBot="1">
      <c r="A112" s="122" t="s">
        <v>234</v>
      </c>
      <c r="F112" s="117"/>
      <c r="G112" s="117"/>
      <c r="H112" s="117"/>
      <c r="I112" s="117"/>
      <c r="J112" s="117"/>
      <c r="K112" s="117"/>
      <c r="L112" s="117"/>
      <c r="S112"/>
      <c r="T112"/>
      <c r="AB112"/>
      <c r="AC112"/>
    </row>
    <row r="113" spans="1:29" ht="47.25">
      <c r="A113" s="309" t="s">
        <v>235</v>
      </c>
      <c r="B113" s="310" t="s">
        <v>236</v>
      </c>
      <c r="C113" s="310" t="s">
        <v>237</v>
      </c>
      <c r="D113" s="310" t="s">
        <v>298</v>
      </c>
      <c r="E113" s="311" t="s">
        <v>238</v>
      </c>
      <c r="F113" s="312" t="s">
        <v>239</v>
      </c>
      <c r="H113" s="152"/>
      <c r="I113" s="153"/>
      <c r="J113" s="152"/>
      <c r="K113" s="152"/>
      <c r="L113" s="152"/>
      <c r="S113"/>
      <c r="T113"/>
      <c r="AB113"/>
      <c r="AC113"/>
    </row>
    <row r="114" spans="1:29" ht="15.75">
      <c r="A114" s="302" t="s">
        <v>296</v>
      </c>
      <c r="B114" s="313">
        <f>E40</f>
        <v>15734.28628775737</v>
      </c>
      <c r="C114" s="301">
        <f>B114/$F$3</f>
        <v>9.61565359328088</v>
      </c>
      <c r="D114" s="253">
        <f>B114/$B$114</f>
        <v>1</v>
      </c>
      <c r="E114" s="282">
        <f>B114-B114</f>
        <v>0</v>
      </c>
      <c r="F114" s="303">
        <f>SUM(E$114:E114)</f>
        <v>0</v>
      </c>
      <c r="H114" s="127"/>
      <c r="I114" s="154"/>
      <c r="J114" s="154"/>
      <c r="K114" s="154"/>
      <c r="L114" s="154"/>
      <c r="S114"/>
      <c r="T114"/>
      <c r="AB114"/>
      <c r="AC114"/>
    </row>
    <row r="115" spans="1:29" ht="15.75">
      <c r="A115" s="302" t="s">
        <v>294</v>
      </c>
      <c r="B115" s="313">
        <f>E68</f>
        <v>13988.682682306475</v>
      </c>
      <c r="C115" s="301">
        <f>B115/$F$3</f>
        <v>8.548867386762048</v>
      </c>
      <c r="D115" s="253">
        <f>B115/$B$114</f>
        <v>0.88905733799892</v>
      </c>
      <c r="E115" s="282">
        <f>B114-B115</f>
        <v>1745.603605450895</v>
      </c>
      <c r="F115" s="303">
        <f>SUM(E$114:E115)</f>
        <v>1745.603605450895</v>
      </c>
      <c r="H115" s="127"/>
      <c r="I115" s="154"/>
      <c r="J115" s="154"/>
      <c r="K115" s="154"/>
      <c r="L115" s="154"/>
      <c r="S115"/>
      <c r="T115"/>
      <c r="AB115"/>
      <c r="AC115"/>
    </row>
    <row r="116" spans="1:29" ht="15.75">
      <c r="A116" s="302" t="s">
        <v>233</v>
      </c>
      <c r="B116" s="313">
        <f>E82</f>
        <v>10878.241702176158</v>
      </c>
      <c r="C116" s="301">
        <f>B116/$F$3</f>
        <v>6.647991653329519</v>
      </c>
      <c r="D116" s="253">
        <f>B116/$B$114</f>
        <v>0.6913717917183423</v>
      </c>
      <c r="E116" s="282">
        <f>B115-B116</f>
        <v>3110.4409801303173</v>
      </c>
      <c r="F116" s="303">
        <f>SUM(E$114:E116)</f>
        <v>4856.044585581212</v>
      </c>
      <c r="H116" s="127"/>
      <c r="I116" s="154"/>
      <c r="J116" s="154"/>
      <c r="K116" s="154"/>
      <c r="L116" s="154"/>
      <c r="S116"/>
      <c r="T116"/>
      <c r="AB116"/>
      <c r="AC116"/>
    </row>
    <row r="117" spans="1:29" ht="15.75">
      <c r="A117" s="302" t="s">
        <v>295</v>
      </c>
      <c r="B117" s="313">
        <f>E96</f>
        <v>9382.702886429777</v>
      </c>
      <c r="C117" s="301">
        <f>B117/$F$3</f>
        <v>5.734026893535359</v>
      </c>
      <c r="D117" s="253">
        <f>B117/$B$114</f>
        <v>0.5963221155909899</v>
      </c>
      <c r="E117" s="282">
        <f>B116-B117</f>
        <v>1495.5388157463804</v>
      </c>
      <c r="F117" s="303">
        <f>SUM(E$114:E117)</f>
        <v>6351.583401327593</v>
      </c>
      <c r="H117" s="127"/>
      <c r="I117" s="154"/>
      <c r="J117" s="154"/>
      <c r="K117" s="154"/>
      <c r="L117" s="154"/>
      <c r="S117"/>
      <c r="T117"/>
      <c r="AB117"/>
      <c r="AC117"/>
    </row>
    <row r="118" spans="1:29" ht="16.5" thickBot="1">
      <c r="A118" s="304" t="s">
        <v>297</v>
      </c>
      <c r="B118" s="314">
        <f>E110</f>
        <v>6278.994316204914</v>
      </c>
      <c r="C118" s="305">
        <f>B118/$F$3</f>
        <v>3.8372655203168784</v>
      </c>
      <c r="D118" s="306">
        <f>B118/$B$114</f>
        <v>0.39906445080324443</v>
      </c>
      <c r="E118" s="307">
        <f>B117-B118</f>
        <v>3103.7085702248633</v>
      </c>
      <c r="F118" s="308">
        <f>SUM(E$114:E118)</f>
        <v>9455.291971552455</v>
      </c>
      <c r="H118" s="127"/>
      <c r="I118" s="154"/>
      <c r="J118" s="154"/>
      <c r="K118" s="154"/>
      <c r="L118" s="154"/>
      <c r="S118"/>
      <c r="T118"/>
      <c r="AB118"/>
      <c r="AC118"/>
    </row>
    <row r="119" spans="1:29" ht="15.75">
      <c r="A119" s="142" t="s">
        <v>240</v>
      </c>
      <c r="F119" s="117"/>
      <c r="G119" s="117"/>
      <c r="H119" s="117"/>
      <c r="I119" s="117"/>
      <c r="J119" s="117"/>
      <c r="K119" s="117"/>
      <c r="L119" s="117"/>
      <c r="S119"/>
      <c r="T119"/>
      <c r="AB119"/>
      <c r="AC119"/>
    </row>
    <row r="120" spans="1:29" ht="15.75">
      <c r="A120" s="142" t="s">
        <v>241</v>
      </c>
      <c r="B120"/>
      <c r="C120"/>
      <c r="D120"/>
      <c r="E120"/>
      <c r="F120"/>
      <c r="G120"/>
      <c r="H120"/>
      <c r="S120"/>
      <c r="T120"/>
      <c r="AB120"/>
      <c r="AC120"/>
    </row>
    <row r="121" spans="2:29" ht="15">
      <c r="B121"/>
      <c r="C121"/>
      <c r="D121"/>
      <c r="E121"/>
      <c r="F121"/>
      <c r="G121"/>
      <c r="H121"/>
      <c r="S121"/>
      <c r="T121"/>
      <c r="AB121"/>
      <c r="AC121"/>
    </row>
    <row r="122" spans="2:29" ht="15">
      <c r="B122"/>
      <c r="C122"/>
      <c r="D122"/>
      <c r="E122"/>
      <c r="F122"/>
      <c r="G122"/>
      <c r="H122"/>
      <c r="S122"/>
      <c r="T122"/>
      <c r="AB122"/>
      <c r="AC122"/>
    </row>
    <row r="123" spans="2:29" ht="15">
      <c r="B123"/>
      <c r="C123"/>
      <c r="D123"/>
      <c r="E123"/>
      <c r="F123"/>
      <c r="G123"/>
      <c r="H123"/>
      <c r="S123"/>
      <c r="T123"/>
      <c r="AB123"/>
      <c r="AC123"/>
    </row>
    <row r="124" spans="2:29" ht="15">
      <c r="B124"/>
      <c r="C124"/>
      <c r="D124"/>
      <c r="E124"/>
      <c r="F124"/>
      <c r="G124"/>
      <c r="H124"/>
      <c r="S124"/>
      <c r="T124"/>
      <c r="AB124"/>
      <c r="AC124"/>
    </row>
    <row r="125" spans="2:29" ht="15">
      <c r="B125"/>
      <c r="C125"/>
      <c r="D125"/>
      <c r="E125"/>
      <c r="F125"/>
      <c r="G125"/>
      <c r="H125"/>
      <c r="S125"/>
      <c r="T125"/>
      <c r="AB125"/>
      <c r="AC125"/>
    </row>
    <row r="126" spans="2:29" ht="15">
      <c r="B126"/>
      <c r="C126"/>
      <c r="D126"/>
      <c r="E126"/>
      <c r="F126"/>
      <c r="G126"/>
      <c r="H126"/>
      <c r="S126"/>
      <c r="T126"/>
      <c r="AB126"/>
      <c r="AC126"/>
    </row>
    <row r="127" spans="2:29" ht="15">
      <c r="B127"/>
      <c r="C127"/>
      <c r="D127"/>
      <c r="E127"/>
      <c r="F127"/>
      <c r="G127"/>
      <c r="H127"/>
      <c r="S127"/>
      <c r="T127"/>
      <c r="AB127"/>
      <c r="AC127"/>
    </row>
    <row r="128" spans="2:29" ht="15">
      <c r="B128"/>
      <c r="C128"/>
      <c r="D128"/>
      <c r="E128"/>
      <c r="F128"/>
      <c r="G128"/>
      <c r="H128"/>
      <c r="S128"/>
      <c r="T128"/>
      <c r="AB128"/>
      <c r="AC128"/>
    </row>
    <row r="129" spans="2:29" ht="15">
      <c r="B129"/>
      <c r="C129"/>
      <c r="D129"/>
      <c r="E129"/>
      <c r="F129"/>
      <c r="G129"/>
      <c r="H129"/>
      <c r="S129"/>
      <c r="T129"/>
      <c r="AB129"/>
      <c r="AC129"/>
    </row>
    <row r="130" spans="2:29" ht="15">
      <c r="B130"/>
      <c r="C130"/>
      <c r="D130"/>
      <c r="E130"/>
      <c r="F130"/>
      <c r="G130"/>
      <c r="H130"/>
      <c r="S130"/>
      <c r="T130"/>
      <c r="AB130"/>
      <c r="AC130"/>
    </row>
    <row r="131" spans="2:29" ht="15">
      <c r="B131"/>
      <c r="C131"/>
      <c r="D131"/>
      <c r="E131"/>
      <c r="F131"/>
      <c r="G131"/>
      <c r="H131"/>
      <c r="S131"/>
      <c r="T131"/>
      <c r="AB131"/>
      <c r="AC131"/>
    </row>
    <row r="132" spans="2:29" ht="15">
      <c r="B132"/>
      <c r="C132"/>
      <c r="D132"/>
      <c r="E132"/>
      <c r="F132"/>
      <c r="G132"/>
      <c r="H132"/>
      <c r="S132"/>
      <c r="T132"/>
      <c r="AB132"/>
      <c r="AC132"/>
    </row>
    <row r="133" spans="2:29" ht="15">
      <c r="B133"/>
      <c r="C133"/>
      <c r="D133"/>
      <c r="E133"/>
      <c r="F133"/>
      <c r="G133"/>
      <c r="H133"/>
      <c r="S133"/>
      <c r="T133"/>
      <c r="AB133"/>
      <c r="AC133"/>
    </row>
    <row r="134" spans="2:29" ht="15">
      <c r="B134"/>
      <c r="C134"/>
      <c r="D134"/>
      <c r="E134"/>
      <c r="F134"/>
      <c r="G134"/>
      <c r="H134"/>
      <c r="S134"/>
      <c r="T134"/>
      <c r="AB134"/>
      <c r="AC134"/>
    </row>
    <row r="135" spans="2:29" ht="15">
      <c r="B135"/>
      <c r="C135"/>
      <c r="D135"/>
      <c r="E135"/>
      <c r="F135"/>
      <c r="G135"/>
      <c r="H135"/>
      <c r="S135"/>
      <c r="T135"/>
      <c r="AB135"/>
      <c r="AC135"/>
    </row>
    <row r="136" spans="2:29" ht="15">
      <c r="B136"/>
      <c r="C136"/>
      <c r="D136"/>
      <c r="E136"/>
      <c r="F136"/>
      <c r="G136"/>
      <c r="H136"/>
      <c r="S136"/>
      <c r="T136"/>
      <c r="AB136"/>
      <c r="AC136"/>
    </row>
    <row r="137" spans="2:29" ht="15">
      <c r="B137"/>
      <c r="C137"/>
      <c r="D137"/>
      <c r="E137"/>
      <c r="F137"/>
      <c r="G137"/>
      <c r="H137"/>
      <c r="S137"/>
      <c r="T137"/>
      <c r="AB137"/>
      <c r="AC137"/>
    </row>
    <row r="138" spans="2:29" ht="15">
      <c r="B138"/>
      <c r="C138"/>
      <c r="D138"/>
      <c r="E138"/>
      <c r="F138"/>
      <c r="G138"/>
      <c r="H138"/>
      <c r="S138"/>
      <c r="T138"/>
      <c r="AB138"/>
      <c r="AC138"/>
    </row>
    <row r="139" spans="2:29" ht="15">
      <c r="B139"/>
      <c r="C139"/>
      <c r="D139"/>
      <c r="E139"/>
      <c r="F139"/>
      <c r="G139"/>
      <c r="H139"/>
      <c r="S139"/>
      <c r="T139"/>
      <c r="AB139"/>
      <c r="AC139"/>
    </row>
    <row r="140" spans="2:29" ht="15">
      <c r="B140"/>
      <c r="C140"/>
      <c r="D140"/>
      <c r="E140"/>
      <c r="F140"/>
      <c r="G140"/>
      <c r="H140"/>
      <c r="S140"/>
      <c r="T140"/>
      <c r="AB140"/>
      <c r="AC140"/>
    </row>
    <row r="141" spans="2:29" ht="15">
      <c r="B141"/>
      <c r="C141"/>
      <c r="D141"/>
      <c r="E141"/>
      <c r="F141"/>
      <c r="G141"/>
      <c r="H141"/>
      <c r="S141"/>
      <c r="T141"/>
      <c r="AB141"/>
      <c r="AC141"/>
    </row>
    <row r="142" spans="2:29" ht="15">
      <c r="B142"/>
      <c r="C142"/>
      <c r="D142"/>
      <c r="E142"/>
      <c r="F142"/>
      <c r="G142"/>
      <c r="H142"/>
      <c r="S142"/>
      <c r="T142"/>
      <c r="AB142"/>
      <c r="AC142"/>
    </row>
    <row r="143" spans="2:29" ht="15">
      <c r="B143"/>
      <c r="C143"/>
      <c r="D143"/>
      <c r="E143"/>
      <c r="F143"/>
      <c r="G143"/>
      <c r="H143"/>
      <c r="S143"/>
      <c r="T143"/>
      <c r="AB143"/>
      <c r="AC143"/>
    </row>
    <row r="144" spans="2:29" ht="15">
      <c r="B144"/>
      <c r="C144"/>
      <c r="D144"/>
      <c r="E144"/>
      <c r="F144"/>
      <c r="G144"/>
      <c r="H144"/>
      <c r="S144"/>
      <c r="T144"/>
      <c r="AB144"/>
      <c r="AC144"/>
    </row>
    <row r="145" spans="2:29" ht="15">
      <c r="B145"/>
      <c r="C145"/>
      <c r="D145"/>
      <c r="E145"/>
      <c r="F145"/>
      <c r="G145"/>
      <c r="H145"/>
      <c r="S145"/>
      <c r="T145"/>
      <c r="AB145"/>
      <c r="AC145"/>
    </row>
    <row r="146" spans="2:29" ht="15">
      <c r="B146"/>
      <c r="C146"/>
      <c r="D146"/>
      <c r="E146"/>
      <c r="F146"/>
      <c r="G146"/>
      <c r="H146"/>
      <c r="S146"/>
      <c r="T146"/>
      <c r="AB146"/>
      <c r="AC146"/>
    </row>
    <row r="147" spans="2:29" ht="15">
      <c r="B147"/>
      <c r="C147"/>
      <c r="D147"/>
      <c r="E147"/>
      <c r="F147"/>
      <c r="G147"/>
      <c r="H147"/>
      <c r="S147"/>
      <c r="T147"/>
      <c r="AB147"/>
      <c r="AC147"/>
    </row>
    <row r="148" spans="2:29" ht="15">
      <c r="B148"/>
      <c r="C148"/>
      <c r="D148"/>
      <c r="E148"/>
      <c r="F148"/>
      <c r="G148"/>
      <c r="H148"/>
      <c r="S148"/>
      <c r="T148"/>
      <c r="AB148"/>
      <c r="AC148"/>
    </row>
    <row r="149" spans="2:29" ht="15">
      <c r="B149"/>
      <c r="C149"/>
      <c r="D149"/>
      <c r="E149"/>
      <c r="F149"/>
      <c r="G149"/>
      <c r="H149"/>
      <c r="S149"/>
      <c r="T149"/>
      <c r="AB149"/>
      <c r="AC149"/>
    </row>
    <row r="150" spans="2:29" ht="15">
      <c r="B150"/>
      <c r="C150"/>
      <c r="D150"/>
      <c r="E150"/>
      <c r="F150"/>
      <c r="G150"/>
      <c r="H150"/>
      <c r="S150"/>
      <c r="T150"/>
      <c r="AB150"/>
      <c r="AC150"/>
    </row>
    <row r="151" spans="2:29" ht="15">
      <c r="B151"/>
      <c r="C151"/>
      <c r="D151"/>
      <c r="E151"/>
      <c r="F151"/>
      <c r="G151"/>
      <c r="H151"/>
      <c r="S151"/>
      <c r="T151"/>
      <c r="AB151"/>
      <c r="AC151"/>
    </row>
    <row r="152" spans="2:29" ht="15">
      <c r="B152"/>
      <c r="C152"/>
      <c r="D152"/>
      <c r="E152"/>
      <c r="F152"/>
      <c r="G152"/>
      <c r="H152"/>
      <c r="S152"/>
      <c r="T152"/>
      <c r="AB152"/>
      <c r="AC152"/>
    </row>
    <row r="153" spans="2:29" ht="15">
      <c r="B153"/>
      <c r="C153"/>
      <c r="D153"/>
      <c r="E153"/>
      <c r="F153"/>
      <c r="G153"/>
      <c r="H153"/>
      <c r="S153"/>
      <c r="T153"/>
      <c r="AB153"/>
      <c r="AC153"/>
    </row>
    <row r="154" spans="2:8" ht="15">
      <c r="B154"/>
      <c r="C154"/>
      <c r="D154"/>
      <c r="E154"/>
      <c r="F154"/>
      <c r="G154"/>
      <c r="H154"/>
    </row>
    <row r="155" spans="2:8" ht="15">
      <c r="B155"/>
      <c r="C155"/>
      <c r="D155"/>
      <c r="E155"/>
      <c r="F155"/>
      <c r="G155"/>
      <c r="H155"/>
    </row>
    <row r="156" spans="2:8" ht="15">
      <c r="B156"/>
      <c r="C156"/>
      <c r="D156"/>
      <c r="E156"/>
      <c r="F156"/>
      <c r="G156"/>
      <c r="H156"/>
    </row>
    <row r="157" spans="2:8" ht="15">
      <c r="B157"/>
      <c r="C157"/>
      <c r="D157"/>
      <c r="E157"/>
      <c r="F157"/>
      <c r="G157"/>
      <c r="H157"/>
    </row>
    <row r="158" spans="2:8" ht="15">
      <c r="B158"/>
      <c r="C158"/>
      <c r="D158"/>
      <c r="E158"/>
      <c r="F158"/>
      <c r="G158"/>
      <c r="H158"/>
    </row>
    <row r="159" spans="2:8" ht="15">
      <c r="B159"/>
      <c r="C159"/>
      <c r="D159"/>
      <c r="E159"/>
      <c r="F159"/>
      <c r="G159"/>
      <c r="H159"/>
    </row>
    <row r="160" spans="2:8" ht="15">
      <c r="B160"/>
      <c r="C160"/>
      <c r="D160"/>
      <c r="E160"/>
      <c r="F160"/>
      <c r="G160"/>
      <c r="H160"/>
    </row>
    <row r="161" spans="2:8" ht="15">
      <c r="B161"/>
      <c r="C161"/>
      <c r="D161"/>
      <c r="E161"/>
      <c r="F161"/>
      <c r="G161"/>
      <c r="H161"/>
    </row>
    <row r="162" spans="2:8" ht="15">
      <c r="B162"/>
      <c r="C162"/>
      <c r="D162"/>
      <c r="E162"/>
      <c r="F162"/>
      <c r="G162"/>
      <c r="H162"/>
    </row>
    <row r="163" spans="2:8" ht="15">
      <c r="B163"/>
      <c r="C163"/>
      <c r="D163"/>
      <c r="E163"/>
      <c r="F163"/>
      <c r="G163"/>
      <c r="H163"/>
    </row>
    <row r="164" spans="2:8" ht="15">
      <c r="B164"/>
      <c r="C164"/>
      <c r="D164"/>
      <c r="E164"/>
      <c r="F164"/>
      <c r="G164"/>
      <c r="H164"/>
    </row>
    <row r="165" spans="2:8" ht="15">
      <c r="B165"/>
      <c r="C165"/>
      <c r="D165"/>
      <c r="E165"/>
      <c r="F165"/>
      <c r="G165"/>
      <c r="H165"/>
    </row>
    <row r="166" spans="2:8" ht="15">
      <c r="B166"/>
      <c r="C166"/>
      <c r="D166"/>
      <c r="E166"/>
      <c r="F166"/>
      <c r="G166"/>
      <c r="H166"/>
    </row>
    <row r="167" spans="2:8" ht="15">
      <c r="B167"/>
      <c r="C167"/>
      <c r="D167"/>
      <c r="E167"/>
      <c r="F167"/>
      <c r="G167"/>
      <c r="H167"/>
    </row>
    <row r="168" spans="2:8" ht="15">
      <c r="B168"/>
      <c r="C168"/>
      <c r="D168"/>
      <c r="E168"/>
      <c r="F168"/>
      <c r="G168"/>
      <c r="H168"/>
    </row>
    <row r="169" spans="2:8" ht="15">
      <c r="B169"/>
      <c r="C169"/>
      <c r="D169"/>
      <c r="E169"/>
      <c r="F169"/>
      <c r="G169"/>
      <c r="H169"/>
    </row>
    <row r="170" spans="2:8" ht="15">
      <c r="B170"/>
      <c r="C170"/>
      <c r="D170"/>
      <c r="E170"/>
      <c r="F170"/>
      <c r="G170"/>
      <c r="H170"/>
    </row>
    <row r="171" spans="2:8" ht="15">
      <c r="B171"/>
      <c r="C171"/>
      <c r="D171"/>
      <c r="E171"/>
      <c r="F171"/>
      <c r="G171"/>
      <c r="H171"/>
    </row>
    <row r="172" spans="2:8" ht="15">
      <c r="B172"/>
      <c r="C172"/>
      <c r="D172"/>
      <c r="E172"/>
      <c r="F172"/>
      <c r="G172"/>
      <c r="H172"/>
    </row>
    <row r="173" spans="2:8" ht="15">
      <c r="B173"/>
      <c r="C173"/>
      <c r="D173"/>
      <c r="E173"/>
      <c r="F173"/>
      <c r="G173"/>
      <c r="H173"/>
    </row>
    <row r="174" spans="2:8" ht="15">
      <c r="B174"/>
      <c r="C174"/>
      <c r="D174"/>
      <c r="E174"/>
      <c r="F174"/>
      <c r="G174"/>
      <c r="H174"/>
    </row>
    <row r="175" spans="2:8" ht="15">
      <c r="B175"/>
      <c r="C175"/>
      <c r="D175"/>
      <c r="E175"/>
      <c r="F175"/>
      <c r="G175"/>
      <c r="H175"/>
    </row>
    <row r="176" spans="2:8" ht="15">
      <c r="B176"/>
      <c r="C176"/>
      <c r="D176"/>
      <c r="E176"/>
      <c r="F176"/>
      <c r="G176"/>
      <c r="H176"/>
    </row>
    <row r="177" spans="2:8" ht="15">
      <c r="B177"/>
      <c r="C177"/>
      <c r="D177"/>
      <c r="E177"/>
      <c r="F177"/>
      <c r="G177"/>
      <c r="H177"/>
    </row>
    <row r="178" spans="2:8" ht="15">
      <c r="B178"/>
      <c r="C178"/>
      <c r="D178"/>
      <c r="E178"/>
      <c r="F178"/>
      <c r="G178"/>
      <c r="H178"/>
    </row>
    <row r="179" spans="2:8" ht="15">
      <c r="B179"/>
      <c r="C179"/>
      <c r="D179"/>
      <c r="E179"/>
      <c r="F179"/>
      <c r="G179"/>
      <c r="H179"/>
    </row>
    <row r="180" spans="2:8" ht="15">
      <c r="B180"/>
      <c r="C180"/>
      <c r="D180"/>
      <c r="E180"/>
      <c r="F180"/>
      <c r="G180"/>
      <c r="H180"/>
    </row>
    <row r="181" spans="2:8" ht="15">
      <c r="B181"/>
      <c r="C181"/>
      <c r="D181"/>
      <c r="E181"/>
      <c r="F181"/>
      <c r="G181"/>
      <c r="H181"/>
    </row>
    <row r="182" spans="2:8" ht="15">
      <c r="B182"/>
      <c r="C182"/>
      <c r="D182"/>
      <c r="E182"/>
      <c r="F182"/>
      <c r="G182"/>
      <c r="H182"/>
    </row>
    <row r="183" spans="2:8" ht="15">
      <c r="B183"/>
      <c r="C183"/>
      <c r="D183"/>
      <c r="E183"/>
      <c r="F183"/>
      <c r="G183"/>
      <c r="H183"/>
    </row>
    <row r="184" spans="2:8" ht="15">
      <c r="B184"/>
      <c r="C184"/>
      <c r="D184"/>
      <c r="E184"/>
      <c r="F184"/>
      <c r="G184"/>
      <c r="H184"/>
    </row>
    <row r="185" spans="2:8" ht="15">
      <c r="B185"/>
      <c r="C185"/>
      <c r="D185"/>
      <c r="E185"/>
      <c r="F185"/>
      <c r="G185"/>
      <c r="H185"/>
    </row>
    <row r="186" spans="2:8" ht="15">
      <c r="B186"/>
      <c r="C186"/>
      <c r="D186"/>
      <c r="E186"/>
      <c r="F186"/>
      <c r="G186"/>
      <c r="H186"/>
    </row>
    <row r="187" spans="2:8" ht="15">
      <c r="B187"/>
      <c r="C187"/>
      <c r="D187"/>
      <c r="E187"/>
      <c r="F187"/>
      <c r="G187"/>
      <c r="H187"/>
    </row>
    <row r="188" spans="2:8" ht="15">
      <c r="B188"/>
      <c r="C188"/>
      <c r="D188"/>
      <c r="E188"/>
      <c r="F188"/>
      <c r="G188"/>
      <c r="H188"/>
    </row>
    <row r="189" spans="2:8" ht="15">
      <c r="B189"/>
      <c r="C189"/>
      <c r="D189"/>
      <c r="E189"/>
      <c r="F189"/>
      <c r="G189"/>
      <c r="H189"/>
    </row>
    <row r="190" spans="2:8" ht="15">
      <c r="B190"/>
      <c r="C190"/>
      <c r="D190"/>
      <c r="E190"/>
      <c r="F190"/>
      <c r="G190"/>
      <c r="H190"/>
    </row>
    <row r="191" spans="2:8" ht="15">
      <c r="B191"/>
      <c r="C191"/>
      <c r="D191"/>
      <c r="E191"/>
      <c r="F191"/>
      <c r="G191"/>
      <c r="H191"/>
    </row>
    <row r="192" spans="2:8" ht="15">
      <c r="B192"/>
      <c r="C192"/>
      <c r="D192"/>
      <c r="E192"/>
      <c r="F192"/>
      <c r="G192"/>
      <c r="H192"/>
    </row>
    <row r="193" spans="2:8" ht="15">
      <c r="B193"/>
      <c r="C193"/>
      <c r="D193"/>
      <c r="E193"/>
      <c r="F193"/>
      <c r="G193"/>
      <c r="H193"/>
    </row>
    <row r="194" spans="2:8" ht="15">
      <c r="B194"/>
      <c r="C194"/>
      <c r="D194"/>
      <c r="E194"/>
      <c r="F194"/>
      <c r="G194"/>
      <c r="H194"/>
    </row>
    <row r="195" spans="2:8" ht="15">
      <c r="B195"/>
      <c r="C195"/>
      <c r="D195"/>
      <c r="E195"/>
      <c r="F195"/>
      <c r="G195"/>
      <c r="H195"/>
    </row>
    <row r="196" spans="2:8" ht="15">
      <c r="B196"/>
      <c r="C196"/>
      <c r="D196"/>
      <c r="E196"/>
      <c r="F196"/>
      <c r="G196"/>
      <c r="H196"/>
    </row>
    <row r="197" spans="2:8" ht="15">
      <c r="B197"/>
      <c r="C197"/>
      <c r="D197"/>
      <c r="E197"/>
      <c r="F197"/>
      <c r="G197"/>
      <c r="H197"/>
    </row>
    <row r="198" spans="2:8" ht="15">
      <c r="B198"/>
      <c r="C198"/>
      <c r="D198"/>
      <c r="E198"/>
      <c r="F198"/>
      <c r="G198"/>
      <c r="H198"/>
    </row>
    <row r="199" spans="2:8" ht="15">
      <c r="B199"/>
      <c r="C199"/>
      <c r="D199"/>
      <c r="E199"/>
      <c r="F199"/>
      <c r="G199"/>
      <c r="H199"/>
    </row>
    <row r="200" spans="2:8" ht="15">
      <c r="B200"/>
      <c r="C200"/>
      <c r="D200"/>
      <c r="E200"/>
      <c r="F200"/>
      <c r="G200"/>
      <c r="H200"/>
    </row>
    <row r="201" spans="2:8" ht="15">
      <c r="B201"/>
      <c r="C201"/>
      <c r="D201"/>
      <c r="E201"/>
      <c r="F201"/>
      <c r="G201"/>
      <c r="H201"/>
    </row>
    <row r="202" spans="2:8" ht="15">
      <c r="B202"/>
      <c r="C202"/>
      <c r="D202"/>
      <c r="E202"/>
      <c r="F202"/>
      <c r="G202"/>
      <c r="H202"/>
    </row>
    <row r="203" spans="2:8" ht="15">
      <c r="B203"/>
      <c r="C203"/>
      <c r="D203"/>
      <c r="E203"/>
      <c r="F203"/>
      <c r="G203"/>
      <c r="H203"/>
    </row>
    <row r="204" spans="2:8" ht="15">
      <c r="B204"/>
      <c r="C204"/>
      <c r="D204"/>
      <c r="E204"/>
      <c r="F204"/>
      <c r="G204"/>
      <c r="H204"/>
    </row>
    <row r="205" spans="2:8" ht="15">
      <c r="B205"/>
      <c r="C205"/>
      <c r="D205"/>
      <c r="E205"/>
      <c r="F205"/>
      <c r="G205"/>
      <c r="H205"/>
    </row>
    <row r="206" spans="2:8" ht="15">
      <c r="B206"/>
      <c r="C206"/>
      <c r="D206"/>
      <c r="E206"/>
      <c r="F206"/>
      <c r="G206"/>
      <c r="H206"/>
    </row>
    <row r="207" spans="2:8" ht="15">
      <c r="B207"/>
      <c r="C207"/>
      <c r="D207"/>
      <c r="E207"/>
      <c r="F207"/>
      <c r="G207"/>
      <c r="H207"/>
    </row>
    <row r="208" spans="2:8" ht="15">
      <c r="B208"/>
      <c r="C208"/>
      <c r="D208"/>
      <c r="E208"/>
      <c r="F208"/>
      <c r="G208"/>
      <c r="H208"/>
    </row>
    <row r="209" spans="2:8" ht="15">
      <c r="B209"/>
      <c r="C209"/>
      <c r="D209"/>
      <c r="E209"/>
      <c r="F209"/>
      <c r="G209"/>
      <c r="H209"/>
    </row>
    <row r="210" spans="2:8" ht="15">
      <c r="B210"/>
      <c r="C210"/>
      <c r="D210"/>
      <c r="E210"/>
      <c r="F210"/>
      <c r="G210"/>
      <c r="H210"/>
    </row>
    <row r="211" spans="2:8" ht="15">
      <c r="B211"/>
      <c r="C211"/>
      <c r="D211"/>
      <c r="E211"/>
      <c r="F211"/>
      <c r="G211"/>
      <c r="H211"/>
    </row>
    <row r="212" spans="2:8" ht="15">
      <c r="B212"/>
      <c r="C212"/>
      <c r="D212"/>
      <c r="E212"/>
      <c r="F212"/>
      <c r="G212"/>
      <c r="H212"/>
    </row>
    <row r="213" spans="2:8" ht="15">
      <c r="B213"/>
      <c r="C213"/>
      <c r="D213"/>
      <c r="E213"/>
      <c r="F213"/>
      <c r="G213"/>
      <c r="H213"/>
    </row>
    <row r="214" spans="2:8" ht="15">
      <c r="B214"/>
      <c r="C214"/>
      <c r="D214"/>
      <c r="E214"/>
      <c r="F214"/>
      <c r="G214"/>
      <c r="H214"/>
    </row>
    <row r="215" spans="2:8" ht="15">
      <c r="B215"/>
      <c r="C215"/>
      <c r="D215"/>
      <c r="E215"/>
      <c r="F215"/>
      <c r="G215"/>
      <c r="H215"/>
    </row>
    <row r="216" spans="2:8" ht="15">
      <c r="B216"/>
      <c r="C216"/>
      <c r="D216"/>
      <c r="E216"/>
      <c r="F216"/>
      <c r="G216"/>
      <c r="H216"/>
    </row>
    <row r="217" spans="2:8" ht="15">
      <c r="B217"/>
      <c r="C217"/>
      <c r="D217"/>
      <c r="E217"/>
      <c r="F217"/>
      <c r="G217"/>
      <c r="H217"/>
    </row>
    <row r="218" spans="2:8" ht="15">
      <c r="B218"/>
      <c r="C218"/>
      <c r="D218"/>
      <c r="E218"/>
      <c r="F218"/>
      <c r="G218"/>
      <c r="H218"/>
    </row>
    <row r="219" spans="2:8" ht="15">
      <c r="B219"/>
      <c r="C219"/>
      <c r="D219"/>
      <c r="E219"/>
      <c r="F219"/>
      <c r="G219"/>
      <c r="H219"/>
    </row>
    <row r="220" spans="2:8" ht="15">
      <c r="B220"/>
      <c r="C220"/>
      <c r="D220"/>
      <c r="E220"/>
      <c r="F220"/>
      <c r="G220"/>
      <c r="H220"/>
    </row>
    <row r="221" spans="2:8" ht="15">
      <c r="B221"/>
      <c r="C221"/>
      <c r="D221"/>
      <c r="E221"/>
      <c r="F221"/>
      <c r="G221"/>
      <c r="H221"/>
    </row>
    <row r="222" spans="2:8" ht="15">
      <c r="B222"/>
      <c r="C222"/>
      <c r="D222"/>
      <c r="E222"/>
      <c r="F222"/>
      <c r="G222"/>
      <c r="H222"/>
    </row>
    <row r="223" spans="2:8" ht="15">
      <c r="B223"/>
      <c r="C223"/>
      <c r="D223"/>
      <c r="E223"/>
      <c r="F223"/>
      <c r="G223"/>
      <c r="H223"/>
    </row>
    <row r="224" spans="2:8" ht="15">
      <c r="B224"/>
      <c r="C224"/>
      <c r="D224"/>
      <c r="E224"/>
      <c r="F224"/>
      <c r="G224"/>
      <c r="H224"/>
    </row>
    <row r="225" spans="2:8" ht="15">
      <c r="B225"/>
      <c r="C225"/>
      <c r="D225"/>
      <c r="E225"/>
      <c r="F225"/>
      <c r="G225"/>
      <c r="H225"/>
    </row>
    <row r="226" spans="2:8" ht="15">
      <c r="B226"/>
      <c r="C226"/>
      <c r="D226"/>
      <c r="E226"/>
      <c r="F226"/>
      <c r="G226"/>
      <c r="H226"/>
    </row>
    <row r="227" spans="2:8" ht="15">
      <c r="B227"/>
      <c r="C227"/>
      <c r="D227"/>
      <c r="E227"/>
      <c r="F227"/>
      <c r="G227"/>
      <c r="H227"/>
    </row>
    <row r="228" spans="2:8" ht="15">
      <c r="B228"/>
      <c r="C228"/>
      <c r="D228"/>
      <c r="E228"/>
      <c r="F228"/>
      <c r="G228"/>
      <c r="H228"/>
    </row>
    <row r="229" spans="2:8" ht="15">
      <c r="B229"/>
      <c r="C229"/>
      <c r="D229"/>
      <c r="E229"/>
      <c r="F229"/>
      <c r="G229"/>
      <c r="H229"/>
    </row>
    <row r="230" spans="2:8" ht="15">
      <c r="B230"/>
      <c r="C230"/>
      <c r="D230"/>
      <c r="E230"/>
      <c r="F230"/>
      <c r="G230"/>
      <c r="H230"/>
    </row>
    <row r="231" spans="2:8" ht="15">
      <c r="B231"/>
      <c r="C231"/>
      <c r="D231"/>
      <c r="E231"/>
      <c r="F231"/>
      <c r="G231"/>
      <c r="H231"/>
    </row>
    <row r="232" spans="2:8" ht="15">
      <c r="B232"/>
      <c r="C232"/>
      <c r="D232"/>
      <c r="E232"/>
      <c r="F232"/>
      <c r="G232"/>
      <c r="H232"/>
    </row>
    <row r="233" spans="2:8" ht="15">
      <c r="B233"/>
      <c r="C233"/>
      <c r="D233"/>
      <c r="E233"/>
      <c r="F233"/>
      <c r="G233"/>
      <c r="H233"/>
    </row>
    <row r="234" spans="2:8" ht="15">
      <c r="B234"/>
      <c r="C234"/>
      <c r="D234"/>
      <c r="E234"/>
      <c r="F234"/>
      <c r="G234"/>
      <c r="H234"/>
    </row>
    <row r="235" spans="2:8" ht="15">
      <c r="B235"/>
      <c r="C235"/>
      <c r="D235"/>
      <c r="E235"/>
      <c r="F235"/>
      <c r="G235"/>
      <c r="H235"/>
    </row>
    <row r="236" spans="2:8" ht="15">
      <c r="B236"/>
      <c r="C236"/>
      <c r="D236"/>
      <c r="E236"/>
      <c r="F236"/>
      <c r="G236"/>
      <c r="H236"/>
    </row>
    <row r="237" spans="2:8" ht="15">
      <c r="B237"/>
      <c r="C237"/>
      <c r="D237"/>
      <c r="E237"/>
      <c r="F237"/>
      <c r="G237"/>
      <c r="H237"/>
    </row>
    <row r="238" spans="2:8" ht="15">
      <c r="B238"/>
      <c r="C238"/>
      <c r="D238"/>
      <c r="E238"/>
      <c r="F238"/>
      <c r="G238"/>
      <c r="H238"/>
    </row>
    <row r="239" spans="2:8" ht="15">
      <c r="B239"/>
      <c r="C239"/>
      <c r="D239"/>
      <c r="E239"/>
      <c r="F239"/>
      <c r="G239"/>
      <c r="H239"/>
    </row>
    <row r="240" spans="2:8" ht="15">
      <c r="B240"/>
      <c r="C240"/>
      <c r="D240"/>
      <c r="E240"/>
      <c r="F240"/>
      <c r="G240"/>
      <c r="H240"/>
    </row>
    <row r="241" spans="2:8" ht="15">
      <c r="B241"/>
      <c r="C241"/>
      <c r="D241"/>
      <c r="E241"/>
      <c r="F241"/>
      <c r="G241"/>
      <c r="H241"/>
    </row>
    <row r="242" spans="2:8" ht="15">
      <c r="B242"/>
      <c r="C242"/>
      <c r="D242"/>
      <c r="E242"/>
      <c r="F242"/>
      <c r="G242"/>
      <c r="H242"/>
    </row>
  </sheetData>
  <printOptions gridLines="1"/>
  <pageMargins left="0.75" right="0.75" top="1" bottom="1" header="0.5" footer="0.5"/>
  <pageSetup orientation="landscape" r:id="rId3"/>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Sheet7"/>
  <dimension ref="A1:CM154"/>
  <sheetViews>
    <sheetView workbookViewId="0" topLeftCell="J1">
      <selection activeCell="M8" sqref="M8"/>
    </sheetView>
  </sheetViews>
  <sheetFormatPr defaultColWidth="9.140625" defaultRowHeight="12.75"/>
  <cols>
    <col min="1" max="6" width="25.8515625" style="0" customWidth="1"/>
    <col min="7" max="7" width="25.8515625" style="184" customWidth="1"/>
    <col min="8" max="16384" width="25.8515625" style="0" customWidth="1"/>
  </cols>
  <sheetData>
    <row r="1" spans="1:90" ht="15.75" thickBot="1">
      <c r="A1" s="231" t="s">
        <v>276</v>
      </c>
      <c r="B1" s="353"/>
      <c r="C1" s="354"/>
      <c r="D1" s="195"/>
      <c r="E1" s="4"/>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90" ht="15.75" thickBot="1">
      <c r="A2" s="232" t="s">
        <v>255</v>
      </c>
      <c r="B2" s="233" t="s">
        <v>207</v>
      </c>
      <c r="C2" s="233" t="s">
        <v>208</v>
      </c>
      <c r="D2" s="233" t="s">
        <v>256</v>
      </c>
      <c r="E2" s="233" t="s">
        <v>210</v>
      </c>
      <c r="F2" s="234"/>
      <c r="K2" s="250"/>
      <c r="L2" s="250" t="s">
        <v>243</v>
      </c>
      <c r="M2" s="250" t="s">
        <v>244</v>
      </c>
      <c r="N2" s="252" t="s">
        <v>45</v>
      </c>
      <c r="O2" s="162" t="s">
        <v>287</v>
      </c>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row>
    <row r="3" spans="1:90" ht="15.75" thickBot="1">
      <c r="A3" s="225" t="s">
        <v>257</v>
      </c>
      <c r="B3" s="227">
        <f>INDEX($B5:$E13,$A14,B14)</f>
        <v>0.2</v>
      </c>
      <c r="C3" s="227">
        <f>INDEX($B5:$E13,$A14,C14)</f>
        <v>0.5</v>
      </c>
      <c r="D3" s="227">
        <f>INDEX($B5:$E13,$A14,D14)</f>
        <v>0.25</v>
      </c>
      <c r="E3" s="227">
        <f>INDEX($B5:$E13,$A14,E14)</f>
        <v>0.05</v>
      </c>
      <c r="F3" s="226">
        <f>SUM(B3:E3)</f>
        <v>1</v>
      </c>
      <c r="K3" s="251" t="s">
        <v>246</v>
      </c>
      <c r="L3" s="251" t="s">
        <v>247</v>
      </c>
      <c r="M3" s="251" t="s">
        <v>247</v>
      </c>
      <c r="N3" s="251" t="s">
        <v>247</v>
      </c>
      <c r="O3" s="251" t="s">
        <v>288</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row>
    <row r="4" spans="1:90" ht="15.75" thickBot="1">
      <c r="A4" s="222" t="s">
        <v>258</v>
      </c>
      <c r="B4" s="223"/>
      <c r="C4" s="223"/>
      <c r="D4" s="223"/>
      <c r="E4" s="223"/>
      <c r="F4" s="224"/>
      <c r="K4" s="163" t="s">
        <v>248</v>
      </c>
      <c r="L4" s="248">
        <v>8433.544786030603</v>
      </c>
      <c r="M4" s="249">
        <v>5616.263390516372</v>
      </c>
      <c r="N4" s="249">
        <v>2817.281395514231</v>
      </c>
      <c r="O4" s="266">
        <v>1389.122808</v>
      </c>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row>
    <row r="5" spans="1:90" ht="15">
      <c r="A5" s="197" t="s">
        <v>165</v>
      </c>
      <c r="B5" s="198">
        <v>0.4</v>
      </c>
      <c r="C5" s="198">
        <v>0.45</v>
      </c>
      <c r="D5" s="198">
        <v>0.15</v>
      </c>
      <c r="E5" s="198">
        <v>0</v>
      </c>
      <c r="F5" s="199">
        <f aca="true" t="shared" si="0" ref="F5:F13">SUM(B5:E5)</f>
        <v>1</v>
      </c>
      <c r="K5" s="158" t="s">
        <v>250</v>
      </c>
      <c r="L5" s="159">
        <v>12103.433404211328</v>
      </c>
      <c r="M5" s="160">
        <v>8343.798067939078</v>
      </c>
      <c r="N5" s="160">
        <v>3759.6353362722493</v>
      </c>
      <c r="O5" s="268">
        <v>1424.976972</v>
      </c>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row>
    <row r="6" spans="1:89" ht="15">
      <c r="A6" s="200" t="s">
        <v>164</v>
      </c>
      <c r="B6" s="166">
        <v>0</v>
      </c>
      <c r="C6" s="166">
        <v>0.07</v>
      </c>
      <c r="D6" s="166">
        <v>0.93</v>
      </c>
      <c r="E6" s="166">
        <v>0</v>
      </c>
      <c r="F6" s="201">
        <f t="shared" si="0"/>
        <v>1</v>
      </c>
      <c r="K6" s="158" t="s">
        <v>252</v>
      </c>
      <c r="L6" s="159">
        <v>14692.447597109136</v>
      </c>
      <c r="M6" s="160">
        <v>10172.14353863655</v>
      </c>
      <c r="N6" s="160">
        <v>4520.304058472586</v>
      </c>
      <c r="O6" s="268">
        <v>1496.8272120000001</v>
      </c>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row>
    <row r="7" spans="1:89" ht="13.5" thickBot="1">
      <c r="A7" s="200" t="s">
        <v>161</v>
      </c>
      <c r="B7" s="166">
        <v>0</v>
      </c>
      <c r="C7" s="166">
        <v>0</v>
      </c>
      <c r="D7" s="166">
        <v>0</v>
      </c>
      <c r="E7" s="166">
        <v>1</v>
      </c>
      <c r="F7" s="201">
        <f t="shared" si="0"/>
        <v>1</v>
      </c>
      <c r="G7"/>
      <c r="K7" s="269" t="s">
        <v>253</v>
      </c>
      <c r="L7" s="270">
        <v>9382.702886429777</v>
      </c>
      <c r="M7" s="271">
        <v>6278.994316204914</v>
      </c>
      <c r="N7" s="271">
        <v>3103.7085702248633</v>
      </c>
      <c r="O7" s="272">
        <v>1424.976972</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row>
    <row r="8" spans="1:89" ht="12.75">
      <c r="A8" s="202" t="s">
        <v>274</v>
      </c>
      <c r="B8" s="166">
        <v>0.2</v>
      </c>
      <c r="C8" s="166">
        <v>0.5</v>
      </c>
      <c r="D8" s="166">
        <v>0.25</v>
      </c>
      <c r="E8" s="166">
        <v>0.05</v>
      </c>
      <c r="F8" s="201">
        <f t="shared" si="0"/>
        <v>1</v>
      </c>
      <c r="G8"/>
      <c r="K8" s="161" t="s">
        <v>207</v>
      </c>
      <c r="L8" s="159">
        <v>7181.449668627228</v>
      </c>
      <c r="M8" s="160">
        <v>4992.9540671015</v>
      </c>
      <c r="N8" s="160">
        <v>2188.4956015257276</v>
      </c>
      <c r="O8" s="267">
        <v>1153.992336</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row>
    <row r="9" spans="1:89" ht="12.75">
      <c r="A9" s="203" t="s">
        <v>207</v>
      </c>
      <c r="B9" s="196">
        <v>1</v>
      </c>
      <c r="C9" s="196">
        <v>0</v>
      </c>
      <c r="D9" s="196">
        <v>0</v>
      </c>
      <c r="E9" s="196">
        <v>0</v>
      </c>
      <c r="F9" s="201">
        <f t="shared" si="0"/>
        <v>1</v>
      </c>
      <c r="G9" s="164"/>
      <c r="K9" s="161" t="s">
        <v>208</v>
      </c>
      <c r="L9" s="159">
        <v>8225.937165802428</v>
      </c>
      <c r="M9" s="160">
        <v>5425.610179847998</v>
      </c>
      <c r="N9" s="160">
        <v>2800.3269859544307</v>
      </c>
      <c r="O9" s="268">
        <v>1389.122808</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row>
    <row r="10" spans="1:89" ht="12.75">
      <c r="A10" s="203" t="s">
        <v>208</v>
      </c>
      <c r="B10" s="196">
        <v>0</v>
      </c>
      <c r="C10" s="196">
        <v>1</v>
      </c>
      <c r="D10" s="196">
        <v>0</v>
      </c>
      <c r="E10" s="196">
        <v>0</v>
      </c>
      <c r="F10" s="201">
        <f t="shared" si="0"/>
        <v>1</v>
      </c>
      <c r="G10" s="5"/>
      <c r="K10" s="161" t="s">
        <v>251</v>
      </c>
      <c r="L10" s="159">
        <v>10560.77361043584</v>
      </c>
      <c r="M10" s="160">
        <v>7165.56841390285</v>
      </c>
      <c r="N10" s="160">
        <v>3395.2051965329892</v>
      </c>
      <c r="O10" s="268">
        <v>1424.976972</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row>
    <row r="11" spans="1:89" ht="12.75">
      <c r="A11" s="202" t="s">
        <v>251</v>
      </c>
      <c r="B11" s="166">
        <v>0</v>
      </c>
      <c r="C11" s="166">
        <v>0.44</v>
      </c>
      <c r="D11" s="166">
        <v>0.56</v>
      </c>
      <c r="E11" s="166">
        <v>0</v>
      </c>
      <c r="F11" s="201">
        <f t="shared" si="0"/>
        <v>1</v>
      </c>
      <c r="G11" s="5"/>
      <c r="K11" s="161" t="s">
        <v>209</v>
      </c>
      <c r="L11" s="159">
        <v>12395.287959790552</v>
      </c>
      <c r="M11" s="160">
        <v>8566.706380864907</v>
      </c>
      <c r="N11" s="160">
        <v>3828.581578925645</v>
      </c>
      <c r="O11" s="268">
        <v>1424.976972</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row>
    <row r="12" spans="1:90" ht="12.75">
      <c r="A12" s="203" t="s">
        <v>209</v>
      </c>
      <c r="B12" s="196">
        <v>0</v>
      </c>
      <c r="C12" s="196">
        <v>0</v>
      </c>
      <c r="D12" s="196">
        <v>1</v>
      </c>
      <c r="E12" s="196">
        <v>0</v>
      </c>
      <c r="F12" s="201">
        <f t="shared" si="0"/>
        <v>1</v>
      </c>
      <c r="G12" s="5"/>
      <c r="K12" s="161" t="s">
        <v>210</v>
      </c>
      <c r="L12" s="159">
        <v>14692.447597109136</v>
      </c>
      <c r="M12" s="160">
        <v>10172.14353863655</v>
      </c>
      <c r="N12" s="160">
        <v>4520.304058472586</v>
      </c>
      <c r="O12" s="268">
        <v>1496.8272120000001</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row>
    <row r="13" spans="1:90" ht="13.5" thickBot="1">
      <c r="A13" s="204" t="s">
        <v>210</v>
      </c>
      <c r="B13" s="205">
        <v>0</v>
      </c>
      <c r="C13" s="205">
        <v>0</v>
      </c>
      <c r="D13" s="205">
        <v>0</v>
      </c>
      <c r="E13" s="205">
        <v>1</v>
      </c>
      <c r="F13" s="206">
        <f t="shared" si="0"/>
        <v>1</v>
      </c>
      <c r="G13" s="5"/>
      <c r="K13" s="264" t="s">
        <v>254</v>
      </c>
      <c r="L13" s="265">
        <f>E$69</f>
        <v>9382.702886429777</v>
      </c>
      <c r="M13" s="265">
        <f>E$70</f>
        <v>6278.994316204914</v>
      </c>
      <c r="N13" s="265">
        <f>L13-M13</f>
        <v>3103.7085702248633</v>
      </c>
      <c r="O13" s="262">
        <f>E$49</f>
        <v>1424.976972</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row>
    <row r="14" spans="1:90" ht="13.5" thickBot="1">
      <c r="A14" s="228">
        <v>4</v>
      </c>
      <c r="B14" s="229">
        <v>1</v>
      </c>
      <c r="C14" s="229">
        <v>2</v>
      </c>
      <c r="D14" s="229">
        <v>3</v>
      </c>
      <c r="E14" s="229">
        <v>4</v>
      </c>
      <c r="F14" s="230"/>
      <c r="G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row>
    <row r="15" spans="7:90" ht="13.5" thickBot="1">
      <c r="G15" s="5"/>
      <c r="R15" s="360" t="s">
        <v>110</v>
      </c>
      <c r="S15" s="361"/>
      <c r="T15" s="362"/>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row>
    <row r="16" spans="1:90" ht="13.5" thickBot="1">
      <c r="A16" s="357" t="s">
        <v>277</v>
      </c>
      <c r="B16" s="358"/>
      <c r="C16" s="359"/>
      <c r="G16"/>
      <c r="M16" s="295" t="s">
        <v>290</v>
      </c>
      <c r="N16" s="295" t="s">
        <v>291</v>
      </c>
      <c r="O16" s="295" t="s">
        <v>292</v>
      </c>
      <c r="P16" s="294"/>
      <c r="Q16" s="316" t="s">
        <v>52</v>
      </c>
      <c r="R16" s="317" t="s">
        <v>299</v>
      </c>
      <c r="S16" s="317" t="s">
        <v>250</v>
      </c>
      <c r="T16" s="318" t="s">
        <v>252</v>
      </c>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row>
    <row r="17" spans="7:90" ht="12.75">
      <c r="G17"/>
      <c r="M17" s="263"/>
      <c r="N17" s="296">
        <f>$L7</f>
        <v>9382.702886429777</v>
      </c>
      <c r="O17" s="296">
        <f>$L7</f>
        <v>9382.702886429777</v>
      </c>
      <c r="Q17" s="319" t="s">
        <v>175</v>
      </c>
      <c r="R17" s="315">
        <v>16.67975889253613</v>
      </c>
      <c r="S17" s="315">
        <v>12.781510792403086</v>
      </c>
      <c r="T17" s="320">
        <v>10.853650585062814</v>
      </c>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row>
    <row r="18" spans="7:90" ht="12.75">
      <c r="G18" s="5"/>
      <c r="M18" s="263"/>
      <c r="N18" s="296">
        <f>M13</f>
        <v>6278.994316204914</v>
      </c>
      <c r="O18" s="296">
        <f>SUMPRODUCT(UAOptimizer!$C$2:$E$2,UAOptimizer!W52:Y52)</f>
        <v>5933.0597643239635</v>
      </c>
      <c r="Q18" s="319" t="s">
        <v>176</v>
      </c>
      <c r="R18" s="315">
        <v>18.069745417291777</v>
      </c>
      <c r="S18" s="315">
        <v>13.814093196763753</v>
      </c>
      <c r="T18" s="320">
        <v>11.72082661279607</v>
      </c>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row>
    <row r="19" spans="7:90" ht="12.75">
      <c r="G19" s="5"/>
      <c r="M19" s="263"/>
      <c r="N19" s="296">
        <f>N17-N18</f>
        <v>3103.7085702248633</v>
      </c>
      <c r="O19" s="296">
        <f>O17-O18</f>
        <v>3449.6431221058137</v>
      </c>
      <c r="Q19" s="319" t="s">
        <v>177</v>
      </c>
      <c r="R19" s="315">
        <v>18.124547407767835</v>
      </c>
      <c r="S19" s="315">
        <v>13.853659821689332</v>
      </c>
      <c r="T19" s="320">
        <v>11.756027646548219</v>
      </c>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row>
    <row r="20" spans="7:90" ht="12.75">
      <c r="G20" s="5"/>
      <c r="M20" s="263"/>
      <c r="N20" s="296">
        <v>186000</v>
      </c>
      <c r="O20" s="296">
        <v>186000</v>
      </c>
      <c r="P20" s="5"/>
      <c r="Q20" s="319" t="s">
        <v>179</v>
      </c>
      <c r="R20" s="315">
        <v>23.32638098731773</v>
      </c>
      <c r="S20" s="315">
        <v>17.833303474115827</v>
      </c>
      <c r="T20" s="320">
        <v>15.140122339505035</v>
      </c>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7:90" ht="12.75">
      <c r="G21" s="5"/>
      <c r="M21" s="159">
        <f>N21*0.85</f>
        <v>60.28674882764644</v>
      </c>
      <c r="N21" s="296">
        <f>N19*N20/8760000*1.07625</f>
        <v>70.92558685605464</v>
      </c>
      <c r="O21" s="296">
        <f>O19*O20/8760000*1.07625</f>
        <v>78.83084295558757</v>
      </c>
      <c r="P21" s="5"/>
      <c r="Q21" s="319" t="s">
        <v>180</v>
      </c>
      <c r="R21" s="315">
        <v>23.32638176867003</v>
      </c>
      <c r="S21" s="315">
        <v>17.83330407146901</v>
      </c>
      <c r="T21" s="320">
        <v>15.140121832363779</v>
      </c>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7:90" ht="13.5" thickBot="1">
      <c r="G22" s="5"/>
      <c r="P22" s="5"/>
      <c r="Q22" s="319" t="s">
        <v>218</v>
      </c>
      <c r="R22" s="315">
        <v>28.47535601264285</v>
      </c>
      <c r="S22" s="315">
        <v>21.62747452912411</v>
      </c>
      <c r="T22" s="320">
        <v>18.35593000396657</v>
      </c>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2:90" ht="13.5" thickBot="1">
      <c r="B23" s="169" t="s">
        <v>23</v>
      </c>
      <c r="C23" s="169" t="s">
        <v>23</v>
      </c>
      <c r="D23" s="169" t="s">
        <v>23</v>
      </c>
      <c r="E23" s="169" t="s">
        <v>242</v>
      </c>
      <c r="G23"/>
      <c r="P23" s="5"/>
      <c r="Q23" s="319" t="s">
        <v>181</v>
      </c>
      <c r="R23" s="315">
        <v>29.041690238491967</v>
      </c>
      <c r="S23" s="315">
        <v>21.92052235380528</v>
      </c>
      <c r="T23" s="320">
        <v>18.62220745362609</v>
      </c>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2:90" ht="13.5" thickBot="1">
      <c r="B24" s="219">
        <v>0.04</v>
      </c>
      <c r="C24" s="220">
        <v>0.84</v>
      </c>
      <c r="D24" s="220">
        <v>0.12</v>
      </c>
      <c r="E24" s="221">
        <f>SUM(B24:D24)</f>
        <v>1</v>
      </c>
      <c r="G24"/>
      <c r="P24" s="5"/>
      <c r="Q24" s="319" t="s">
        <v>182</v>
      </c>
      <c r="R24" s="315">
        <v>34.78136804728127</v>
      </c>
      <c r="S24" s="315">
        <v>26.16128502574935</v>
      </c>
      <c r="T24" s="320">
        <v>22.210417650611486</v>
      </c>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row>
    <row r="25" spans="1:90" ht="12.75">
      <c r="A25" s="155" t="s">
        <v>245</v>
      </c>
      <c r="B25" s="212">
        <v>924</v>
      </c>
      <c r="C25" s="212">
        <v>1568</v>
      </c>
      <c r="D25" s="212">
        <v>2352</v>
      </c>
      <c r="E25" s="213">
        <f>SUMPRODUCT($B$24:$D$24,B25:D25)</f>
        <v>1636.32</v>
      </c>
      <c r="G25"/>
      <c r="P25" s="5"/>
      <c r="Q25" s="319" t="s">
        <v>184</v>
      </c>
      <c r="R25" s="315">
        <v>36.63304765555283</v>
      </c>
      <c r="S25" s="315">
        <v>27.47954923025491</v>
      </c>
      <c r="T25" s="320">
        <v>23.30682710481675</v>
      </c>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row>
    <row r="26" spans="1:91" ht="12.75">
      <c r="A26" s="155" t="s">
        <v>279</v>
      </c>
      <c r="B26" s="156">
        <f>UAOptimizer!B39</f>
        <v>352.21593737827715</v>
      </c>
      <c r="C26" s="156">
        <f>UAOptimizer!C39</f>
        <v>524.7673893632958</v>
      </c>
      <c r="D26" s="156">
        <f>UAOptimizer!D39</f>
        <v>787.3080128838952</v>
      </c>
      <c r="E26" s="157">
        <f>SUMPRODUCT($B$24:$D$24,B26:D26)</f>
        <v>549.3702061063669</v>
      </c>
      <c r="G26"/>
      <c r="Q26" s="319" t="s">
        <v>186</v>
      </c>
      <c r="R26" s="315">
        <v>61.055075986661414</v>
      </c>
      <c r="S26" s="315">
        <v>45.79924613719948</v>
      </c>
      <c r="T26" s="320">
        <v>38.844709653222</v>
      </c>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row>
    <row r="27" spans="1:88" ht="12.75">
      <c r="A27" s="170" t="s">
        <v>275</v>
      </c>
      <c r="B27" s="156">
        <f>UAOptimizer!$B$95</f>
        <v>252.08184</v>
      </c>
      <c r="C27" s="156">
        <f>UAOptimizer!$C$95</f>
        <v>379.97087999999997</v>
      </c>
      <c r="D27" s="156">
        <f>UAOptimizer!$D$95</f>
        <v>564.3643199999999</v>
      </c>
      <c r="E27" s="157">
        <f>SUMPRODUCT($B$24:$D$24,B27:D27)</f>
        <v>396.9825311999999</v>
      </c>
      <c r="G27"/>
      <c r="L27" s="5"/>
      <c r="M27" s="5"/>
      <c r="N27" s="5"/>
      <c r="O27" s="5"/>
      <c r="P27" s="5"/>
      <c r="Q27" s="319" t="s">
        <v>188</v>
      </c>
      <c r="R27" s="315">
        <v>69.14298151452248</v>
      </c>
      <c r="S27" s="315">
        <v>51.82442935149815</v>
      </c>
      <c r="T27" s="320">
        <v>43.94186102492345</v>
      </c>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7" ht="13.5" thickBot="1">
      <c r="A28" s="155" t="s">
        <v>249</v>
      </c>
      <c r="B28" s="207">
        <f>INDEX(B30:B43,MATCH(TRUE,C30:C43,0))</f>
        <v>204.45384</v>
      </c>
      <c r="C28" s="207">
        <f>INDEX(D30:D43,MATCH(TRUE,E30:E43,0))</f>
        <v>302.63487999999995</v>
      </c>
      <c r="D28" s="207">
        <f>INDEX(F30:F43,MATCH(TRUE,G30:G43,0))</f>
        <v>461.65631999999994</v>
      </c>
      <c r="E28" s="208">
        <f>SUMPRODUCT($B$24:$D$24,B28:D28)</f>
        <v>317.79021119999993</v>
      </c>
      <c r="G28"/>
      <c r="H28" s="164"/>
      <c r="I28" s="5"/>
      <c r="J28" s="5"/>
      <c r="K28" s="5"/>
      <c r="L28" s="5"/>
      <c r="M28" s="5"/>
      <c r="N28" s="5"/>
      <c r="O28" s="5"/>
      <c r="P28" s="5"/>
      <c r="Q28" s="321" t="s">
        <v>189</v>
      </c>
      <c r="R28" s="322">
        <v>107.7130473076638</v>
      </c>
      <c r="S28" s="322">
        <v>80.719253001163</v>
      </c>
      <c r="T28" s="323">
        <v>68.43721666264459</v>
      </c>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row>
    <row r="29" spans="2:87" ht="13.5" thickBot="1">
      <c r="B29" s="355">
        <v>924</v>
      </c>
      <c r="C29" s="356"/>
      <c r="D29" s="355">
        <v>1568</v>
      </c>
      <c r="E29" s="356"/>
      <c r="F29" s="355">
        <v>2352</v>
      </c>
      <c r="G29" s="356"/>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row>
    <row r="30" spans="2:87" ht="12.75">
      <c r="B30" s="216">
        <f>IF('924 SF'!AD39&gt;1,UAOptimizer!T36,UAOptimizer!T35)</f>
        <v>240.99384</v>
      </c>
      <c r="C30" s="235" t="b">
        <f aca="true" t="shared" si="1" ref="C30:C41">AND(B30=B31,B31&gt;B32)</f>
        <v>0</v>
      </c>
      <c r="D30" s="216">
        <f>IF('1568 SF'!$AD39&gt;1,UAOptimizer!$Z36,UAOptimizer!$Z35)</f>
        <v>361.15488</v>
      </c>
      <c r="E30" s="235" t="b">
        <f aca="true" t="shared" si="2" ref="E30:E41">AND(D30=D31,D31&gt;D32)</f>
        <v>0</v>
      </c>
      <c r="F30" s="216">
        <f>IF('2352 SF'!$AD35&gt;1,UAOptimizer!$AF36,UAOptimizer!AF35)</f>
        <v>536.1403199999999</v>
      </c>
      <c r="G30" s="217" t="b">
        <f>AND(F30=F31,F31&gt;F32)</f>
        <v>0</v>
      </c>
      <c r="H30" s="5"/>
      <c r="I30" s="5"/>
      <c r="J30" s="5"/>
      <c r="K30" s="5"/>
      <c r="L30" s="5"/>
      <c r="M30" s="5"/>
      <c r="N30" s="5"/>
      <c r="O30" s="5"/>
      <c r="P30" s="5"/>
      <c r="Q30" s="324" t="s">
        <v>52</v>
      </c>
      <c r="R30" s="325" t="s">
        <v>175</v>
      </c>
      <c r="S30" s="325" t="s">
        <v>176</v>
      </c>
      <c r="T30" s="325" t="s">
        <v>177</v>
      </c>
      <c r="U30" s="325" t="s">
        <v>179</v>
      </c>
      <c r="V30" s="325" t="s">
        <v>180</v>
      </c>
      <c r="W30" s="325" t="s">
        <v>218</v>
      </c>
      <c r="X30" s="325" t="s">
        <v>181</v>
      </c>
      <c r="Y30" s="325" t="s">
        <v>182</v>
      </c>
      <c r="Z30" s="325" t="s">
        <v>184</v>
      </c>
      <c r="AA30" s="325" t="s">
        <v>186</v>
      </c>
      <c r="AB30" s="325" t="s">
        <v>188</v>
      </c>
      <c r="AC30" s="325" t="s">
        <v>189</v>
      </c>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row>
    <row r="31" spans="2:87" ht="12.75">
      <c r="B31" s="209">
        <f>IF('924 SF'!AD40&gt;1,UAOptimizer!T37,UAOptimizer!T36)</f>
        <v>237.79384000000002</v>
      </c>
      <c r="C31" s="214" t="b">
        <f t="shared" si="1"/>
        <v>0</v>
      </c>
      <c r="D31" s="209">
        <f>IF('1568 SF'!$AD40&gt;1,UAOptimizer!$Z37,UAOptimizer!$Z36)</f>
        <v>353.89088</v>
      </c>
      <c r="E31" s="214" t="b">
        <f t="shared" si="2"/>
        <v>0</v>
      </c>
      <c r="F31" s="209">
        <f>IF('2352 SF'!$AD36&gt;1,UAOptimizer!$AF37,UAOptimizer!AF36)</f>
        <v>530.6803199999998</v>
      </c>
      <c r="G31" s="210" t="b">
        <f aca="true" t="shared" si="3" ref="G31:G40">AND(F31=F32,F32&gt;F33)</f>
        <v>0</v>
      </c>
      <c r="H31" s="5"/>
      <c r="I31" s="5"/>
      <c r="J31" s="5"/>
      <c r="K31" s="5"/>
      <c r="L31" s="5"/>
      <c r="M31" s="5"/>
      <c r="N31" s="5"/>
      <c r="O31" s="5"/>
      <c r="P31" s="5"/>
      <c r="Q31" s="324" t="s">
        <v>299</v>
      </c>
      <c r="R31" s="325">
        <v>16.67975889253613</v>
      </c>
      <c r="S31" s="325">
        <v>18.069745417291777</v>
      </c>
      <c r="T31" s="325">
        <v>18.124547407767835</v>
      </c>
      <c r="U31" s="325">
        <v>23.32638098731773</v>
      </c>
      <c r="V31" s="325">
        <v>23.32638176867003</v>
      </c>
      <c r="W31" s="325">
        <v>28.47535601264285</v>
      </c>
      <c r="X31" s="325">
        <v>29.041690238491967</v>
      </c>
      <c r="Y31" s="325">
        <v>34.78136804728127</v>
      </c>
      <c r="Z31" s="325">
        <v>36.63304765555283</v>
      </c>
      <c r="AA31" s="325">
        <v>61.055075986661414</v>
      </c>
      <c r="AB31" s="325">
        <v>69.14298151452248</v>
      </c>
      <c r="AC31" s="325">
        <v>107.7130473076638</v>
      </c>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row>
    <row r="32" spans="2:87" ht="12.75">
      <c r="B32" s="209">
        <f>IF('924 SF'!AD41&gt;1,UAOptimizer!T38,UAOptimizer!T37)</f>
        <v>233.60184</v>
      </c>
      <c r="C32" s="214" t="b">
        <f t="shared" si="1"/>
        <v>0</v>
      </c>
      <c r="D32" s="209">
        <f>IF('1568 SF'!$AD41&gt;1,UAOptimizer!$Z38,UAOptimizer!$Z37)</f>
        <v>348.61088</v>
      </c>
      <c r="E32" s="214" t="b">
        <f t="shared" si="2"/>
        <v>0</v>
      </c>
      <c r="F32" s="209">
        <f>IF('2352 SF'!$AD37&gt;1,UAOptimizer!$AF38,UAOptimizer!AF37)</f>
        <v>522.8903199999999</v>
      </c>
      <c r="G32" s="210" t="b">
        <f t="shared" si="3"/>
        <v>0</v>
      </c>
      <c r="H32" s="5"/>
      <c r="I32" s="5"/>
      <c r="J32" s="5"/>
      <c r="K32" s="5"/>
      <c r="L32" s="5"/>
      <c r="M32" s="5"/>
      <c r="N32" s="5"/>
      <c r="O32" s="5"/>
      <c r="P32" s="5"/>
      <c r="Q32" s="324" t="s">
        <v>250</v>
      </c>
      <c r="R32" s="325">
        <v>12.781510792403086</v>
      </c>
      <c r="S32" s="325">
        <v>13.814093196763753</v>
      </c>
      <c r="T32" s="325">
        <v>13.853659821689332</v>
      </c>
      <c r="U32" s="325">
        <v>17.833303474115827</v>
      </c>
      <c r="V32" s="325">
        <v>17.83330407146901</v>
      </c>
      <c r="W32" s="325">
        <v>21.62747452912411</v>
      </c>
      <c r="X32" s="325">
        <v>21.92052235380528</v>
      </c>
      <c r="Y32" s="325">
        <v>26.16128502574935</v>
      </c>
      <c r="Z32" s="325">
        <v>27.47954923025491</v>
      </c>
      <c r="AA32" s="325">
        <v>45.79924613719948</v>
      </c>
      <c r="AB32" s="325">
        <v>51.82442935149815</v>
      </c>
      <c r="AC32" s="325">
        <v>80.719253001163</v>
      </c>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row>
    <row r="33" spans="2:87" ht="12.75">
      <c r="B33" s="209">
        <f>IF('924 SF'!AD42&gt;1,UAOptimizer!T39,UAOptimizer!T38)</f>
        <v>231.60184</v>
      </c>
      <c r="C33" s="214" t="b">
        <f t="shared" si="1"/>
        <v>0</v>
      </c>
      <c r="D33" s="209">
        <f>IF('1568 SF'!$AD42&gt;1,UAOptimizer!$Z39,UAOptimizer!$Z38)</f>
        <v>344.07088</v>
      </c>
      <c r="E33" s="214" t="b">
        <f t="shared" si="2"/>
        <v>0</v>
      </c>
      <c r="F33" s="209">
        <f>IF('2352 SF'!$AD38&gt;1,UAOptimizer!$AF39,UAOptimizer!AF38)</f>
        <v>490.41431999999986</v>
      </c>
      <c r="G33" s="210" t="b">
        <f t="shared" si="3"/>
        <v>0</v>
      </c>
      <c r="H33" s="5"/>
      <c r="I33" s="5"/>
      <c r="J33" s="5"/>
      <c r="K33" s="5"/>
      <c r="L33" s="5"/>
      <c r="M33" s="5"/>
      <c r="N33" s="5"/>
      <c r="O33" s="5"/>
      <c r="P33" s="5"/>
      <c r="Q33" s="324" t="s">
        <v>252</v>
      </c>
      <c r="R33" s="325">
        <v>10.853650585062814</v>
      </c>
      <c r="S33" s="325">
        <v>11.72082661279607</v>
      </c>
      <c r="T33" s="325">
        <v>11.756027646548219</v>
      </c>
      <c r="U33" s="325">
        <v>15.140122339505035</v>
      </c>
      <c r="V33" s="325">
        <v>15.140121832363779</v>
      </c>
      <c r="W33" s="325">
        <v>18.35593000396657</v>
      </c>
      <c r="X33" s="325">
        <v>18.62220745362609</v>
      </c>
      <c r="Y33" s="325">
        <v>22.210417650611486</v>
      </c>
      <c r="Z33" s="325">
        <v>23.30682710481675</v>
      </c>
      <c r="AA33" s="325">
        <v>38.844709653222</v>
      </c>
      <c r="AB33" s="325">
        <v>43.94186102492345</v>
      </c>
      <c r="AC33" s="325">
        <v>68.43721666264459</v>
      </c>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row>
    <row r="34" spans="2:87" ht="12.75">
      <c r="B34" s="209">
        <f>IF('924 SF'!AD43&gt;1,UAOptimizer!T40,UAOptimizer!T39)</f>
        <v>228.98184</v>
      </c>
      <c r="C34" s="214" t="b">
        <f t="shared" si="1"/>
        <v>0</v>
      </c>
      <c r="D34" s="209">
        <f>IF('1568 SF'!$AD43&gt;1,UAOptimizer!$Z40,UAOptimizer!$Z39)</f>
        <v>340.77088</v>
      </c>
      <c r="E34" s="214" t="b">
        <f t="shared" si="2"/>
        <v>0</v>
      </c>
      <c r="F34" s="209">
        <f>IF('2352 SF'!$AD39&gt;1,UAOptimizer!$AF40,UAOptimizer!AF39)</f>
        <v>473.4703199999999</v>
      </c>
      <c r="G34" s="210" t="b">
        <f t="shared" si="3"/>
        <v>0</v>
      </c>
      <c r="H34" s="5"/>
      <c r="I34" s="5"/>
      <c r="J34" s="5"/>
      <c r="K34" s="5"/>
      <c r="L34" s="5"/>
      <c r="M34" s="5"/>
      <c r="N34" s="5"/>
      <c r="O34" s="5"/>
      <c r="P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row>
    <row r="35" spans="2:90" ht="12.75">
      <c r="B35" s="209">
        <f>IF('924 SF'!AD44&gt;1,UAOptimizer!T41,UAOptimizer!T40)</f>
        <v>218.30984</v>
      </c>
      <c r="C35" s="214" t="b">
        <f t="shared" si="1"/>
        <v>0</v>
      </c>
      <c r="D35" s="209">
        <f>IF('1568 SF'!$AD44&gt;1,UAOptimizer!$Z41,UAOptimizer!$Z40)</f>
        <v>322.73888</v>
      </c>
      <c r="E35" s="214" t="b">
        <f t="shared" si="2"/>
        <v>0</v>
      </c>
      <c r="F35" s="209">
        <f>IF('2352 SF'!$AD40&gt;1,UAOptimizer!$AF41,UAOptimizer!AF40)</f>
        <v>467.1163199999999</v>
      </c>
      <c r="G35" s="210" t="b">
        <f t="shared" si="3"/>
        <v>0</v>
      </c>
      <c r="I35" s="165"/>
      <c r="J35" s="5"/>
      <c r="K35" s="5"/>
      <c r="L35" s="5"/>
      <c r="M35" s="5"/>
      <c r="N35" s="5"/>
      <c r="O35" s="5"/>
      <c r="P35" s="5"/>
      <c r="Q35" s="5">
        <f>1.05*1.025</f>
        <v>1.07625</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row>
    <row r="36" spans="2:91" ht="12.75">
      <c r="B36" s="209">
        <f>IF('924 SF'!AD45&gt;1,UAOptimizer!T42,UAOptimizer!T41)</f>
        <v>212.74184000000002</v>
      </c>
      <c r="C36" s="214" t="b">
        <f t="shared" si="1"/>
        <v>0</v>
      </c>
      <c r="D36" s="209">
        <f>IF('1568 SF'!$AD45&gt;1,UAOptimizer!$Z42,UAOptimizer!$Z41)</f>
        <v>313.33088</v>
      </c>
      <c r="E36" s="214" t="b">
        <f t="shared" si="2"/>
        <v>0</v>
      </c>
      <c r="F36" s="209">
        <f>IF('2352 SF'!$AD41&gt;1,UAOptimizer!$AF42,UAOptimizer!AF41)</f>
        <v>461.65631999999994</v>
      </c>
      <c r="G36" s="210" t="b">
        <f t="shared" si="3"/>
        <v>1</v>
      </c>
      <c r="I36" s="5"/>
      <c r="J36" s="5"/>
      <c r="K36" s="5"/>
      <c r="L36" s="5"/>
      <c r="M36" s="5"/>
      <c r="N36" s="5"/>
      <c r="O36" s="5"/>
      <c r="P36" s="5"/>
      <c r="Q36" s="324" t="s">
        <v>52</v>
      </c>
      <c r="R36" s="324"/>
      <c r="S36" s="325" t="s">
        <v>175</v>
      </c>
      <c r="T36" s="325" t="s">
        <v>176</v>
      </c>
      <c r="U36" s="325" t="s">
        <v>177</v>
      </c>
      <c r="V36" s="325" t="s">
        <v>179</v>
      </c>
      <c r="W36" s="325" t="s">
        <v>180</v>
      </c>
      <c r="X36" s="325" t="s">
        <v>218</v>
      </c>
      <c r="Y36" s="325" t="s">
        <v>181</v>
      </c>
      <c r="Z36" s="325" t="s">
        <v>182</v>
      </c>
      <c r="AA36" s="325" t="s">
        <v>184</v>
      </c>
      <c r="AB36" s="325" t="s">
        <v>186</v>
      </c>
      <c r="AC36" s="325" t="s">
        <v>188</v>
      </c>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row>
    <row r="37" spans="2:91" ht="12.75">
      <c r="B37" s="209">
        <f>IF('924 SF'!AD46&gt;1,UAOptimizer!T43,UAOptimizer!T42)</f>
        <v>206.45384</v>
      </c>
      <c r="C37" s="214" t="b">
        <f t="shared" si="1"/>
        <v>0</v>
      </c>
      <c r="D37" s="209">
        <f>IF('1568 SF'!$AD46&gt;1,UAOptimizer!$Z43,UAOptimizer!$Z42)</f>
        <v>307.17488</v>
      </c>
      <c r="E37" s="214" t="b">
        <f t="shared" si="2"/>
        <v>0</v>
      </c>
      <c r="F37" s="209">
        <f>IF('2352 SF'!$AD42&gt;1,UAOptimizer!$AF43,UAOptimizer!AF42)</f>
        <v>461.65631999999994</v>
      </c>
      <c r="G37" s="210" t="b">
        <f t="shared" si="3"/>
        <v>0</v>
      </c>
      <c r="H37" s="5"/>
      <c r="I37" s="5"/>
      <c r="J37" s="5"/>
      <c r="K37" s="5"/>
      <c r="L37" s="5"/>
      <c r="M37" s="5"/>
      <c r="N37" s="5"/>
      <c r="O37" s="5"/>
      <c r="P37" s="5"/>
      <c r="Q37" s="326" t="s">
        <v>253</v>
      </c>
      <c r="R37" s="326"/>
      <c r="S37" s="49">
        <v>835.1643169636222</v>
      </c>
      <c r="T37" s="49">
        <v>318.9237763985993</v>
      </c>
      <c r="U37" s="49">
        <v>231.107606998214</v>
      </c>
      <c r="V37" s="49">
        <v>197.60792881032185</v>
      </c>
      <c r="W37" s="49">
        <v>143.63571917930992</v>
      </c>
      <c r="X37" s="49">
        <v>772.9882500891622</v>
      </c>
      <c r="Y37" s="49">
        <v>397.47203643856335</v>
      </c>
      <c r="Z37" s="49">
        <v>258.4521953763305</v>
      </c>
      <c r="AA37" s="49">
        <v>189.84088032347762</v>
      </c>
      <c r="AB37" s="49">
        <v>82.79404031728852</v>
      </c>
      <c r="AC37" s="49">
        <v>150.89027736397992</v>
      </c>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row>
    <row r="38" spans="2:91" ht="12.75">
      <c r="B38" s="209">
        <f>IF('924 SF'!AD47&gt;1,UAOptimizer!T44,UAOptimizer!T43)</f>
        <v>204.45384</v>
      </c>
      <c r="C38" s="214" t="b">
        <f t="shared" si="1"/>
        <v>1</v>
      </c>
      <c r="D38" s="209">
        <f>IF('1568 SF'!$AD47&gt;1,UAOptimizer!$Z44,UAOptimizer!$Z43)</f>
        <v>302.63487999999995</v>
      </c>
      <c r="E38" s="214" t="b">
        <f t="shared" si="2"/>
        <v>1</v>
      </c>
      <c r="F38" s="209">
        <f>IF('2352 SF'!$AD43&gt;1,UAOptimizer!$AF44,UAOptimizer!AF43)</f>
        <v>456.98231999999996</v>
      </c>
      <c r="G38" s="210" t="b">
        <f t="shared" si="3"/>
        <v>0</v>
      </c>
      <c r="H38" s="5"/>
      <c r="I38" s="5"/>
      <c r="J38" s="5"/>
      <c r="K38" s="5"/>
      <c r="L38" s="5"/>
      <c r="M38" s="5"/>
      <c r="N38" s="5"/>
      <c r="O38" s="5"/>
      <c r="P38" s="327">
        <v>1.0312240341783412</v>
      </c>
      <c r="Q38" s="324" t="s">
        <v>301</v>
      </c>
      <c r="R38" s="324"/>
      <c r="S38" s="296">
        <f>SUM($S37:S37)*$P$38</f>
        <v>861.2415161410254</v>
      </c>
      <c r="T38" s="296">
        <f>SUM($S37:T37)*$P$38</f>
        <v>1190.1233794341802</v>
      </c>
      <c r="U38" s="296">
        <f>SUM($S37:U37)*$P$38</f>
        <v>1428.4470982521811</v>
      </c>
      <c r="V38" s="296">
        <f>SUM($S37:V37)*$P$38</f>
        <v>1632.2251437855878</v>
      </c>
      <c r="W38" s="296">
        <f>SUM($S37:W37)*$P$38</f>
        <v>1780.3457495697833</v>
      </c>
      <c r="X38" s="296">
        <f>SUM($S37:X37)*$P$38</f>
        <v>2577.4698111991856</v>
      </c>
      <c r="Y38" s="296">
        <f>SUM($S37:Y37)*$P$38</f>
        <v>2987.3525280884414</v>
      </c>
      <c r="Z38" s="296">
        <f>SUM($S37:Z37)*$P$38</f>
        <v>3253.87464364667</v>
      </c>
      <c r="AA38" s="296">
        <f>SUM($S37:AA37)*$P$38</f>
        <v>3449.643122105814</v>
      </c>
      <c r="AB38" s="296">
        <f>SUM($S37:AB37)*$P$38</f>
        <v>3535.0223263677326</v>
      </c>
      <c r="AC38" s="296">
        <f>SUM($S37:AC37)*$P$38</f>
        <v>3690.6240069093046</v>
      </c>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row>
    <row r="39" spans="2:91" ht="12.75">
      <c r="B39" s="209">
        <f>IF('924 SF'!AD48&gt;1,UAOptimizer!T45,UAOptimizer!T44)</f>
        <v>204.45384</v>
      </c>
      <c r="C39" s="214" t="b">
        <f t="shared" si="1"/>
        <v>0</v>
      </c>
      <c r="D39" s="209">
        <f>IF('1568 SF'!$AD48&gt;1,UAOptimizer!$Z45,UAOptimizer!$Z44)</f>
        <v>302.63487999999995</v>
      </c>
      <c r="E39" s="214" t="b">
        <f t="shared" si="2"/>
        <v>0</v>
      </c>
      <c r="F39" s="209">
        <f>IF('2352 SF'!$AD44&gt;1,UAOptimizer!$AF45,UAOptimizer!AF44)</f>
        <v>452.61431999999996</v>
      </c>
      <c r="G39" s="210" t="b">
        <f t="shared" si="3"/>
        <v>0</v>
      </c>
      <c r="H39" s="5"/>
      <c r="I39" s="5"/>
      <c r="J39" s="5"/>
      <c r="K39" s="5"/>
      <c r="L39" s="5"/>
      <c r="M39" s="5"/>
      <c r="N39" s="5"/>
      <c r="O39" s="5"/>
      <c r="P39" s="5"/>
      <c r="Q39" s="330" t="s">
        <v>61</v>
      </c>
      <c r="R39" s="330">
        <v>0</v>
      </c>
      <c r="S39" s="331">
        <v>15.390954751567842</v>
      </c>
      <c r="T39" s="331">
        <v>16.671025452364074</v>
      </c>
      <c r="U39" s="331">
        <v>16.72218735147473</v>
      </c>
      <c r="V39" s="331">
        <v>21.524589015384365</v>
      </c>
      <c r="W39" s="331">
        <v>21.524588294385897</v>
      </c>
      <c r="X39" s="331">
        <v>26.257668312729265</v>
      </c>
      <c r="Y39" s="331">
        <v>26.735550729449844</v>
      </c>
      <c r="Z39" s="331">
        <v>31.961946282728046</v>
      </c>
      <c r="AA39" s="331">
        <v>33.60785184868441</v>
      </c>
      <c r="AB39" s="331">
        <v>56.013083259231415</v>
      </c>
      <c r="AC39" s="331">
        <v>63.425005652231235</v>
      </c>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row>
    <row r="40" spans="2:91" ht="12.75">
      <c r="B40" s="209">
        <f>IF('924 SF'!AD49&gt;1,UAOptimizer!T46,UAOptimizer!T45)</f>
        <v>202.88184</v>
      </c>
      <c r="C40" s="214" t="b">
        <f t="shared" si="1"/>
        <v>0</v>
      </c>
      <c r="D40" s="209">
        <f>IF('1568 SF'!$AD49&gt;1,UAOptimizer!$Z46,UAOptimizer!$Z45)</f>
        <v>300.65487999999993</v>
      </c>
      <c r="E40" s="214" t="b">
        <f t="shared" si="2"/>
        <v>0</v>
      </c>
      <c r="F40" s="209">
        <f>IF('2352 SF'!$AD45&gt;1,UAOptimizer!$AF46,UAOptimizer!AF45)</f>
        <v>447.91031999999996</v>
      </c>
      <c r="G40" s="210" t="b">
        <f t="shared" si="3"/>
        <v>0</v>
      </c>
      <c r="H40" s="5"/>
      <c r="I40" s="5"/>
      <c r="J40" s="5"/>
      <c r="K40" s="5"/>
      <c r="L40" s="5"/>
      <c r="M40" s="5"/>
      <c r="N40" s="5"/>
      <c r="O40" s="5"/>
      <c r="P40" s="5"/>
      <c r="Q40" s="330" t="s">
        <v>290</v>
      </c>
      <c r="R40" s="330">
        <v>0</v>
      </c>
      <c r="S40" s="297">
        <v>16.728842218512064</v>
      </c>
      <c r="T40" s="297">
        <v>23.117076757196955</v>
      </c>
      <c r="U40" s="297">
        <v>27.746300748742826</v>
      </c>
      <c r="V40" s="297">
        <v>31.704506092349277</v>
      </c>
      <c r="W40" s="297">
        <v>34.58161570334077</v>
      </c>
      <c r="X40" s="297">
        <v>50.065034007799525</v>
      </c>
      <c r="Y40" s="297">
        <v>58.0266373100405</v>
      </c>
      <c r="Z40" s="297">
        <v>63.20358980867916</v>
      </c>
      <c r="AA40" s="297">
        <v>67.00621651224945</v>
      </c>
      <c r="AB40" s="297">
        <v>67.00621651224945</v>
      </c>
      <c r="AC40" s="297">
        <v>67.00621651224945</v>
      </c>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row>
    <row r="41" spans="2:91" ht="12.75">
      <c r="B41" s="209">
        <f>IF('924 SF'!AD50&gt;1,UAOptimizer!T47,UAOptimizer!T46)</f>
        <v>201.28184000000002</v>
      </c>
      <c r="C41" s="214" t="b">
        <f t="shared" si="1"/>
        <v>0</v>
      </c>
      <c r="D41" s="209">
        <f>IF('1568 SF'!$AD50&gt;1,UAOptimizer!$Z47,UAOptimizer!$Z46)</f>
        <v>297.02287999999993</v>
      </c>
      <c r="E41" s="214" t="b">
        <f t="shared" si="2"/>
        <v>0</v>
      </c>
      <c r="F41" s="209"/>
      <c r="G41" s="210"/>
      <c r="H41" s="5"/>
      <c r="I41" s="5"/>
      <c r="J41" s="5"/>
      <c r="K41" s="5"/>
      <c r="L41" s="5"/>
      <c r="M41" s="5"/>
      <c r="N41" s="5"/>
      <c r="O41" s="5"/>
      <c r="P41" s="5"/>
      <c r="Q41" s="330" t="s">
        <v>302</v>
      </c>
      <c r="R41" s="330">
        <v>0</v>
      </c>
      <c r="S41" s="328">
        <v>19.68099084530831</v>
      </c>
      <c r="T41" s="328">
        <v>27.19656089081995</v>
      </c>
      <c r="U41" s="328">
        <v>32.642706763226855</v>
      </c>
      <c r="V41" s="328">
        <v>37.29941893217562</v>
      </c>
      <c r="W41" s="328">
        <v>40.684253768636204</v>
      </c>
      <c r="X41" s="328">
        <v>58.90004000917591</v>
      </c>
      <c r="Y41" s="328">
        <v>68.26663212945941</v>
      </c>
      <c r="Z41" s="328">
        <v>74.35716448079901</v>
      </c>
      <c r="AA41" s="328">
        <v>78.83084295558758</v>
      </c>
      <c r="AB41" s="328">
        <v>78.83084295558758</v>
      </c>
      <c r="AC41" s="328">
        <v>78.83084295558758</v>
      </c>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row>
    <row r="42" spans="2:91" ht="13.5" thickBot="1">
      <c r="B42" s="211">
        <f>IF('924 SF'!AD51&gt;1,UAOptimizer!T48,UAOptimizer!T47)</f>
        <v>199.43384</v>
      </c>
      <c r="C42" s="215" t="b">
        <f>AND(B42=B43,B43&gt;B47)</f>
        <v>0</v>
      </c>
      <c r="D42" s="211">
        <f>IF('1568 SF'!$AD51&gt;1,UAOptimizer!$Z48,UAOptimizer!$Z47)</f>
        <v>293.8868799999999</v>
      </c>
      <c r="E42" s="215" t="b">
        <f>AND(D42=D43,D43&gt;D47)</f>
        <v>0</v>
      </c>
      <c r="F42" s="211"/>
      <c r="G42" s="218"/>
      <c r="H42" s="5"/>
      <c r="I42" s="5"/>
      <c r="J42" s="5"/>
      <c r="K42" s="5"/>
      <c r="L42" s="5"/>
      <c r="M42" s="5"/>
      <c r="N42" s="5"/>
      <c r="O42" s="5"/>
      <c r="P42" s="5"/>
      <c r="Q42" s="330" t="s">
        <v>292</v>
      </c>
      <c r="R42" s="330">
        <v>0</v>
      </c>
      <c r="S42" s="329">
        <v>19.68099084530831</v>
      </c>
      <c r="T42" s="329">
        <v>27.19656089081995</v>
      </c>
      <c r="U42" s="329">
        <v>32.642706763226855</v>
      </c>
      <c r="V42" s="329">
        <v>37.29941893217562</v>
      </c>
      <c r="W42" s="329">
        <v>40.684253768636204</v>
      </c>
      <c r="X42" s="329">
        <v>58.90004000917591</v>
      </c>
      <c r="Y42" s="329">
        <v>68.26663212945941</v>
      </c>
      <c r="Z42" s="329">
        <v>74.35716448079901</v>
      </c>
      <c r="AA42" s="329">
        <v>78.83084295558758</v>
      </c>
      <c r="AB42" s="329">
        <v>80.78191858996674</v>
      </c>
      <c r="AC42" s="329">
        <v>84.33771007569884</v>
      </c>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row>
    <row r="43" spans="7:90" ht="12.75">
      <c r="G43"/>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7:90" ht="12.75">
      <c r="G44"/>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row>
    <row r="45" spans="7:90" ht="12.75">
      <c r="G45"/>
      <c r="H45" s="5"/>
      <c r="I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row>
    <row r="46" spans="7:90" ht="13.5" thickBot="1">
      <c r="G46"/>
      <c r="H46" s="5"/>
      <c r="I46" s="5"/>
      <c r="O46" s="5"/>
      <c r="P46" s="5"/>
      <c r="Q46" s="5"/>
      <c r="R46" s="5"/>
      <c r="S46" s="5"/>
      <c r="U46" s="5"/>
      <c r="V46" s="5"/>
      <c r="W46" s="5"/>
      <c r="X46" s="5"/>
      <c r="Y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row>
    <row r="47" spans="1:90" ht="13.5" thickBot="1">
      <c r="A47" s="5"/>
      <c r="B47" s="5"/>
      <c r="C47" s="5"/>
      <c r="E47" s="169" t="s">
        <v>242</v>
      </c>
      <c r="G47" s="5"/>
      <c r="H47" s="5"/>
      <c r="I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1:90" ht="13.5" thickBot="1">
      <c r="A48" s="171" t="str">
        <f>A25</f>
        <v>Average House Size</v>
      </c>
      <c r="B48" s="171">
        <f>B25</f>
        <v>924</v>
      </c>
      <c r="C48" s="171">
        <f>C25</f>
        <v>1568</v>
      </c>
      <c r="D48" s="171">
        <f>D25</f>
        <v>2352</v>
      </c>
      <c r="E48" s="239">
        <f>E25</f>
        <v>1636.32</v>
      </c>
      <c r="G48" s="5"/>
      <c r="H48" s="5"/>
      <c r="I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1:90" ht="13.5" thickBot="1">
      <c r="A49" s="171" t="s">
        <v>259</v>
      </c>
      <c r="B49" s="172">
        <f>INDEX(B51:B64,MATCH(TRUE,C51:C64,0))</f>
        <v>864.3624</v>
      </c>
      <c r="C49" s="172">
        <f>INDEX(D51:D64,MATCH(TRUE,E51:E64,0))</f>
        <v>1382.2986</v>
      </c>
      <c r="D49" s="172">
        <f>INDEX(F51:F64,MATCH(TRUE,G51:G64,0))</f>
        <v>1910.5971000000002</v>
      </c>
      <c r="E49" s="172">
        <f>SUMPRODUCT($B$24:$D$24,B49:D49)</f>
        <v>1424.976972</v>
      </c>
      <c r="G49" s="5"/>
      <c r="H49" s="5"/>
      <c r="I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1:90" ht="13.5" thickBot="1">
      <c r="A50" s="5"/>
      <c r="B50" s="355">
        <v>924</v>
      </c>
      <c r="C50" s="356"/>
      <c r="D50" s="355">
        <v>1568</v>
      </c>
      <c r="E50" s="356"/>
      <c r="F50" s="355">
        <v>2352</v>
      </c>
      <c r="G50" s="356"/>
      <c r="H50" s="5"/>
      <c r="I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1:90" ht="12.75">
      <c r="A51" s="5"/>
      <c r="B51" s="236">
        <f>IF('924 SF'!AD39&gt;1,UAOptimizer!V36,UAOptimizer!V35)</f>
        <v>139.7088</v>
      </c>
      <c r="C51" s="235" t="b">
        <f>AND(B51=B52,B52&lt;B53)</f>
        <v>0</v>
      </c>
      <c r="D51" s="236">
        <f>IF('1568 SF'!$AD39&gt;1,UAOptimizer!$AB36,UAOptimizer!$AB35)</f>
        <v>237.0816</v>
      </c>
      <c r="E51" s="235" t="b">
        <f>AND(D51=D52,D52&lt;D53)</f>
        <v>0</v>
      </c>
      <c r="F51" s="236">
        <f>IF('2352 SF'!$AD35&gt;1,UAOptimizer!$AH36,UAOptimizer!$AH35)</f>
        <v>355.6224</v>
      </c>
      <c r="G51" s="217" t="b">
        <f>AND(F51=F52,F52&lt;F53)</f>
        <v>0</v>
      </c>
      <c r="H51" s="5"/>
      <c r="I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1:90" ht="12.75">
      <c r="A52" s="5"/>
      <c r="B52" s="237">
        <f>IF('924 SF'!AD40&gt;1,UAOptimizer!V37,UAOptimizer!V36)</f>
        <v>182.90879999999999</v>
      </c>
      <c r="C52" s="214" t="b">
        <f aca="true" t="shared" si="4" ref="C52:C63">AND(B52=B53,B53&lt;B54)</f>
        <v>0</v>
      </c>
      <c r="D52" s="237">
        <f>IF('1568 SF'!AD40&gt;1,UAOptimizer!AB37,UAOptimizer!AB36)</f>
        <v>335.1456</v>
      </c>
      <c r="E52" s="214" t="b">
        <f aca="true" t="shared" si="5" ref="E52:E63">AND(D52=D53,D53&lt;D54)</f>
        <v>0</v>
      </c>
      <c r="F52" s="237">
        <f>IF('2352 SF'!$AD36&gt;1,UAOptimizer!$AH37,UAOptimizer!$AH36)</f>
        <v>449.97120000000007</v>
      </c>
      <c r="G52" s="210" t="b">
        <f aca="true" t="shared" si="6" ref="G52:G61">AND(F52=F53,F53&lt;F54)</f>
        <v>0</v>
      </c>
      <c r="H52" s="5"/>
      <c r="I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row>
    <row r="53" spans="1:90" ht="12.75">
      <c r="A53" s="5"/>
      <c r="B53" s="237">
        <f>IF('924 SF'!AD41&gt;1,UAOptimizer!V38,UAOptimizer!V37)</f>
        <v>239.5008</v>
      </c>
      <c r="C53" s="214" t="b">
        <f t="shared" si="4"/>
        <v>0</v>
      </c>
      <c r="D53" s="237">
        <f>IF('1568 SF'!AD41&gt;1,UAOptimizer!AB38,UAOptimizer!AB37)</f>
        <v>406.42560000000003</v>
      </c>
      <c r="E53" s="214" t="b">
        <f t="shared" si="5"/>
        <v>0</v>
      </c>
      <c r="F53" s="237">
        <f>IF('2352 SF'!$AD37&gt;1,UAOptimizer!$AH38,UAOptimizer!$AH37)</f>
        <v>584.5824</v>
      </c>
      <c r="G53" s="210" t="b">
        <f t="shared" si="6"/>
        <v>0</v>
      </c>
      <c r="H53" s="5"/>
      <c r="I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row>
    <row r="54" spans="1:90" ht="12.75">
      <c r="A54" s="5"/>
      <c r="B54" s="237">
        <f>IF('924 SF'!AD42&gt;1,UAOptimizer!V39,UAOptimizer!V38)</f>
        <v>274.0608</v>
      </c>
      <c r="C54" s="214" t="b">
        <f t="shared" si="4"/>
        <v>0</v>
      </c>
      <c r="D54" s="237">
        <f>IF('1568 SF'!AD42&gt;1,UAOptimizer!AB39,UAOptimizer!AB38)</f>
        <v>484.8768</v>
      </c>
      <c r="E54" s="214" t="b">
        <f t="shared" si="5"/>
        <v>0</v>
      </c>
      <c r="F54" s="237">
        <f>IF('2352 SF'!$AD38&gt;1,UAOptimizer!$AH39,UAOptimizer!$AH38)</f>
        <v>1258.8124</v>
      </c>
      <c r="G54" s="210" t="b">
        <f t="shared" si="6"/>
        <v>0</v>
      </c>
      <c r="H54" s="5"/>
      <c r="I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row>
    <row r="55" spans="1:90" ht="12.75">
      <c r="A55" s="5"/>
      <c r="B55" s="237">
        <f>IF('924 SF'!AD43&gt;1,UAOptimizer!V40,UAOptimizer!V39)</f>
        <v>319.33439999999996</v>
      </c>
      <c r="C55" s="214" t="b">
        <f t="shared" si="4"/>
        <v>0</v>
      </c>
      <c r="D55" s="237">
        <f>IF('1568 SF'!AD43&gt;1,UAOptimizer!AB40,UAOptimizer!AB39)</f>
        <v>541.9008</v>
      </c>
      <c r="E55" s="214" t="b">
        <f t="shared" si="5"/>
        <v>0</v>
      </c>
      <c r="F55" s="237">
        <f>IF('2352 SF'!$AD39&gt;1,UAOptimizer!$AH40,UAOptimizer!$AH39)</f>
        <v>1611.8124</v>
      </c>
      <c r="G55" s="210" t="b">
        <f t="shared" si="6"/>
        <v>0</v>
      </c>
      <c r="H55" s="5"/>
      <c r="I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row>
    <row r="56" spans="1:90" ht="12.75">
      <c r="A56" s="5"/>
      <c r="B56" s="237">
        <f>IF('924 SF'!AD44&gt;1,UAOptimizer!V41,UAOptimizer!V40)</f>
        <v>540.8943999999999</v>
      </c>
      <c r="C56" s="214" t="b">
        <f t="shared" si="4"/>
        <v>0</v>
      </c>
      <c r="D56" s="237">
        <f>IF('1568 SF'!AD44&gt;1,UAOptimizer!AB41,UAOptimizer!AB40)</f>
        <v>916.2608</v>
      </c>
      <c r="E56" s="214" t="b">
        <f t="shared" si="5"/>
        <v>0</v>
      </c>
      <c r="F56" s="237">
        <f>IF('2352 SF'!$AD40&gt;1,UAOptimizer!$AH41,UAOptimizer!$AH40)</f>
        <v>1769.0739</v>
      </c>
      <c r="G56" s="210" t="b">
        <f t="shared" si="6"/>
        <v>0</v>
      </c>
      <c r="H56" s="5"/>
      <c r="I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row>
    <row r="57" spans="1:90" ht="12.75">
      <c r="A57" s="5"/>
      <c r="B57" s="237">
        <f>IF('924 SF'!AD45&gt;1,UAOptimizer!V42,UAOptimizer!V41)</f>
        <v>656.8943999999999</v>
      </c>
      <c r="C57" s="214" t="b">
        <f t="shared" si="4"/>
        <v>0</v>
      </c>
      <c r="D57" s="237">
        <f>IF('1568 SF'!AD45&gt;1,UAOptimizer!AB42,UAOptimizer!AB41)</f>
        <v>1112.2608</v>
      </c>
      <c r="E57" s="214" t="b">
        <f t="shared" si="5"/>
        <v>0</v>
      </c>
      <c r="F57" s="237">
        <f>IF('2352 SF'!$AD41&gt;1,UAOptimizer!$AH42,UAOptimizer!$AH41)</f>
        <v>1910.5971000000002</v>
      </c>
      <c r="G57" s="210" t="b">
        <f t="shared" si="6"/>
        <v>1</v>
      </c>
      <c r="H57" s="5"/>
      <c r="I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row>
    <row r="58" spans="1:90" ht="12.75">
      <c r="A58" s="5"/>
      <c r="B58" s="237">
        <f>IF('924 SF'!AD46&gt;1,UAOptimizer!V43,UAOptimizer!V42)</f>
        <v>812.5224</v>
      </c>
      <c r="C58" s="214" t="b">
        <f t="shared" si="4"/>
        <v>0</v>
      </c>
      <c r="D58" s="237">
        <f>IF('1568 SF'!AD46&gt;1,UAOptimizer!AB43,UAOptimizer!AB42)</f>
        <v>1264.6218000000001</v>
      </c>
      <c r="E58" s="214" t="b">
        <f t="shared" si="5"/>
        <v>0</v>
      </c>
      <c r="F58" s="237">
        <f>IF('2352 SF'!$AD42&gt;1,UAOptimizer!$AH43,UAOptimizer!$AH42)</f>
        <v>1910.5971000000002</v>
      </c>
      <c r="G58" s="210" t="b">
        <f t="shared" si="6"/>
        <v>0</v>
      </c>
      <c r="H58" s="5"/>
      <c r="I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row>
    <row r="59" spans="1:90" ht="12.75">
      <c r="A59" s="5"/>
      <c r="B59" s="237">
        <f>IF('924 SF'!AD47&gt;1,UAOptimizer!V44,UAOptimizer!V43)</f>
        <v>864.3624</v>
      </c>
      <c r="C59" s="214" t="b">
        <f t="shared" si="4"/>
        <v>1</v>
      </c>
      <c r="D59" s="237">
        <f>IF('1568 SF'!AD47&gt;1,UAOptimizer!AB44,UAOptimizer!AB43)</f>
        <v>1382.2986</v>
      </c>
      <c r="E59" s="214" t="b">
        <f t="shared" si="5"/>
        <v>1</v>
      </c>
      <c r="F59" s="237">
        <f>IF('2352 SF'!$AD43&gt;1,UAOptimizer!$AH44,UAOptimizer!$AH43)</f>
        <v>2112.5139000000004</v>
      </c>
      <c r="G59" s="210" t="b">
        <f t="shared" si="6"/>
        <v>0</v>
      </c>
      <c r="H59" s="5"/>
      <c r="I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row>
    <row r="60" spans="1:90" ht="12.75">
      <c r="A60" s="5"/>
      <c r="B60" s="237">
        <f>IF('924 SF'!AD48&gt;1,UAOptimizer!V45,UAOptimizer!V44)</f>
        <v>864.3624</v>
      </c>
      <c r="C60" s="214" t="b">
        <f t="shared" si="4"/>
        <v>0</v>
      </c>
      <c r="D60" s="237">
        <f>IF('1568 SF'!AD48&gt;1,UAOptimizer!AB45,UAOptimizer!AB44)</f>
        <v>1382.2986</v>
      </c>
      <c r="E60" s="214" t="b">
        <f t="shared" si="5"/>
        <v>0</v>
      </c>
      <c r="F60" s="237">
        <f>IF('2352 SF'!$AD44&gt;1,UAOptimizer!$AH45,UAOptimizer!$AH44)</f>
        <v>2324.7987000000003</v>
      </c>
      <c r="G60" s="210" t="b">
        <f t="shared" si="6"/>
        <v>0</v>
      </c>
      <c r="H60" s="5"/>
      <c r="I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row>
    <row r="61" spans="1:90" ht="12.75">
      <c r="A61" s="5"/>
      <c r="B61" s="237">
        <f>IF('924 SF'!AD49&gt;1,UAOptimizer!V46,UAOptimizer!V45)</f>
        <v>932.2728</v>
      </c>
      <c r="C61" s="214" t="b">
        <f t="shared" si="4"/>
        <v>0</v>
      </c>
      <c r="D61" s="237">
        <f>IF('1568 SF'!AD49&gt;1,UAOptimizer!AB46,UAOptimizer!AB45)</f>
        <v>1467.8346000000001</v>
      </c>
      <c r="E61" s="214" t="b">
        <f t="shared" si="5"/>
        <v>0</v>
      </c>
      <c r="F61" s="237">
        <f>IF('2352 SF'!$AD45&gt;1,UAOptimizer!$AH46,UAOptimizer!$AH45)</f>
        <v>2680.4211000000005</v>
      </c>
      <c r="G61" s="210" t="b">
        <f t="shared" si="6"/>
        <v>0</v>
      </c>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row>
    <row r="62" spans="2:90" ht="12.75">
      <c r="B62" s="237">
        <f>IF('924 SF'!AD50&gt;1,UAOptimizer!V47,UAOptimizer!V46)</f>
        <v>1010.0328</v>
      </c>
      <c r="C62" s="214" t="b">
        <f t="shared" si="4"/>
        <v>0</v>
      </c>
      <c r="D62" s="237">
        <f>IF('1568 SF'!AD50&gt;1,UAOptimizer!AB47,UAOptimizer!AB46)</f>
        <v>1644.3498000000002</v>
      </c>
      <c r="E62" s="214" t="b">
        <f t="shared" si="5"/>
        <v>0</v>
      </c>
      <c r="F62" s="237"/>
      <c r="G62" s="210"/>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row>
    <row r="63" spans="2:90" ht="13.5" thickBot="1">
      <c r="B63" s="238">
        <f>IF('924 SF'!AD51&gt;1,UAOptimizer!V48,UAOptimizer!V47)</f>
        <v>1149.7415999999998</v>
      </c>
      <c r="C63" s="215" t="b">
        <f t="shared" si="4"/>
        <v>0</v>
      </c>
      <c r="D63" s="238">
        <f>IF('1568 SF'!AD51&gt;1,UAOptimizer!AB48,UAOptimizer!AB47)</f>
        <v>1881.4314000000002</v>
      </c>
      <c r="E63" s="215" t="b">
        <f t="shared" si="5"/>
        <v>0</v>
      </c>
      <c r="F63" s="238"/>
      <c r="G63" s="218"/>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row>
    <row r="64" spans="7:90" ht="12.75">
      <c r="G64"/>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row>
    <row r="65" spans="7:90" ht="13.5" thickBot="1">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row>
    <row r="66" spans="5:90" ht="13.5" thickBot="1">
      <c r="E66" s="169" t="s">
        <v>242</v>
      </c>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row>
    <row r="67" spans="1:90" ht="13.5" thickBot="1">
      <c r="A67" s="171" t="str">
        <f>A48</f>
        <v>Average House Size</v>
      </c>
      <c r="B67" s="171">
        <f>B48</f>
        <v>924</v>
      </c>
      <c r="C67" s="171">
        <f>C48</f>
        <v>1568</v>
      </c>
      <c r="D67" s="171">
        <f>D48</f>
        <v>2352</v>
      </c>
      <c r="E67" s="239">
        <f>E48</f>
        <v>1636.32</v>
      </c>
      <c r="F67" s="363" t="s">
        <v>45</v>
      </c>
      <c r="G67" s="364"/>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row>
    <row r="68" spans="1:90" ht="25.5">
      <c r="A68" s="258" t="s">
        <v>280</v>
      </c>
      <c r="B68" s="259">
        <f ca="1">IF(ISNA(INDEX($B$72:$C$141,MATCH(B26,$B$72:$B$141,0),1)),TREND(OFFSET(INDEX($B$72:$C$141,MATCH(B26,$B$72:$B$141,-1),2),0,0,2,1),OFFSET(INDEX($B$72:$C$141,MATCH(B26,$B$72:$B$141,-1),1),0,0,2,1),B26),INDEX($B$72:$C$141,MATCH(B26,$B$72:$B$141,0),2))</f>
        <v>9386.96306173601</v>
      </c>
      <c r="C68" s="259">
        <f ca="1">IF(ISNA(INDEX($D$72:$E$141,MATCH(C26,$D$72:$D$141,0),1)),TREND(OFFSET(INDEX($D$72:$E$141,MATCH(C26,$D$72:$D$141,-1),2),0,0,2,1),OFFSET(INDEX($D$72:$E$141,MATCH(C26,$D$72:$D$141,-1),1),0,0,2,1),C26),INDEX($D$72:$E$141,MATCH(C26,$D$72:$D$141,0),2))</f>
        <v>15420.717072072694</v>
      </c>
      <c r="D68" s="259">
        <f ca="1">IF(ISNA(INDEX($F$72:$G$141,MATCH(D26,$F$72:$F$141,0),1)),TREND(OFFSET(INDEX($F$72:$G$141,MATCH(D26,$F$72:$F$141,-1),2),0,0,2,1),OFFSET(INDEX($F$72:$G$141,MATCH(D26,$F$72:$F$141,-1),1),0,0,2,1),D26),INDEX($F$72:$G$141,MATCH(D26,$F$72:$F$141,0),2))</f>
        <v>20045.045206223895</v>
      </c>
      <c r="E68" s="259">
        <f>SUMPRODUCT($B$24:$D$24,B68:D68)</f>
        <v>15734.28628775737</v>
      </c>
      <c r="F68" s="260">
        <f>E$68-E68</f>
        <v>0</v>
      </c>
      <c r="G68" s="261"/>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row>
    <row r="69" spans="1:90" ht="26.25" thickBot="1">
      <c r="A69" s="242" t="s">
        <v>281</v>
      </c>
      <c r="B69" s="167">
        <f ca="1">IF(ISNA(INDEX($B$72:$C$141,MATCH(B27,$B$72:$B$141,0),1)),TREND(OFFSET(INDEX($B$72:$C$141,MATCH(B27,$B$72:$B$141,-1),2),0,0,2,1),OFFSET(INDEX($B$72:$C$141,MATCH(B27,$B$72:$B$141,-1),1),0,0,2,1),B27),INDEX($B$72:$C$141,MATCH(B27,$B$72:$B$141,0),2))</f>
        <v>5211.826891601322</v>
      </c>
      <c r="C69" s="167">
        <f ca="1">IF(ISNA(INDEX($D$72:$E$141,MATCH(C27,$D$72:$D$141,0),1)),TREND(OFFSET(INDEX($D$72:$E$141,MATCH(C27,$D$72:$D$141,-1),2),0,0,2,1),OFFSET(INDEX($D$72:$E$141,MATCH(C27,$D$72:$D$141,-1),1),0,0,2,1),C27),INDEX($D$72:$E$141,MATCH(C27,$D$72:$D$141,0),2))</f>
        <v>9214.262020385719</v>
      </c>
      <c r="D69" s="167">
        <f ca="1">IF(ISNA(INDEX($F$72:$G$141,MATCH(D27,$F$72:$F$141,0),1)),TREND(OFFSET(INDEX($F$72:$G$141,MATCH(D27,$F$72:$F$141,-1),2),0,0,2,1),OFFSET(INDEX($F$72:$G$141,MATCH(D27,$F$72:$F$141,-1),1),0,0,2,1),D27),INDEX($F$72:$G$141,MATCH(D27,$F$72:$F$141,0),2))</f>
        <v>11952.080947014343</v>
      </c>
      <c r="E69" s="167">
        <f>SUMPRODUCT($B$24:$D$24,B69:D69)</f>
        <v>9382.702886429777</v>
      </c>
      <c r="F69" s="168">
        <f>E$68-E69</f>
        <v>6351.583401327593</v>
      </c>
      <c r="G69" s="243">
        <f>E$69-E69</f>
        <v>0</v>
      </c>
      <c r="H69" s="5"/>
      <c r="I69" s="5"/>
      <c r="J69" s="5"/>
      <c r="K69" s="5"/>
      <c r="L69" s="5" t="s">
        <v>315</v>
      </c>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row>
    <row r="70" spans="1:90" ht="13.5" thickBot="1">
      <c r="A70" s="244" t="s">
        <v>282</v>
      </c>
      <c r="B70" s="245">
        <f ca="1">IF(ISNA(INDEX($B$72:$C$141,MATCH(B28,$B$72:$B$141,0),1)),TREND(OFFSET(INDEX($B$72:$C$141,MATCH(B28,$B$72:$B$141,-1),2),0,0,2,1),OFFSET(INDEX($B$72:$C$141,MATCH(B28,$B$72:$B$141,-1),1),0,0,2,1),B28),INDEX($B$72:$C$141,MATCH(B28,$B$72:$B$141,0),2))</f>
        <v>3375.6486524947904</v>
      </c>
      <c r="C70" s="245">
        <f ca="1">IF(ISNA(INDEX($D$72:$E$141,MATCH(C28,$D$72:$D$141,0),1)),TREND(OFFSET(INDEX($D$72:$E$141,MATCH(C28,$D$72:$D$141,-1),2),0,0,2,1),OFFSET(INDEX($D$72:$E$141,MATCH(C28,$D$72:$D$141,-1),1),0,0,2,1),C28),INDEX($D$72:$E$141,MATCH(C28,$D$72:$D$141,0),2))</f>
        <v>6106.06902565624</v>
      </c>
      <c r="D70" s="245">
        <f ca="1">IF(ISNA(INDEX($F$72:$G$141,MATCH(D28,$F$72:$F$141,0),1)),TREND(OFFSET(INDEX($F$72:$G$141,MATCH(D28,$F$72:$F$141,-1),2),0,0,2,1),OFFSET(INDEX($F$72:$G$141,MATCH(D28,$F$72:$F$141,-1),1),0,0,2,1),D28),INDEX($F$72:$G$141,MATCH(D28,$F$72:$F$141,0),2))</f>
        <v>8457.253237949004</v>
      </c>
      <c r="E70" s="245">
        <f>SUMPRODUCT($B$24:$D$24,B70:D70)</f>
        <v>6278.994316204914</v>
      </c>
      <c r="F70" s="246">
        <f>E$68-E70</f>
        <v>9455.291971552455</v>
      </c>
      <c r="G70" s="247">
        <f>E$69-E70</f>
        <v>3103.7085702248633</v>
      </c>
      <c r="H70" s="5"/>
      <c r="I70" s="365" t="s">
        <v>278</v>
      </c>
      <c r="J70" s="366"/>
      <c r="K70" s="5"/>
      <c r="L70" s="5" t="s">
        <v>312</v>
      </c>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row>
    <row r="71" spans="1:90" ht="13.5" thickBot="1">
      <c r="A71" s="240" t="s">
        <v>195</v>
      </c>
      <c r="B71" s="241" t="s">
        <v>206</v>
      </c>
      <c r="C71" s="175">
        <v>924</v>
      </c>
      <c r="D71" s="176" t="s">
        <v>206</v>
      </c>
      <c r="E71" s="175">
        <v>1568</v>
      </c>
      <c r="F71" s="176" t="s">
        <v>206</v>
      </c>
      <c r="G71" s="175">
        <v>2352</v>
      </c>
      <c r="H71" s="174" t="s">
        <v>206</v>
      </c>
      <c r="I71" s="173">
        <f>E25</f>
        <v>1636.32</v>
      </c>
      <c r="J71" s="177" t="s">
        <v>206</v>
      </c>
      <c r="K71" s="5"/>
      <c r="L71" s="332" t="s">
        <v>118</v>
      </c>
      <c r="M71" s="340" t="s">
        <v>309</v>
      </c>
      <c r="N71" s="340" t="s">
        <v>309</v>
      </c>
      <c r="O71" s="340" t="s">
        <v>309</v>
      </c>
      <c r="P71" s="340" t="s">
        <v>310</v>
      </c>
      <c r="Q71" s="340" t="s">
        <v>310</v>
      </c>
      <c r="R71" s="340" t="s">
        <v>310</v>
      </c>
      <c r="S71" s="340" t="s">
        <v>307</v>
      </c>
      <c r="T71" s="340" t="s">
        <v>307</v>
      </c>
      <c r="U71" s="340" t="s">
        <v>307</v>
      </c>
      <c r="V71" s="340" t="s">
        <v>311</v>
      </c>
      <c r="W71" s="340" t="s">
        <v>311</v>
      </c>
      <c r="X71" s="340" t="s">
        <v>311</v>
      </c>
      <c r="Y71" s="340" t="s">
        <v>308</v>
      </c>
      <c r="Z71" s="340" t="s">
        <v>308</v>
      </c>
      <c r="AA71" s="340" t="s">
        <v>308</v>
      </c>
      <c r="AC71" s="340" t="str">
        <f>O71</f>
        <v>PORTLAND</v>
      </c>
      <c r="AD71" s="340" t="str">
        <f>R71</f>
        <v>SEATTLE</v>
      </c>
      <c r="AE71" s="340" t="str">
        <f>U71</f>
        <v>BOISE</v>
      </c>
      <c r="AF71" s="340" t="str">
        <f>X71</f>
        <v>SPOKANE</v>
      </c>
      <c r="AG71" s="340" t="str">
        <f>AA71</f>
        <v>MISSOULA</v>
      </c>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row>
    <row r="72" spans="2:90" ht="12.75">
      <c r="B72" s="178">
        <v>800</v>
      </c>
      <c r="C72" s="179">
        <f>UAOptimizer!AV7</f>
        <v>29861.949983626622</v>
      </c>
      <c r="D72" s="178">
        <v>800</v>
      </c>
      <c r="E72" s="179">
        <f>UAOptimizer!BF7</f>
        <v>27872.316919735957</v>
      </c>
      <c r="F72" s="178">
        <v>800</v>
      </c>
      <c r="G72" s="179">
        <f>UAOptimizer!BP7</f>
        <v>20519.06094345151</v>
      </c>
      <c r="H72" s="178">
        <f>UAOptimizer!BO7</f>
        <v>800</v>
      </c>
      <c r="I72" s="180">
        <f>($B$24*C72)+($C$24*E72)+($D$24*G72)</f>
        <v>27069.511525137452</v>
      </c>
      <c r="J72" s="178">
        <v>800</v>
      </c>
      <c r="K72" s="5"/>
      <c r="L72" s="332" t="s">
        <v>303</v>
      </c>
      <c r="M72" s="263">
        <v>924</v>
      </c>
      <c r="N72" s="263">
        <v>1568</v>
      </c>
      <c r="O72" s="334">
        <v>2352</v>
      </c>
      <c r="P72" s="263">
        <v>924</v>
      </c>
      <c r="Q72" s="263">
        <v>1568</v>
      </c>
      <c r="R72" s="334">
        <v>2352</v>
      </c>
      <c r="S72" s="263">
        <v>924</v>
      </c>
      <c r="T72" s="263">
        <v>1568</v>
      </c>
      <c r="U72" s="334">
        <v>2352</v>
      </c>
      <c r="V72" s="263">
        <v>924</v>
      </c>
      <c r="W72" s="263">
        <v>1568</v>
      </c>
      <c r="X72" s="334">
        <v>2352</v>
      </c>
      <c r="Y72" s="263">
        <v>924</v>
      </c>
      <c r="Z72" s="263">
        <v>1568</v>
      </c>
      <c r="AA72" s="334">
        <v>2352</v>
      </c>
      <c r="AC72" s="337">
        <f>SUMPRODUCT($B$24:$D$24,M72:O72)</f>
        <v>1636.32</v>
      </c>
      <c r="AD72" s="337">
        <f>SUMPRODUCT($B$24:$D$24,P72:R72)</f>
        <v>1636.32</v>
      </c>
      <c r="AE72" s="337">
        <f>SUMPRODUCT($B$24:$D$24,S72:U72)</f>
        <v>1636.32</v>
      </c>
      <c r="AF72" s="337">
        <f>SUMPRODUCT($B$24:$D$24,V72:X72)</f>
        <v>1636.32</v>
      </c>
      <c r="AG72" s="337">
        <f>SUMPRODUCT($B$24:$D$24,Y72:AA72)</f>
        <v>1636.32</v>
      </c>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row>
    <row r="73" spans="2:90" ht="12.75">
      <c r="B73" s="181">
        <v>790</v>
      </c>
      <c r="C73" s="182">
        <f>UAOptimizer!AV8</f>
        <v>29392.954275176235</v>
      </c>
      <c r="D73" s="181">
        <v>790</v>
      </c>
      <c r="E73" s="182">
        <f>UAOptimizer!BF8</f>
        <v>27411.70610640975</v>
      </c>
      <c r="F73" s="181">
        <v>790</v>
      </c>
      <c r="G73" s="179">
        <f>UAOptimizer!BP8</f>
        <v>20145.496630530328</v>
      </c>
      <c r="H73" s="178">
        <f>UAOptimizer!BO8</f>
        <v>790</v>
      </c>
      <c r="I73" s="180">
        <f aca="true" t="shared" si="7" ref="I73:I136">($B$24*C73)+($C$24*E73)+($D$24*G73)</f>
        <v>26619.010896054882</v>
      </c>
      <c r="J73" s="181">
        <v>790</v>
      </c>
      <c r="K73" s="5"/>
      <c r="L73" s="332" t="s">
        <v>206</v>
      </c>
      <c r="M73" s="328">
        <f>$B26</f>
        <v>352.21593737827715</v>
      </c>
      <c r="N73" s="328">
        <f>$C26</f>
        <v>524.7673893632958</v>
      </c>
      <c r="O73" s="328">
        <f>$D26</f>
        <v>787.3080128838952</v>
      </c>
      <c r="P73" s="328">
        <f>$B26</f>
        <v>352.21593737827715</v>
      </c>
      <c r="Q73" s="328">
        <f>$C26</f>
        <v>524.7673893632958</v>
      </c>
      <c r="R73" s="328">
        <f>$D26</f>
        <v>787.3080128838952</v>
      </c>
      <c r="S73" s="328">
        <f>$B26</f>
        <v>352.21593737827715</v>
      </c>
      <c r="T73" s="328">
        <f>$C26</f>
        <v>524.7673893632958</v>
      </c>
      <c r="U73" s="328">
        <f>$D26</f>
        <v>787.3080128838952</v>
      </c>
      <c r="V73" s="328">
        <f>$B26</f>
        <v>352.21593737827715</v>
      </c>
      <c r="W73" s="328">
        <f>$C26</f>
        <v>524.7673893632958</v>
      </c>
      <c r="X73" s="328">
        <f>$D26</f>
        <v>787.3080128838952</v>
      </c>
      <c r="Y73" s="328">
        <f>$B26</f>
        <v>352.21593737827715</v>
      </c>
      <c r="Z73" s="328">
        <f>$C26</f>
        <v>524.7673893632958</v>
      </c>
      <c r="AA73" s="328">
        <f>$D26</f>
        <v>787.3080128838952</v>
      </c>
      <c r="AC73" s="342">
        <f>SUMPRODUCT($B$24:$D$24,M73:O73)</f>
        <v>549.3702061063669</v>
      </c>
      <c r="AD73" s="342">
        <f>SUMPRODUCT($B$24:$D$24,P73:R73)</f>
        <v>549.3702061063669</v>
      </c>
      <c r="AE73" s="342">
        <f>SUMPRODUCT($B$24:$D$24,S73:U73)</f>
        <v>549.3702061063669</v>
      </c>
      <c r="AF73" s="342">
        <f>SUMPRODUCT($B$24:$D$24,V73:X73)</f>
        <v>549.3702061063669</v>
      </c>
      <c r="AG73" s="342">
        <f>SUMPRODUCT($B$24:$D$24,Y73:AA73)</f>
        <v>549.3702061063669</v>
      </c>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row>
    <row r="74" spans="2:90" ht="12.75">
      <c r="B74" s="181">
        <v>780</v>
      </c>
      <c r="C74" s="182">
        <f>UAOptimizer!AV9</f>
        <v>28924.18779407456</v>
      </c>
      <c r="D74" s="181">
        <v>780</v>
      </c>
      <c r="E74" s="182">
        <f>UAOptimizer!BF9</f>
        <v>26951.495148308375</v>
      </c>
      <c r="F74" s="181">
        <v>780</v>
      </c>
      <c r="G74" s="179">
        <f>UAOptimizer!BP9</f>
        <v>19772.346908877822</v>
      </c>
      <c r="H74" s="178">
        <f>UAOptimizer!BO9</f>
        <v>780</v>
      </c>
      <c r="I74" s="180">
        <f t="shared" si="7"/>
        <v>26168.90506540735</v>
      </c>
      <c r="J74" s="181">
        <v>780</v>
      </c>
      <c r="K74" s="5"/>
      <c r="L74" s="332" t="s">
        <v>304</v>
      </c>
      <c r="M74" s="333">
        <f aca="true" t="shared" si="8" ref="M74:AA74">M73/M72</f>
        <v>0.38118607941371985</v>
      </c>
      <c r="N74" s="333">
        <f t="shared" si="8"/>
        <v>0.33467307995108153</v>
      </c>
      <c r="O74" s="335">
        <f t="shared" si="8"/>
        <v>0.33473980139621395</v>
      </c>
      <c r="P74" s="333">
        <f t="shared" si="8"/>
        <v>0.38118607941371985</v>
      </c>
      <c r="Q74" s="333">
        <f t="shared" si="8"/>
        <v>0.33467307995108153</v>
      </c>
      <c r="R74" s="335">
        <f t="shared" si="8"/>
        <v>0.33473980139621395</v>
      </c>
      <c r="S74" s="333">
        <f t="shared" si="8"/>
        <v>0.38118607941371985</v>
      </c>
      <c r="T74" s="333">
        <f t="shared" si="8"/>
        <v>0.33467307995108153</v>
      </c>
      <c r="U74" s="335">
        <f t="shared" si="8"/>
        <v>0.33473980139621395</v>
      </c>
      <c r="V74" s="333">
        <f t="shared" si="8"/>
        <v>0.38118607941371985</v>
      </c>
      <c r="W74" s="333">
        <f t="shared" si="8"/>
        <v>0.33467307995108153</v>
      </c>
      <c r="X74" s="335">
        <f t="shared" si="8"/>
        <v>0.33473980139621395</v>
      </c>
      <c r="Y74" s="333">
        <f t="shared" si="8"/>
        <v>0.38118607941371985</v>
      </c>
      <c r="Z74" s="333">
        <f t="shared" si="8"/>
        <v>0.33467307995108153</v>
      </c>
      <c r="AA74" s="335">
        <f t="shared" si="8"/>
        <v>0.33473980139621395</v>
      </c>
      <c r="AC74" s="335">
        <f>SUMPRODUCT($B$24:$D$24,M74:O74)</f>
        <v>0.33654160650300297</v>
      </c>
      <c r="AD74" s="335">
        <f>SUMPRODUCT($B$24:$D$24,P74:R74)</f>
        <v>0.33654160650300297</v>
      </c>
      <c r="AE74" s="335">
        <f>SUMPRODUCT($B$24:$D$24,S74:U74)</f>
        <v>0.33654160650300297</v>
      </c>
      <c r="AF74" s="335">
        <f>SUMPRODUCT($B$24:$D$24,V74:X74)</f>
        <v>0.33654160650300297</v>
      </c>
      <c r="AG74" s="335">
        <f>SUMPRODUCT($B$24:$D$24,Y74:AA74)</f>
        <v>0.33654160650300297</v>
      </c>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row>
    <row r="75" spans="2:90" ht="12.75">
      <c r="B75" s="181">
        <v>770</v>
      </c>
      <c r="C75" s="182">
        <f>UAOptimizer!AV10</f>
        <v>28455.784974405822</v>
      </c>
      <c r="D75" s="181">
        <v>770</v>
      </c>
      <c r="E75" s="182">
        <f>UAOptimizer!BF10</f>
        <v>26491.634063528727</v>
      </c>
      <c r="F75" s="181">
        <v>770</v>
      </c>
      <c r="G75" s="179">
        <f>UAOptimizer!BP10</f>
        <v>19400.194843246412</v>
      </c>
      <c r="H75" s="178">
        <f>UAOptimizer!BO10</f>
        <v>770</v>
      </c>
      <c r="I75" s="180">
        <f t="shared" si="7"/>
        <v>25719.227393529934</v>
      </c>
      <c r="J75" s="181">
        <v>770</v>
      </c>
      <c r="K75" s="5"/>
      <c r="L75" s="332" t="s">
        <v>305</v>
      </c>
      <c r="M75" s="333">
        <f>6.8884*M74-0.6494</f>
        <v>1.976362189433468</v>
      </c>
      <c r="N75" s="333">
        <f>5.205*N74-0.4214</f>
        <v>1.3205733811453795</v>
      </c>
      <c r="O75" s="336">
        <f>(4.0889*O74)-0.2248</f>
        <v>1.143917573928979</v>
      </c>
      <c r="P75" s="333">
        <f>4.2756*P74-0.5065</f>
        <v>1.1232992011413006</v>
      </c>
      <c r="Q75" s="333">
        <f>3.0362*Q74-0.3058</f>
        <v>0.7103344053474736</v>
      </c>
      <c r="R75" s="336">
        <f>(2.236*R74)-0.157</f>
        <v>0.5914781959219344</v>
      </c>
      <c r="S75" s="338">
        <f>10.627*S74-0.5654</f>
        <v>3.4854644659296015</v>
      </c>
      <c r="T75" s="333">
        <f>12.352*T74-0.69</f>
        <v>3.443881883555759</v>
      </c>
      <c r="U75" s="336">
        <f>(8.8034*U74)-0.2426</f>
        <v>2.70424836761143</v>
      </c>
      <c r="V75" s="333">
        <f>8.3136*V74-0.5783</f>
        <v>2.590728589813901</v>
      </c>
      <c r="W75" s="333">
        <f>6.94*W74-0.4419</f>
        <v>1.880731174860506</v>
      </c>
      <c r="X75" s="336">
        <f>(5.6463*X74)-0.2155</f>
        <v>1.6745413406234428</v>
      </c>
      <c r="Y75" s="333">
        <f>7.8386*Y74-0.5286</f>
        <v>2.459365202092384</v>
      </c>
      <c r="Z75" s="333">
        <f>6.7231*Z74-0.4693</f>
        <v>1.780740583819116</v>
      </c>
      <c r="AA75" s="336">
        <f>(5.6463*AA74)-0.2955</f>
        <v>1.5945413406234428</v>
      </c>
      <c r="AC75" s="336">
        <f>SUMPRODUCT($B$24:$D$24,M75:O75)</f>
        <v>1.3256062366109347</v>
      </c>
      <c r="AD75" s="336">
        <f>SUMPRODUCT($B$24:$D$24,P75:R75)</f>
        <v>0.712590252048162</v>
      </c>
      <c r="AE75" s="336">
        <f>SUMPRODUCT($B$24:$D$24,S75:U75)</f>
        <v>3.3567891649373927</v>
      </c>
      <c r="AF75" s="336">
        <f>SUMPRODUCT($B$24:$D$24,V75:X75)</f>
        <v>1.8843882913501941</v>
      </c>
      <c r="AG75" s="336">
        <f>SUMPRODUCT($B$24:$D$24,Y75:AA75)</f>
        <v>1.7855416593665656</v>
      </c>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row>
    <row r="76" spans="2:90" ht="12.75">
      <c r="B76" s="181">
        <v>760</v>
      </c>
      <c r="C76" s="182">
        <f>UAOptimizer!AV11</f>
        <v>27987.86129160132</v>
      </c>
      <c r="D76" s="181">
        <v>760</v>
      </c>
      <c r="E76" s="182">
        <f>UAOptimizer!BF11</f>
        <v>26032.488237017635</v>
      </c>
      <c r="F76" s="181">
        <v>760</v>
      </c>
      <c r="G76" s="179">
        <f>UAOptimizer!BP11</f>
        <v>19028.993554058015</v>
      </c>
      <c r="H76" s="178">
        <f>UAOptimizer!BO11</f>
        <v>760</v>
      </c>
      <c r="I76" s="180">
        <f t="shared" si="7"/>
        <v>25270.283797245826</v>
      </c>
      <c r="J76" s="181">
        <v>760</v>
      </c>
      <c r="K76" s="5"/>
      <c r="L76" s="332" t="s">
        <v>306</v>
      </c>
      <c r="M76" s="337">
        <f aca="true" t="shared" si="9" ref="M76:AA76">M72*M75</f>
        <v>1826.1586630365243</v>
      </c>
      <c r="N76" s="337">
        <f t="shared" si="9"/>
        <v>2070.659061635955</v>
      </c>
      <c r="O76" s="337">
        <f t="shared" si="9"/>
        <v>2690.494133880959</v>
      </c>
      <c r="P76" s="337">
        <f t="shared" si="9"/>
        <v>1037.9284618545616</v>
      </c>
      <c r="Q76" s="337">
        <f t="shared" si="9"/>
        <v>1113.8043475848385</v>
      </c>
      <c r="R76" s="337">
        <f t="shared" si="9"/>
        <v>1391.1567168083898</v>
      </c>
      <c r="S76" s="337">
        <f t="shared" si="9"/>
        <v>3220.5691665189515</v>
      </c>
      <c r="T76" s="337">
        <f t="shared" si="9"/>
        <v>5400.00679341543</v>
      </c>
      <c r="U76" s="337">
        <f t="shared" si="9"/>
        <v>6360.392160622083</v>
      </c>
      <c r="V76" s="337">
        <f t="shared" si="9"/>
        <v>2393.8332169880446</v>
      </c>
      <c r="W76" s="337">
        <f t="shared" si="9"/>
        <v>2948.9864821812735</v>
      </c>
      <c r="X76" s="337">
        <f t="shared" si="9"/>
        <v>3938.5212331463376</v>
      </c>
      <c r="Y76" s="337">
        <f t="shared" si="9"/>
        <v>2272.453446733363</v>
      </c>
      <c r="Z76" s="337">
        <f t="shared" si="9"/>
        <v>2792.201235428374</v>
      </c>
      <c r="AA76" s="337">
        <f t="shared" si="9"/>
        <v>3750.3612331463373</v>
      </c>
      <c r="AC76" s="337">
        <f>SUMPRODUCT($B$24:$D$24,M76:O76)</f>
        <v>2135.259254361378</v>
      </c>
      <c r="AD76" s="337">
        <f>SUMPRODUCT($B$24:$D$24,P76:R76)</f>
        <v>1144.0515964624537</v>
      </c>
      <c r="AE76" s="337">
        <f>SUMPRODUCT($B$24:$D$24,S76:U76)</f>
        <v>5428.075532404369</v>
      </c>
      <c r="AF76" s="337">
        <f>SUMPRODUCT($B$24:$D$24,V76:X76)</f>
        <v>3045.524521689352</v>
      </c>
      <c r="AG76" s="337">
        <f>SUMPRODUCT($B$24:$D$24,Y76:AA76)</f>
        <v>2886.3905236067294</v>
      </c>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row>
    <row r="77" spans="2:90" ht="12.75">
      <c r="B77" s="181">
        <v>750</v>
      </c>
      <c r="C77" s="182">
        <f>UAOptimizer!AV12</f>
        <v>27520.068595853227</v>
      </c>
      <c r="D77" s="181">
        <v>750</v>
      </c>
      <c r="E77" s="182">
        <f>UAOptimizer!BF12</f>
        <v>25573.528550007763</v>
      </c>
      <c r="F77" s="181">
        <v>750</v>
      </c>
      <c r="G77" s="179">
        <f>UAOptimizer!BP12</f>
        <v>18658.419279226488</v>
      </c>
      <c r="H77" s="178">
        <f>UAOptimizer!BO12</f>
        <v>750</v>
      </c>
      <c r="I77" s="180">
        <f t="shared" si="7"/>
        <v>24821.57703934783</v>
      </c>
      <c r="J77" s="181">
        <v>750</v>
      </c>
      <c r="K77" s="5"/>
      <c r="L77" s="5"/>
      <c r="M77" s="5"/>
      <c r="N77" s="5"/>
      <c r="O77" s="5"/>
      <c r="P77" s="5"/>
      <c r="Q77" s="5"/>
      <c r="R77" s="5"/>
      <c r="S77" s="5"/>
      <c r="T77" s="5"/>
      <c r="U77" s="5"/>
      <c r="V77" s="5"/>
      <c r="W77" s="5"/>
      <c r="X77" s="5"/>
      <c r="Y77" s="5"/>
      <c r="Z77" s="5"/>
      <c r="AA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row>
    <row r="78" spans="2:90" ht="12.75">
      <c r="B78" s="181">
        <v>740</v>
      </c>
      <c r="C78" s="182">
        <f>UAOptimizer!AV13</f>
        <v>27052.761931024976</v>
      </c>
      <c r="D78" s="181">
        <v>740</v>
      </c>
      <c r="E78" s="182">
        <f>UAOptimizer!BF13</f>
        <v>25114.8101549439</v>
      </c>
      <c r="F78" s="181">
        <v>740</v>
      </c>
      <c r="G78" s="179">
        <f>UAOptimizer!BP13</f>
        <v>18289.44184002344</v>
      </c>
      <c r="H78" s="178">
        <f>UAOptimizer!BO13</f>
        <v>740</v>
      </c>
      <c r="I78" s="180">
        <f t="shared" si="7"/>
        <v>24373.284028196686</v>
      </c>
      <c r="J78" s="181">
        <v>740</v>
      </c>
      <c r="K78" s="5"/>
      <c r="L78" s="339" t="s">
        <v>313</v>
      </c>
      <c r="M78" s="5"/>
      <c r="N78" s="5"/>
      <c r="O78" s="5"/>
      <c r="P78" s="5"/>
      <c r="Q78" s="5"/>
      <c r="R78" s="5"/>
      <c r="S78" s="5"/>
      <c r="T78" s="5"/>
      <c r="U78" s="5"/>
      <c r="V78" s="5"/>
      <c r="W78" s="5"/>
      <c r="X78" s="5"/>
      <c r="Y78" s="5"/>
      <c r="Z78" s="5"/>
      <c r="AA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row>
    <row r="79" spans="2:90" ht="12.75">
      <c r="B79" s="181">
        <v>730</v>
      </c>
      <c r="C79" s="182">
        <f>UAOptimizer!AV14</f>
        <v>26585.774116268247</v>
      </c>
      <c r="D79" s="181">
        <v>730</v>
      </c>
      <c r="E79" s="182">
        <f>UAOptimizer!BF14</f>
        <v>24656.682925147794</v>
      </c>
      <c r="F79" s="181">
        <v>730</v>
      </c>
      <c r="G79" s="179">
        <f>UAOptimizer!BP14</f>
        <v>17921.3565777908</v>
      </c>
      <c r="H79" s="178">
        <f>UAOptimizer!BO14</f>
        <v>730</v>
      </c>
      <c r="I79" s="180">
        <f t="shared" si="7"/>
        <v>23925.607411109773</v>
      </c>
      <c r="J79" s="181">
        <v>730</v>
      </c>
      <c r="K79" s="5"/>
      <c r="L79" s="332" t="s">
        <v>118</v>
      </c>
      <c r="M79" s="340" t="s">
        <v>309</v>
      </c>
      <c r="N79" s="340" t="s">
        <v>309</v>
      </c>
      <c r="O79" s="340" t="s">
        <v>309</v>
      </c>
      <c r="P79" s="340" t="s">
        <v>310</v>
      </c>
      <c r="Q79" s="340" t="s">
        <v>310</v>
      </c>
      <c r="R79" s="340" t="s">
        <v>310</v>
      </c>
      <c r="S79" s="340" t="s">
        <v>307</v>
      </c>
      <c r="T79" s="340" t="s">
        <v>307</v>
      </c>
      <c r="U79" s="340" t="s">
        <v>307</v>
      </c>
      <c r="V79" s="340" t="s">
        <v>311</v>
      </c>
      <c r="W79" s="340" t="s">
        <v>311</v>
      </c>
      <c r="X79" s="340" t="s">
        <v>311</v>
      </c>
      <c r="Y79" s="340" t="s">
        <v>308</v>
      </c>
      <c r="Z79" s="340" t="s">
        <v>308</v>
      </c>
      <c r="AA79" s="340" t="s">
        <v>308</v>
      </c>
      <c r="AC79" s="340" t="str">
        <f>O79</f>
        <v>PORTLAND</v>
      </c>
      <c r="AD79" s="340" t="str">
        <f>R79</f>
        <v>SEATTLE</v>
      </c>
      <c r="AE79" s="340" t="str">
        <f>U79</f>
        <v>BOISE</v>
      </c>
      <c r="AF79" s="340" t="str">
        <f>X79</f>
        <v>SPOKANE</v>
      </c>
      <c r="AG79" s="340" t="str">
        <f>AA79</f>
        <v>MISSOULA</v>
      </c>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row>
    <row r="80" spans="2:90" ht="12.75">
      <c r="B80" s="181">
        <v>720</v>
      </c>
      <c r="C80" s="182">
        <f>UAOptimizer!AV15</f>
        <v>26119.000017235143</v>
      </c>
      <c r="D80" s="181">
        <v>720</v>
      </c>
      <c r="E80" s="182">
        <f>UAOptimizer!BF15</f>
        <v>24199.48639285776</v>
      </c>
      <c r="F80" s="181">
        <v>720</v>
      </c>
      <c r="G80" s="179">
        <f>UAOptimizer!BP15</f>
        <v>17553.43392909464</v>
      </c>
      <c r="H80" s="178">
        <f>UAOptimizer!BO15</f>
        <v>720</v>
      </c>
      <c r="I80" s="180">
        <f t="shared" si="7"/>
        <v>23478.740642181285</v>
      </c>
      <c r="J80" s="181">
        <v>720</v>
      </c>
      <c r="K80" s="5"/>
      <c r="L80" s="332" t="s">
        <v>303</v>
      </c>
      <c r="M80" s="263">
        <v>924</v>
      </c>
      <c r="N80" s="263">
        <v>1568</v>
      </c>
      <c r="O80" s="334">
        <v>2352</v>
      </c>
      <c r="P80" s="263">
        <v>924</v>
      </c>
      <c r="Q80" s="263">
        <v>1568</v>
      </c>
      <c r="R80" s="334">
        <v>2352</v>
      </c>
      <c r="S80" s="263">
        <v>924</v>
      </c>
      <c r="T80" s="263">
        <v>1568</v>
      </c>
      <c r="U80" s="334">
        <v>2352</v>
      </c>
      <c r="V80" s="263">
        <v>924</v>
      </c>
      <c r="W80" s="263">
        <v>1568</v>
      </c>
      <c r="X80" s="334">
        <v>2352</v>
      </c>
      <c r="Y80" s="263">
        <v>924</v>
      </c>
      <c r="Z80" s="263">
        <v>1568</v>
      </c>
      <c r="AA80" s="334">
        <v>2352</v>
      </c>
      <c r="AC80" s="337">
        <f>SUMPRODUCT($B$24:$D$24,M80:O80)</f>
        <v>1636.32</v>
      </c>
      <c r="AD80" s="337">
        <f>SUMPRODUCT($B$24:$D$24,P80:R80)</f>
        <v>1636.32</v>
      </c>
      <c r="AE80" s="337">
        <f>SUMPRODUCT($B$24:$D$24,S80:U80)</f>
        <v>1636.32</v>
      </c>
      <c r="AF80" s="337">
        <f>SUMPRODUCT($B$24:$D$24,V80:X80)</f>
        <v>1636.32</v>
      </c>
      <c r="AG80" s="337">
        <f>SUMPRODUCT($B$24:$D$24,Y80:AA80)</f>
        <v>1636.32</v>
      </c>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row>
    <row r="81" spans="2:90" ht="12.75">
      <c r="B81" s="181">
        <v>710</v>
      </c>
      <c r="C81" s="182">
        <f>UAOptimizer!AV16</f>
        <v>25652.32588200824</v>
      </c>
      <c r="D81" s="181">
        <v>710</v>
      </c>
      <c r="E81" s="182">
        <f>UAOptimizer!BF16</f>
        <v>23742.55011116665</v>
      </c>
      <c r="F81" s="181">
        <v>710</v>
      </c>
      <c r="G81" s="179">
        <f>UAOptimizer!BP16</f>
        <v>17185.764723117492</v>
      </c>
      <c r="H81" s="178">
        <f>UAOptimizer!BO16</f>
        <v>710</v>
      </c>
      <c r="I81" s="180">
        <f t="shared" si="7"/>
        <v>23032.126895434412</v>
      </c>
      <c r="J81" s="181">
        <v>710</v>
      </c>
      <c r="K81" s="5"/>
      <c r="L81" s="332" t="s">
        <v>206</v>
      </c>
      <c r="M81" s="328">
        <f>$B27</f>
        <v>252.08184</v>
      </c>
      <c r="N81" s="328">
        <f>$C27</f>
        <v>379.97087999999997</v>
      </c>
      <c r="O81" s="328">
        <f>$D27</f>
        <v>564.3643199999999</v>
      </c>
      <c r="P81" s="328">
        <f>$B27</f>
        <v>252.08184</v>
      </c>
      <c r="Q81" s="328">
        <f>$C27</f>
        <v>379.97087999999997</v>
      </c>
      <c r="R81" s="328">
        <f>$D27</f>
        <v>564.3643199999999</v>
      </c>
      <c r="S81" s="328">
        <f>$B27</f>
        <v>252.08184</v>
      </c>
      <c r="T81" s="328">
        <f>$C27</f>
        <v>379.97087999999997</v>
      </c>
      <c r="U81" s="328">
        <f>$D27</f>
        <v>564.3643199999999</v>
      </c>
      <c r="V81" s="328">
        <f>$B27</f>
        <v>252.08184</v>
      </c>
      <c r="W81" s="328">
        <f>$C27</f>
        <v>379.97087999999997</v>
      </c>
      <c r="X81" s="328">
        <f>$D27</f>
        <v>564.3643199999999</v>
      </c>
      <c r="Y81" s="328">
        <f>$B27</f>
        <v>252.08184</v>
      </c>
      <c r="Z81" s="328">
        <f>$C27</f>
        <v>379.97087999999997</v>
      </c>
      <c r="AA81" s="328">
        <f>$D27</f>
        <v>564.3643199999999</v>
      </c>
      <c r="AC81" s="342">
        <f>SUMPRODUCT($B$24:$D$24,M81:O81)</f>
        <v>396.9825311999999</v>
      </c>
      <c r="AD81" s="342">
        <f>SUMPRODUCT($B$24:$D$24,P81:R81)</f>
        <v>396.9825311999999</v>
      </c>
      <c r="AE81" s="342">
        <f>SUMPRODUCT($B$24:$D$24,S81:U81)</f>
        <v>396.9825311999999</v>
      </c>
      <c r="AF81" s="342">
        <f>SUMPRODUCT($B$24:$D$24,V81:X81)</f>
        <v>396.9825311999999</v>
      </c>
      <c r="AG81" s="342">
        <f>SUMPRODUCT($B$24:$D$24,Y81:AA81)</f>
        <v>396.9825311999999</v>
      </c>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row>
    <row r="82" spans="2:90" ht="12.75">
      <c r="B82" s="181">
        <v>700</v>
      </c>
      <c r="C82" s="182">
        <f>UAOptimizer!AV17</f>
        <v>25185.974043880666</v>
      </c>
      <c r="D82" s="181">
        <v>700</v>
      </c>
      <c r="E82" s="182">
        <f>UAOptimizer!BF17</f>
        <v>23286.187759604283</v>
      </c>
      <c r="F82" s="181">
        <v>700</v>
      </c>
      <c r="G82" s="179">
        <f>UAOptimizer!BP17</f>
        <v>16819.380310577206</v>
      </c>
      <c r="H82" s="178">
        <f>UAOptimizer!BO17</f>
        <v>700</v>
      </c>
      <c r="I82" s="180">
        <f t="shared" si="7"/>
        <v>22586.162317092087</v>
      </c>
      <c r="J82" s="181">
        <v>700</v>
      </c>
      <c r="K82" s="5"/>
      <c r="L82" s="332" t="s">
        <v>304</v>
      </c>
      <c r="M82" s="333">
        <f aca="true" t="shared" si="10" ref="M82:AA82">M81/M80</f>
        <v>0.27281584415584414</v>
      </c>
      <c r="N82" s="333">
        <f t="shared" si="10"/>
        <v>0.24232836734693874</v>
      </c>
      <c r="O82" s="335">
        <f t="shared" si="10"/>
        <v>0.23995081632653056</v>
      </c>
      <c r="P82" s="333">
        <f t="shared" si="10"/>
        <v>0.27281584415584414</v>
      </c>
      <c r="Q82" s="333">
        <f t="shared" si="10"/>
        <v>0.24232836734693874</v>
      </c>
      <c r="R82" s="335">
        <f t="shared" si="10"/>
        <v>0.23995081632653056</v>
      </c>
      <c r="S82" s="333">
        <f t="shared" si="10"/>
        <v>0.27281584415584414</v>
      </c>
      <c r="T82" s="333">
        <f t="shared" si="10"/>
        <v>0.24232836734693874</v>
      </c>
      <c r="U82" s="335">
        <f t="shared" si="10"/>
        <v>0.23995081632653056</v>
      </c>
      <c r="V82" s="333">
        <f t="shared" si="10"/>
        <v>0.27281584415584414</v>
      </c>
      <c r="W82" s="333">
        <f t="shared" si="10"/>
        <v>0.24232836734693874</v>
      </c>
      <c r="X82" s="335">
        <f t="shared" si="10"/>
        <v>0.23995081632653056</v>
      </c>
      <c r="Y82" s="333">
        <f t="shared" si="10"/>
        <v>0.27281584415584414</v>
      </c>
      <c r="Z82" s="333">
        <f t="shared" si="10"/>
        <v>0.24232836734693874</v>
      </c>
      <c r="AA82" s="335">
        <f t="shared" si="10"/>
        <v>0.23995081632653056</v>
      </c>
      <c r="AC82" s="335">
        <f>SUMPRODUCT($B$24:$D$24,M82:O82)</f>
        <v>0.24326256029684598</v>
      </c>
      <c r="AD82" s="335">
        <f>SUMPRODUCT($B$24:$D$24,P82:R82)</f>
        <v>0.24326256029684598</v>
      </c>
      <c r="AE82" s="335">
        <f>SUMPRODUCT($B$24:$D$24,S82:U82)</f>
        <v>0.24326256029684598</v>
      </c>
      <c r="AF82" s="335">
        <f>SUMPRODUCT($B$24:$D$24,V82:X82)</f>
        <v>0.24326256029684598</v>
      </c>
      <c r="AG82" s="335">
        <f>SUMPRODUCT($B$24:$D$24,Y82:AA82)</f>
        <v>0.24326256029684598</v>
      </c>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row>
    <row r="83" spans="2:90" ht="12.75">
      <c r="B83" s="181">
        <v>690</v>
      </c>
      <c r="C83" s="182">
        <f>UAOptimizer!AV18</f>
        <v>24720.042743144728</v>
      </c>
      <c r="D83" s="181">
        <v>690</v>
      </c>
      <c r="E83" s="182">
        <f>UAOptimizer!BF18</f>
        <v>22830.8181520484</v>
      </c>
      <c r="F83" s="181">
        <v>690</v>
      </c>
      <c r="G83" s="179">
        <f>UAOptimizer!BP18</f>
        <v>16454.230881922063</v>
      </c>
      <c r="H83" s="178">
        <f>UAOptimizer!BO18</f>
        <v>690</v>
      </c>
      <c r="I83" s="180">
        <f t="shared" si="7"/>
        <v>22141.196663277093</v>
      </c>
      <c r="J83" s="181">
        <v>690</v>
      </c>
      <c r="K83" s="5"/>
      <c r="L83" s="332" t="s">
        <v>305</v>
      </c>
      <c r="M83" s="333">
        <f>6.8884*M82-0.6494</f>
        <v>1.2298646608831167</v>
      </c>
      <c r="N83" s="333">
        <f>5.205*N82-0.4214</f>
        <v>0.8399191520408162</v>
      </c>
      <c r="O83" s="336">
        <f>(4.0889*O82)-0.2248</f>
        <v>0.7563348928775507</v>
      </c>
      <c r="P83" s="333">
        <f>4.2756*P82-0.5065</f>
        <v>0.6599514232727273</v>
      </c>
      <c r="Q83" s="333">
        <f>3.0362*Q82-0.3058</f>
        <v>0.4299573889387754</v>
      </c>
      <c r="R83" s="336">
        <f>(2.236*R82)-0.157</f>
        <v>0.37953002530612234</v>
      </c>
      <c r="S83" s="338">
        <f>10.627*S82-0.5654</f>
        <v>2.333813975844156</v>
      </c>
      <c r="T83" s="333">
        <f>12.352*T82-0.69</f>
        <v>2.3032399934693877</v>
      </c>
      <c r="U83" s="336">
        <f>(8.8034*U82)-0.2426</f>
        <v>1.869783016448979</v>
      </c>
      <c r="V83" s="333">
        <f>8.3136*V82-0.5783</f>
        <v>1.6897818019740258</v>
      </c>
      <c r="W83" s="333">
        <f>6.94*W82-0.4419</f>
        <v>1.239858869387755</v>
      </c>
      <c r="X83" s="336">
        <f>(5.6463*X82)-0.2155</f>
        <v>1.1393342942244895</v>
      </c>
      <c r="Y83" s="333">
        <f>7.8386*Y82-0.5286</f>
        <v>1.609894276</v>
      </c>
      <c r="Z83" s="333">
        <f>6.7231*Z82-0.4693</f>
        <v>1.1598978465102037</v>
      </c>
      <c r="AA83" s="336">
        <f>(5.6463*AA82)-0.2955</f>
        <v>1.0593342942244894</v>
      </c>
      <c r="AC83" s="336">
        <f>SUMPRODUCT($B$24:$D$24,M83:O83)</f>
        <v>0.8454868612949165</v>
      </c>
      <c r="AD83" s="336">
        <f>SUMPRODUCT($B$24:$D$24,P83:R83)</f>
        <v>0.43310586667621503</v>
      </c>
      <c r="AE83" s="336">
        <f>SUMPRODUCT($B$24:$D$24,S83:U83)</f>
        <v>2.252448115521929</v>
      </c>
      <c r="AF83" s="336">
        <f>SUMPRODUCT($B$24:$D$24,V83:X83)</f>
        <v>1.245792837671614</v>
      </c>
      <c r="AG83" s="336">
        <f>SUMPRODUCT($B$24:$D$24,Y83:AA83)</f>
        <v>1.16583007741551</v>
      </c>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row>
    <row r="84" spans="2:90" ht="12.75">
      <c r="B84" s="181">
        <v>680</v>
      </c>
      <c r="C84" s="182">
        <f>UAOptimizer!AV19</f>
        <v>24254.40616328571</v>
      </c>
      <c r="D84" s="181">
        <v>680</v>
      </c>
      <c r="E84" s="182">
        <f>UAOptimizer!BF19</f>
        <v>22375.98972785716</v>
      </c>
      <c r="F84" s="181">
        <v>680</v>
      </c>
      <c r="G84" s="179">
        <f>UAOptimizer!BP19</f>
        <v>16090.259302666276</v>
      </c>
      <c r="H84" s="178">
        <f>UAOptimizer!BO19</f>
        <v>680</v>
      </c>
      <c r="I84" s="180">
        <f t="shared" si="7"/>
        <v>21696.838734251396</v>
      </c>
      <c r="J84" s="181">
        <v>680</v>
      </c>
      <c r="K84" s="5"/>
      <c r="L84" s="332" t="s">
        <v>306</v>
      </c>
      <c r="M84" s="337">
        <f aca="true" t="shared" si="11" ref="M84:AA84">M80*M83</f>
        <v>1136.3949466559998</v>
      </c>
      <c r="N84" s="337">
        <f t="shared" si="11"/>
        <v>1316.9932304</v>
      </c>
      <c r="O84" s="337">
        <f t="shared" si="11"/>
        <v>1778.8996680479993</v>
      </c>
      <c r="P84" s="337">
        <f t="shared" si="11"/>
        <v>609.795115104</v>
      </c>
      <c r="Q84" s="337">
        <f t="shared" si="11"/>
        <v>674.1731858559998</v>
      </c>
      <c r="R84" s="337">
        <f t="shared" si="11"/>
        <v>892.6546195199998</v>
      </c>
      <c r="S84" s="337">
        <f t="shared" si="11"/>
        <v>2156.44411368</v>
      </c>
      <c r="T84" s="337">
        <f t="shared" si="11"/>
        <v>3611.4803097599997</v>
      </c>
      <c r="U84" s="337">
        <f t="shared" si="11"/>
        <v>4397.729654687999</v>
      </c>
      <c r="V84" s="337">
        <f t="shared" si="11"/>
        <v>1561.358385024</v>
      </c>
      <c r="W84" s="337">
        <f t="shared" si="11"/>
        <v>1944.0987071999998</v>
      </c>
      <c r="X84" s="337">
        <f t="shared" si="11"/>
        <v>2679.714260015999</v>
      </c>
      <c r="Y84" s="337">
        <f t="shared" si="11"/>
        <v>1487.542311024</v>
      </c>
      <c r="Z84" s="337">
        <f t="shared" si="11"/>
        <v>1818.7198233279994</v>
      </c>
      <c r="AA84" s="337">
        <f t="shared" si="11"/>
        <v>2491.5542600159993</v>
      </c>
      <c r="AC84" s="337">
        <f>SUMPRODUCT($B$24:$D$24,M84:O84)</f>
        <v>1365.1980715679997</v>
      </c>
      <c r="AD84" s="337">
        <f>SUMPRODUCT($B$24:$D$24,P84:R84)</f>
        <v>697.8158350655998</v>
      </c>
      <c r="AE84" s="337">
        <f>SUMPRODUCT($B$24:$D$24,S84:U84)</f>
        <v>3647.6287833081597</v>
      </c>
      <c r="AF84" s="337">
        <f>SUMPRODUCT($B$24:$D$24,V84:X84)</f>
        <v>2017.0629606508796</v>
      </c>
      <c r="AG84" s="337">
        <f>SUMPRODUCT($B$24:$D$24,Y84:AA84)</f>
        <v>1886.2128552383992</v>
      </c>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row>
    <row r="85" spans="2:90" ht="12.75">
      <c r="B85" s="181">
        <v>670</v>
      </c>
      <c r="C85" s="182">
        <f>UAOptimizer!AV20</f>
        <v>23789.445200875547</v>
      </c>
      <c r="D85" s="181">
        <v>670</v>
      </c>
      <c r="E85" s="182">
        <f>UAOptimizer!BF20</f>
        <v>21921.661122696954</v>
      </c>
      <c r="F85" s="181">
        <v>670</v>
      </c>
      <c r="G85" s="179">
        <f>UAOptimizer!BP20</f>
        <v>15727.291239378847</v>
      </c>
      <c r="H85" s="178">
        <f>UAOptimizer!BO20</f>
        <v>670</v>
      </c>
      <c r="I85" s="180">
        <f t="shared" si="7"/>
        <v>21253.048099825923</v>
      </c>
      <c r="J85" s="181">
        <v>670</v>
      </c>
      <c r="K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row>
    <row r="86" spans="2:90" ht="12.75">
      <c r="B86" s="181">
        <v>660</v>
      </c>
      <c r="C86" s="182">
        <f>UAOptimizer!AV21</f>
        <v>23325.18053808104</v>
      </c>
      <c r="D86" s="181">
        <v>660</v>
      </c>
      <c r="E86" s="182">
        <f>UAOptimizer!BF21</f>
        <v>21467.935747401807</v>
      </c>
      <c r="F86" s="181">
        <v>660</v>
      </c>
      <c r="G86" s="179">
        <f>UAOptimizer!BP21</f>
        <v>15365.37210665104</v>
      </c>
      <c r="H86" s="178">
        <f>UAOptimizer!BO21</f>
        <v>660</v>
      </c>
      <c r="I86" s="180">
        <f t="shared" si="7"/>
        <v>20809.917902138885</v>
      </c>
      <c r="J86" s="181">
        <v>660</v>
      </c>
      <c r="K86" s="5"/>
      <c r="L86" s="352" t="s">
        <v>314</v>
      </c>
      <c r="M86" s="352"/>
      <c r="N86" s="352"/>
      <c r="O86" s="5"/>
      <c r="P86" s="5"/>
      <c r="Q86" s="5"/>
      <c r="R86" s="5"/>
      <c r="S86" s="5"/>
      <c r="T86" s="5"/>
      <c r="U86" s="5"/>
      <c r="V86" s="5"/>
      <c r="W86" s="5"/>
      <c r="X86" s="5"/>
      <c r="Y86" s="5"/>
      <c r="Z86" s="5"/>
      <c r="AA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row>
    <row r="87" spans="2:90" ht="12.75">
      <c r="B87" s="181">
        <v>650</v>
      </c>
      <c r="C87" s="182">
        <f>UAOptimizer!AV22</f>
        <v>22861.07099153755</v>
      </c>
      <c r="D87" s="181">
        <v>650</v>
      </c>
      <c r="E87" s="182">
        <f>UAOptimizer!BF22</f>
        <v>21015.241033418934</v>
      </c>
      <c r="F87" s="181">
        <v>650</v>
      </c>
      <c r="G87" s="179">
        <f>UAOptimizer!BP22</f>
        <v>15004.756812188692</v>
      </c>
      <c r="H87" s="178">
        <f>UAOptimizer!BO22</f>
        <v>650</v>
      </c>
      <c r="I87" s="180">
        <f t="shared" si="7"/>
        <v>20367.816125196045</v>
      </c>
      <c r="J87" s="181">
        <v>650</v>
      </c>
      <c r="K87" s="5"/>
      <c r="L87" s="340" t="s">
        <v>118</v>
      </c>
      <c r="M87" s="340" t="s">
        <v>309</v>
      </c>
      <c r="N87" s="340" t="s">
        <v>309</v>
      </c>
      <c r="O87" s="340" t="s">
        <v>309</v>
      </c>
      <c r="P87" s="340" t="s">
        <v>310</v>
      </c>
      <c r="Q87" s="340" t="s">
        <v>310</v>
      </c>
      <c r="R87" s="340" t="s">
        <v>310</v>
      </c>
      <c r="S87" s="340" t="s">
        <v>307</v>
      </c>
      <c r="T87" s="340" t="s">
        <v>307</v>
      </c>
      <c r="U87" s="340" t="s">
        <v>307</v>
      </c>
      <c r="V87" s="340" t="s">
        <v>311</v>
      </c>
      <c r="W87" s="340" t="s">
        <v>311</v>
      </c>
      <c r="X87" s="340" t="s">
        <v>311</v>
      </c>
      <c r="Y87" s="340" t="s">
        <v>308</v>
      </c>
      <c r="Z87" s="340" t="s">
        <v>308</v>
      </c>
      <c r="AA87" s="341" t="s">
        <v>308</v>
      </c>
      <c r="AC87" s="340" t="str">
        <f>O87</f>
        <v>PORTLAND</v>
      </c>
      <c r="AD87" s="340" t="str">
        <f>R87</f>
        <v>SEATTLE</v>
      </c>
      <c r="AE87" s="340" t="str">
        <f>U87</f>
        <v>BOISE</v>
      </c>
      <c r="AF87" s="340" t="str">
        <f>X87</f>
        <v>SPOKANE</v>
      </c>
      <c r="AG87" s="340" t="str">
        <f>AA87</f>
        <v>MISSOULA</v>
      </c>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row>
    <row r="88" spans="2:90" ht="12.75">
      <c r="B88" s="181">
        <v>640</v>
      </c>
      <c r="C88" s="182">
        <f>UAOptimizer!AV23</f>
        <v>22396.951103910655</v>
      </c>
      <c r="D88" s="181">
        <v>640</v>
      </c>
      <c r="E88" s="182">
        <f>UAOptimizer!BF23</f>
        <v>20563.294324468727</v>
      </c>
      <c r="F88" s="181">
        <v>640</v>
      </c>
      <c r="G88" s="179">
        <f>UAOptimizer!BP23</f>
        <v>14644.576618810434</v>
      </c>
      <c r="H88" s="178">
        <f>UAOptimizer!BO23</f>
        <v>640</v>
      </c>
      <c r="I88" s="180">
        <f t="shared" si="7"/>
        <v>19926.394470967407</v>
      </c>
      <c r="J88" s="181">
        <v>640</v>
      </c>
      <c r="K88" s="5"/>
      <c r="L88" s="332" t="s">
        <v>303</v>
      </c>
      <c r="M88" s="263">
        <v>924</v>
      </c>
      <c r="N88" s="263">
        <v>1568</v>
      </c>
      <c r="O88" s="334">
        <v>2352</v>
      </c>
      <c r="P88" s="263">
        <v>924</v>
      </c>
      <c r="Q88" s="263">
        <v>1568</v>
      </c>
      <c r="R88" s="334">
        <v>2352</v>
      </c>
      <c r="S88" s="263">
        <v>924</v>
      </c>
      <c r="T88" s="263">
        <v>1568</v>
      </c>
      <c r="U88" s="334">
        <v>2352</v>
      </c>
      <c r="V88" s="263">
        <v>924</v>
      </c>
      <c r="W88" s="263">
        <v>1568</v>
      </c>
      <c r="X88" s="334">
        <v>2352</v>
      </c>
      <c r="Y88" s="263">
        <v>924</v>
      </c>
      <c r="Z88" s="263">
        <v>1568</v>
      </c>
      <c r="AA88" s="334">
        <v>2352</v>
      </c>
      <c r="AC88" s="337">
        <f>SUMPRODUCT($B$24:$D$24,M88:O88)</f>
        <v>1636.32</v>
      </c>
      <c r="AD88" s="337">
        <f>SUMPRODUCT($B$24:$D$24,P88:R88)</f>
        <v>1636.32</v>
      </c>
      <c r="AE88" s="337">
        <f>SUMPRODUCT($B$24:$D$24,S88:U88)</f>
        <v>1636.32</v>
      </c>
      <c r="AF88" s="337">
        <f>SUMPRODUCT($B$24:$D$24,V88:X88)</f>
        <v>1636.32</v>
      </c>
      <c r="AG88" s="337">
        <f>SUMPRODUCT($B$24:$D$24,Y88:AA88)</f>
        <v>1636.32</v>
      </c>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row>
    <row r="89" spans="2:90" ht="12.75">
      <c r="B89" s="181">
        <v>630</v>
      </c>
      <c r="C89" s="182">
        <f>UAOptimizer!AV24</f>
        <v>21932.95186225677</v>
      </c>
      <c r="D89" s="181">
        <v>630</v>
      </c>
      <c r="E89" s="182">
        <f>UAOptimizer!BF24</f>
        <v>20111.978421605974</v>
      </c>
      <c r="F89" s="181">
        <v>630</v>
      </c>
      <c r="G89" s="179">
        <f>UAOptimizer!BP24</f>
        <v>14284.957515382364</v>
      </c>
      <c r="H89" s="178">
        <f>UAOptimizer!BO24</f>
        <v>630</v>
      </c>
      <c r="I89" s="180">
        <f t="shared" si="7"/>
        <v>19485.574850485173</v>
      </c>
      <c r="J89" s="181">
        <v>630</v>
      </c>
      <c r="K89" s="5"/>
      <c r="L89" s="332" t="s">
        <v>206</v>
      </c>
      <c r="M89" s="328">
        <f>$B28</f>
        <v>204.45384</v>
      </c>
      <c r="N89" s="328">
        <f>$C28</f>
        <v>302.63487999999995</v>
      </c>
      <c r="O89" s="328">
        <f>$D28</f>
        <v>461.65631999999994</v>
      </c>
      <c r="P89" s="328">
        <f>$B28</f>
        <v>204.45384</v>
      </c>
      <c r="Q89" s="328">
        <f>$C28</f>
        <v>302.63487999999995</v>
      </c>
      <c r="R89" s="328">
        <f>$D28</f>
        <v>461.65631999999994</v>
      </c>
      <c r="S89" s="328">
        <f>$B28</f>
        <v>204.45384</v>
      </c>
      <c r="T89" s="328">
        <f>$C28</f>
        <v>302.63487999999995</v>
      </c>
      <c r="U89" s="328">
        <f>$D28</f>
        <v>461.65631999999994</v>
      </c>
      <c r="V89" s="328">
        <f>$B28</f>
        <v>204.45384</v>
      </c>
      <c r="W89" s="328">
        <f>$C28</f>
        <v>302.63487999999995</v>
      </c>
      <c r="X89" s="328">
        <f>$D28</f>
        <v>461.65631999999994</v>
      </c>
      <c r="Y89" s="328">
        <f>$B28</f>
        <v>204.45384</v>
      </c>
      <c r="Z89" s="328">
        <f>$C28</f>
        <v>302.63487999999995</v>
      </c>
      <c r="AA89" s="328">
        <f>$D28</f>
        <v>461.65631999999994</v>
      </c>
      <c r="AC89" s="342">
        <f>SUMPRODUCT($B$24:$D$24,M89:O89)</f>
        <v>317.79021119999993</v>
      </c>
      <c r="AD89" s="342">
        <f>SUMPRODUCT($B$24:$D$24,P89:R89)</f>
        <v>317.79021119999993</v>
      </c>
      <c r="AE89" s="342">
        <f>SUMPRODUCT($B$24:$D$24,S89:U89)</f>
        <v>317.79021119999993</v>
      </c>
      <c r="AF89" s="342">
        <f>SUMPRODUCT($B$24:$D$24,V89:X89)</f>
        <v>317.79021119999993</v>
      </c>
      <c r="AG89" s="342">
        <f>SUMPRODUCT($B$24:$D$24,Y89:AA89)</f>
        <v>317.79021119999993</v>
      </c>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row>
    <row r="90" spans="2:90" ht="12.75">
      <c r="B90" s="181">
        <v>620</v>
      </c>
      <c r="C90" s="182">
        <f>UAOptimizer!AV25</f>
        <v>21469.430033953227</v>
      </c>
      <c r="D90" s="181">
        <v>620</v>
      </c>
      <c r="E90" s="182">
        <f>UAOptimizer!BF25</f>
        <v>19661.7086916806</v>
      </c>
      <c r="F90" s="181">
        <v>620</v>
      </c>
      <c r="G90" s="179">
        <f>UAOptimizer!BP25</f>
        <v>13926.290653384121</v>
      </c>
      <c r="H90" s="178">
        <f>UAOptimizer!BO25</f>
        <v>620</v>
      </c>
      <c r="I90" s="180">
        <f t="shared" si="7"/>
        <v>19045.767380775927</v>
      </c>
      <c r="J90" s="181">
        <v>620</v>
      </c>
      <c r="K90" s="5"/>
      <c r="L90" s="332" t="s">
        <v>304</v>
      </c>
      <c r="M90" s="333">
        <f aca="true" t="shared" si="12" ref="M90:AA90">M89/M88</f>
        <v>0.2212703896103896</v>
      </c>
      <c r="N90" s="333">
        <f t="shared" si="12"/>
        <v>0.19300693877551017</v>
      </c>
      <c r="O90" s="335">
        <f t="shared" si="12"/>
        <v>0.19628244897959182</v>
      </c>
      <c r="P90" s="333">
        <f t="shared" si="12"/>
        <v>0.2212703896103896</v>
      </c>
      <c r="Q90" s="333">
        <f t="shared" si="12"/>
        <v>0.19300693877551017</v>
      </c>
      <c r="R90" s="335">
        <f t="shared" si="12"/>
        <v>0.19628244897959182</v>
      </c>
      <c r="S90" s="333">
        <f t="shared" si="12"/>
        <v>0.2212703896103896</v>
      </c>
      <c r="T90" s="333">
        <f t="shared" si="12"/>
        <v>0.19300693877551017</v>
      </c>
      <c r="U90" s="335">
        <f t="shared" si="12"/>
        <v>0.19628244897959182</v>
      </c>
      <c r="V90" s="333">
        <f t="shared" si="12"/>
        <v>0.2212703896103896</v>
      </c>
      <c r="W90" s="333">
        <f t="shared" si="12"/>
        <v>0.19300693877551017</v>
      </c>
      <c r="X90" s="335">
        <f t="shared" si="12"/>
        <v>0.19628244897959182</v>
      </c>
      <c r="Y90" s="333">
        <f t="shared" si="12"/>
        <v>0.2212703896103896</v>
      </c>
      <c r="Z90" s="333">
        <f t="shared" si="12"/>
        <v>0.19300693877551017</v>
      </c>
      <c r="AA90" s="335">
        <f t="shared" si="12"/>
        <v>0.19628244897959182</v>
      </c>
      <c r="AC90" s="335">
        <f>SUMPRODUCT($B$24:$D$24,M90:O90)</f>
        <v>0.19453053803339515</v>
      </c>
      <c r="AD90" s="335">
        <f>SUMPRODUCT($B$24:$D$24,P90:R90)</f>
        <v>0.19453053803339515</v>
      </c>
      <c r="AE90" s="335">
        <f>SUMPRODUCT($B$24:$D$24,S90:U90)</f>
        <v>0.19453053803339515</v>
      </c>
      <c r="AF90" s="335">
        <f>SUMPRODUCT($B$24:$D$24,V90:X90)</f>
        <v>0.19453053803339515</v>
      </c>
      <c r="AG90" s="335">
        <f>SUMPRODUCT($B$24:$D$24,Y90:AA90)</f>
        <v>0.19453053803339515</v>
      </c>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row>
    <row r="91" spans="2:90" ht="12.75">
      <c r="B91" s="181">
        <v>610</v>
      </c>
      <c r="C91" s="182">
        <f>UAOptimizer!AV26</f>
        <v>21006.53211768153</v>
      </c>
      <c r="D91" s="181">
        <v>610</v>
      </c>
      <c r="E91" s="182">
        <f>UAOptimizer!BF26</f>
        <v>19212.378276830805</v>
      </c>
      <c r="F91" s="181">
        <v>610</v>
      </c>
      <c r="G91" s="179">
        <f>UAOptimizer!BP26</f>
        <v>13568.974509229418</v>
      </c>
      <c r="H91" s="178">
        <f>UAOptimizer!BO26</f>
        <v>610</v>
      </c>
      <c r="I91" s="180">
        <f t="shared" si="7"/>
        <v>18606.935978352667</v>
      </c>
      <c r="J91" s="181">
        <v>610</v>
      </c>
      <c r="K91" s="5"/>
      <c r="L91" s="332" t="s">
        <v>305</v>
      </c>
      <c r="M91" s="333">
        <f>6.8884*M90-0.6494</f>
        <v>0.8747989517922079</v>
      </c>
      <c r="N91" s="333">
        <f>5.205*N90-0.4214</f>
        <v>0.5832011163265305</v>
      </c>
      <c r="O91" s="336">
        <f>(4.0889*O90)-0.2248</f>
        <v>0.577779305632653</v>
      </c>
      <c r="P91" s="333">
        <f>4.2756*P90-0.5065</f>
        <v>0.43956367781818184</v>
      </c>
      <c r="Q91" s="333">
        <f>3.0362*Q90-0.3058</f>
        <v>0.28020766751020393</v>
      </c>
      <c r="R91" s="336">
        <f>(2.236*R90)-0.157</f>
        <v>0.28188755591836734</v>
      </c>
      <c r="S91" s="338">
        <f>10.627*S90-0.5654</f>
        <v>1.7860404303896105</v>
      </c>
      <c r="T91" s="333">
        <f>12.352*T90-0.69</f>
        <v>1.6940217077551019</v>
      </c>
      <c r="U91" s="336">
        <f>(8.8034*U90)-0.2426</f>
        <v>1.4853529113469388</v>
      </c>
      <c r="V91" s="333">
        <f>8.3136*V90-0.5783</f>
        <v>1.2612535110649348</v>
      </c>
      <c r="W91" s="333">
        <f>6.94*W90-0.4419</f>
        <v>0.8975681551020407</v>
      </c>
      <c r="X91" s="336">
        <f>(5.6463*X90)-0.2155</f>
        <v>0.8927695916734693</v>
      </c>
      <c r="Y91" s="333">
        <f>7.8386*Y90-0.5286</f>
        <v>1.205850076</v>
      </c>
      <c r="Z91" s="333">
        <f>6.7231*Z90-0.4693</f>
        <v>0.8283049500816324</v>
      </c>
      <c r="AA91" s="336">
        <f>(5.6463*AA90)-0.2955</f>
        <v>0.8127695916734693</v>
      </c>
      <c r="AC91" s="336">
        <f>SUMPRODUCT($B$24:$D$24,M91:O91)</f>
        <v>0.5942144124618923</v>
      </c>
      <c r="AD91" s="336">
        <f>SUMPRODUCT($B$24:$D$24,P91:R91)</f>
        <v>0.28678349453150265</v>
      </c>
      <c r="AE91" s="336">
        <f>SUMPRODUCT($B$24:$D$24,S91:U91)</f>
        <v>1.6726622010915027</v>
      </c>
      <c r="AF91" s="336">
        <f>SUMPRODUCT($B$24:$D$24,V91:X91)</f>
        <v>0.9115397417291279</v>
      </c>
      <c r="AG91" s="336">
        <f>SUMPRODUCT($B$24:$D$24,Y91:AA91)</f>
        <v>0.8415425121093876</v>
      </c>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row>
    <row r="92" spans="2:90" ht="12.75">
      <c r="B92" s="181">
        <v>600</v>
      </c>
      <c r="C92" s="182">
        <f>UAOptimizer!AV27</f>
        <v>20544.294307233587</v>
      </c>
      <c r="D92" s="181">
        <v>600</v>
      </c>
      <c r="E92" s="182">
        <f>UAOptimizer!BF27</f>
        <v>18763.83895486117</v>
      </c>
      <c r="F92" s="181">
        <v>600</v>
      </c>
      <c r="G92" s="179">
        <f>UAOptimizer!BP27</f>
        <v>13212.53296220334</v>
      </c>
      <c r="H92" s="178">
        <f>UAOptimizer!BO27</f>
        <v>600</v>
      </c>
      <c r="I92" s="180">
        <f t="shared" si="7"/>
        <v>18168.90044983713</v>
      </c>
      <c r="J92" s="181">
        <v>600</v>
      </c>
      <c r="K92" s="5"/>
      <c r="L92" s="332" t="s">
        <v>306</v>
      </c>
      <c r="M92" s="337">
        <f aca="true" t="shared" si="13" ref="M92:AA92">M88*M91</f>
        <v>808.3142314560001</v>
      </c>
      <c r="N92" s="337">
        <f t="shared" si="13"/>
        <v>914.4593503999998</v>
      </c>
      <c r="O92" s="337">
        <f t="shared" si="13"/>
        <v>1358.936926848</v>
      </c>
      <c r="P92" s="337">
        <f t="shared" si="13"/>
        <v>406.156838304</v>
      </c>
      <c r="Q92" s="337">
        <f t="shared" si="13"/>
        <v>439.36562265599974</v>
      </c>
      <c r="R92" s="337">
        <f t="shared" si="13"/>
        <v>662.99953152</v>
      </c>
      <c r="S92" s="337">
        <f t="shared" si="13"/>
        <v>1650.3013576800001</v>
      </c>
      <c r="T92" s="337">
        <f t="shared" si="13"/>
        <v>2656.2260377599996</v>
      </c>
      <c r="U92" s="337">
        <f t="shared" si="13"/>
        <v>3493.550047488</v>
      </c>
      <c r="V92" s="337">
        <f t="shared" si="13"/>
        <v>1165.3982442239997</v>
      </c>
      <c r="W92" s="337">
        <f t="shared" si="13"/>
        <v>1407.3868671999999</v>
      </c>
      <c r="X92" s="337">
        <f t="shared" si="13"/>
        <v>2099.7940796159996</v>
      </c>
      <c r="Y92" s="337">
        <f t="shared" si="13"/>
        <v>1114.205470224</v>
      </c>
      <c r="Z92" s="337">
        <f t="shared" si="13"/>
        <v>1298.7821617279997</v>
      </c>
      <c r="AA92" s="337">
        <f t="shared" si="13"/>
        <v>1911.6340796159998</v>
      </c>
      <c r="AC92" s="337">
        <f>SUMPRODUCT($B$24:$D$24,M92:O92)</f>
        <v>963.5508548159999</v>
      </c>
      <c r="AD92" s="337">
        <f>SUMPRODUCT($B$24:$D$24,P92:R92)</f>
        <v>464.8733403455998</v>
      </c>
      <c r="AE92" s="337">
        <f>SUMPRODUCT($B$24:$D$24,S92:U92)</f>
        <v>2716.4679317241594</v>
      </c>
      <c r="AF92" s="337">
        <f>SUMPRODUCT($B$24:$D$24,V92:X92)</f>
        <v>1480.79618777088</v>
      </c>
      <c r="AG92" s="337">
        <f>SUMPRODUCT($B$24:$D$24,Y92:AA92)</f>
        <v>1364.9413242143996</v>
      </c>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row>
    <row r="93" spans="2:90" ht="12.75">
      <c r="B93" s="181">
        <v>590</v>
      </c>
      <c r="C93" s="182">
        <f>UAOptimizer!AV28</f>
        <v>20082.63387394219</v>
      </c>
      <c r="D93" s="181">
        <v>590</v>
      </c>
      <c r="E93" s="182">
        <f>UAOptimizer!BF28</f>
        <v>18316.0011030489</v>
      </c>
      <c r="F93" s="181">
        <v>590</v>
      </c>
      <c r="G93" s="179">
        <f>UAOptimizer!BP28</f>
        <v>12857.124230881922</v>
      </c>
      <c r="H93" s="178">
        <f>UAOptimizer!BO28</f>
        <v>590</v>
      </c>
      <c r="I93" s="180">
        <f t="shared" si="7"/>
        <v>17731.601189224595</v>
      </c>
      <c r="J93" s="181">
        <v>590</v>
      </c>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row>
    <row r="94" spans="2:90" ht="12.75">
      <c r="B94" s="181">
        <v>580</v>
      </c>
      <c r="C94" s="182">
        <f>UAOptimizer!AV29</f>
        <v>19621.352613708834</v>
      </c>
      <c r="D94" s="181">
        <v>580</v>
      </c>
      <c r="E94" s="182">
        <f>UAOptimizer!BF29</f>
        <v>17869.39556367522</v>
      </c>
      <c r="F94" s="181">
        <v>580</v>
      </c>
      <c r="G94" s="179">
        <f>UAOptimizer!BP29</f>
        <v>12503.036917667741</v>
      </c>
      <c r="H94" s="178">
        <f>UAOptimizer!BO29</f>
        <v>580</v>
      </c>
      <c r="I94" s="180">
        <f t="shared" si="7"/>
        <v>17295.51080815567</v>
      </c>
      <c r="J94" s="181">
        <v>580</v>
      </c>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row>
    <row r="95" spans="2:90" ht="12.75">
      <c r="B95" s="181">
        <v>570</v>
      </c>
      <c r="C95" s="182">
        <f>UAOptimizer!AV30</f>
        <v>19160.4746557281</v>
      </c>
      <c r="D95" s="181">
        <v>570</v>
      </c>
      <c r="E95" s="182">
        <f>UAOptimizer!BF30</f>
        <v>17423.793109391427</v>
      </c>
      <c r="F95" s="181">
        <v>570</v>
      </c>
      <c r="G95" s="179">
        <f>UAOptimizer!BP30</f>
        <v>12149.920890711983</v>
      </c>
      <c r="H95" s="178">
        <f>UAOptimizer!BO30</f>
        <v>570</v>
      </c>
      <c r="I95" s="180">
        <f t="shared" si="7"/>
        <v>16860.39570500336</v>
      </c>
      <c r="J95" s="181">
        <v>570</v>
      </c>
      <c r="K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row>
    <row r="96" spans="2:90" ht="12.75">
      <c r="B96" s="181">
        <v>560</v>
      </c>
      <c r="C96" s="182">
        <f>UAOptimizer!AV31</f>
        <v>18700.353320349528</v>
      </c>
      <c r="D96" s="181">
        <v>560</v>
      </c>
      <c r="E96" s="182">
        <f>UAOptimizer!BF31</f>
        <v>16978.87316661209</v>
      </c>
      <c r="F96" s="181">
        <v>560</v>
      </c>
      <c r="G96" s="179">
        <f>UAOptimizer!BP31</f>
        <v>11798.871960152359</v>
      </c>
      <c r="H96" s="178">
        <f>UAOptimizer!BO31</f>
        <v>560</v>
      </c>
      <c r="I96" s="180">
        <f t="shared" si="7"/>
        <v>16426.13222798642</v>
      </c>
      <c r="J96" s="181">
        <v>560</v>
      </c>
      <c r="K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row>
    <row r="97" spans="2:90" ht="12.75">
      <c r="B97" s="181">
        <v>550</v>
      </c>
      <c r="C97" s="182">
        <f>UAOptimizer!AV32</f>
        <v>18241.04031299013</v>
      </c>
      <c r="D97" s="181">
        <v>550</v>
      </c>
      <c r="E97" s="182">
        <f>UAOptimizer!BF32</f>
        <v>16534.780510504817</v>
      </c>
      <c r="F97" s="181">
        <v>550</v>
      </c>
      <c r="G97" s="179">
        <f>UAOptimizer!BP32</f>
        <v>11451.043070612366</v>
      </c>
      <c r="H97" s="178">
        <f>UAOptimizer!BO32</f>
        <v>550</v>
      </c>
      <c r="I97" s="180">
        <f t="shared" si="7"/>
        <v>15992.982409817134</v>
      </c>
      <c r="J97" s="181">
        <v>550</v>
      </c>
      <c r="K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row>
    <row r="98" spans="2:90" ht="12.75">
      <c r="B98" s="181">
        <v>540</v>
      </c>
      <c r="C98" s="182">
        <f>UAOptimizer!AV33</f>
        <v>17782.654556108995</v>
      </c>
      <c r="D98" s="181">
        <v>540</v>
      </c>
      <c r="E98" s="182">
        <f>UAOptimizer!BF33</f>
        <v>16092.285551782974</v>
      </c>
      <c r="F98" s="181">
        <v>540</v>
      </c>
      <c r="G98" s="179">
        <f>UAOptimizer!BP33</f>
        <v>11105.049809551714</v>
      </c>
      <c r="H98" s="178">
        <f>UAOptimizer!BO33</f>
        <v>540</v>
      </c>
      <c r="I98" s="180">
        <f t="shared" si="7"/>
        <v>15561.432022888263</v>
      </c>
      <c r="J98" s="181">
        <v>540</v>
      </c>
      <c r="K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row>
    <row r="99" spans="2:90" ht="12.75">
      <c r="B99" s="181">
        <v>530</v>
      </c>
      <c r="C99" s="182">
        <f>UAOptimizer!AV34</f>
        <v>17324.889264231915</v>
      </c>
      <c r="D99" s="181">
        <v>530</v>
      </c>
      <c r="E99" s="182">
        <f>UAOptimizer!BF34</f>
        <v>15651.024629013635</v>
      </c>
      <c r="F99" s="181">
        <v>530</v>
      </c>
      <c r="G99" s="179">
        <f>UAOptimizer!BP34</f>
        <v>10761.689129797833</v>
      </c>
      <c r="H99" s="178">
        <f>UAOptimizer!BO34</f>
        <v>530</v>
      </c>
      <c r="I99" s="180">
        <f t="shared" si="7"/>
        <v>15131.25895451647</v>
      </c>
      <c r="J99" s="181">
        <v>530</v>
      </c>
      <c r="K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row>
    <row r="100" spans="2:90" ht="12.75">
      <c r="B100" s="181">
        <v>520</v>
      </c>
      <c r="C100" s="182">
        <f>UAOptimizer!AV35</f>
        <v>16867.63413246928</v>
      </c>
      <c r="D100" s="181">
        <v>520</v>
      </c>
      <c r="E100" s="182">
        <f>UAOptimizer!BF35</f>
        <v>15210.885713793285</v>
      </c>
      <c r="F100" s="181">
        <v>520</v>
      </c>
      <c r="G100" s="179">
        <f>UAOptimizer!BP35</f>
        <v>10420.074714327571</v>
      </c>
      <c r="H100" s="178">
        <f>UAOptimizer!BO35</f>
        <v>520</v>
      </c>
      <c r="I100" s="180">
        <f t="shared" si="7"/>
        <v>14702.258330604438</v>
      </c>
      <c r="J100" s="181">
        <v>520</v>
      </c>
      <c r="K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row>
    <row r="101" spans="2:90" ht="12.75">
      <c r="B101" s="181">
        <v>510</v>
      </c>
      <c r="C101" s="182">
        <f>UAOptimizer!AV36</f>
        <v>16411.376915254823</v>
      </c>
      <c r="D101" s="181">
        <v>510</v>
      </c>
      <c r="E101" s="182">
        <f>UAOptimizer!BF36</f>
        <v>14771.84467692732</v>
      </c>
      <c r="F101" s="181">
        <v>510</v>
      </c>
      <c r="G101" s="179">
        <f>UAOptimizer!BP36</f>
        <v>10079.950190448286</v>
      </c>
      <c r="H101" s="178">
        <f>UAOptimizer!BO36</f>
        <v>510</v>
      </c>
      <c r="I101" s="180">
        <f t="shared" si="7"/>
        <v>14274.398628082936</v>
      </c>
      <c r="J101" s="181">
        <v>510</v>
      </c>
      <c r="K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row>
    <row r="102" spans="2:90" ht="12.75">
      <c r="B102" s="181">
        <v>500</v>
      </c>
      <c r="C102" s="182">
        <f>UAOptimizer!AV37</f>
        <v>15956.53297943848</v>
      </c>
      <c r="D102" s="181">
        <v>500</v>
      </c>
      <c r="E102" s="182">
        <f>UAOptimizer!BF37</f>
        <v>14334.397890418986</v>
      </c>
      <c r="F102" s="181">
        <v>500</v>
      </c>
      <c r="G102" s="179">
        <f>UAOptimizer!BP37</f>
        <v>9741.762379138589</v>
      </c>
      <c r="H102" s="178">
        <f>UAOptimizer!BO37</f>
        <v>500</v>
      </c>
      <c r="I102" s="180">
        <f t="shared" si="7"/>
        <v>13848.16703262612</v>
      </c>
      <c r="J102" s="181">
        <v>500</v>
      </c>
      <c r="K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2:90" ht="12.75">
      <c r="B103" s="181">
        <v>490</v>
      </c>
      <c r="C103" s="182">
        <f>UAOptimizer!AV38</f>
        <v>15502.850691990832</v>
      </c>
      <c r="D103" s="181">
        <v>490</v>
      </c>
      <c r="E103" s="182">
        <f>UAOptimizer!BF38</f>
        <v>13898.22133365506</v>
      </c>
      <c r="F103" s="181">
        <v>490</v>
      </c>
      <c r="G103" s="179">
        <f>UAOptimizer!BP38</f>
        <v>9404.749487254616</v>
      </c>
      <c r="H103" s="178">
        <f>UAOptimizer!BO38</f>
        <v>490</v>
      </c>
      <c r="I103" s="180">
        <f t="shared" si="7"/>
        <v>13423.189886420436</v>
      </c>
      <c r="J103" s="181">
        <v>490</v>
      </c>
      <c r="K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row>
    <row r="104" spans="2:90" ht="12.75">
      <c r="B104" s="181">
        <v>480</v>
      </c>
      <c r="C104" s="182">
        <f>UAOptimizer!AV39</f>
        <v>15050.021543923756</v>
      </c>
      <c r="D104" s="181">
        <v>480</v>
      </c>
      <c r="E104" s="182">
        <f>UAOptimizer!BF39</f>
        <v>13463.82516674997</v>
      </c>
      <c r="F104" s="181">
        <v>480</v>
      </c>
      <c r="G104" s="179">
        <f>UAOptimizer!BP39</f>
        <v>9068.68004687958</v>
      </c>
      <c r="H104" s="178">
        <f>UAOptimizer!BO39</f>
        <v>480</v>
      </c>
      <c r="I104" s="180">
        <f t="shared" si="7"/>
        <v>12999.855607452475</v>
      </c>
      <c r="J104" s="181">
        <v>480</v>
      </c>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row>
    <row r="105" spans="2:90" ht="12.75">
      <c r="B105" s="181">
        <v>470</v>
      </c>
      <c r="C105" s="182">
        <f>UAOptimizer!AV40</f>
        <v>14598.791816756004</v>
      </c>
      <c r="D105" s="181">
        <v>470</v>
      </c>
      <c r="E105" s="182">
        <f>UAOptimizer!BF40</f>
        <v>13030.790575825995</v>
      </c>
      <c r="F105" s="181">
        <v>470</v>
      </c>
      <c r="G105" s="179">
        <f>UAOptimizer!BP40</f>
        <v>8734.610313507179</v>
      </c>
      <c r="H105" s="178">
        <f>UAOptimizer!BO40</f>
        <v>470</v>
      </c>
      <c r="I105" s="180">
        <f t="shared" si="7"/>
        <v>12577.968993984938</v>
      </c>
      <c r="J105" s="181">
        <v>470</v>
      </c>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row>
    <row r="106" spans="2:90" ht="12.75">
      <c r="B106" s="181">
        <v>460</v>
      </c>
      <c r="C106" s="182">
        <f>UAOptimizer!AV41</f>
        <v>14149.104634528878</v>
      </c>
      <c r="D106" s="181">
        <v>460</v>
      </c>
      <c r="E106" s="182">
        <f>UAOptimizer!BF41</f>
        <v>12598.853863256409</v>
      </c>
      <c r="F106" s="181">
        <v>460</v>
      </c>
      <c r="G106" s="179">
        <f>UAOptimizer!BP41</f>
        <v>8402.194550249049</v>
      </c>
      <c r="H106" s="178">
        <f>UAOptimizer!BO41</f>
        <v>460</v>
      </c>
      <c r="I106" s="180">
        <f t="shared" si="7"/>
        <v>12157.264776546424</v>
      </c>
      <c r="J106" s="181">
        <v>460</v>
      </c>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row>
    <row r="107" spans="2:90" ht="12.75">
      <c r="B107" s="181">
        <v>450</v>
      </c>
      <c r="C107" s="182">
        <f>UAOptimizer!AV42</f>
        <v>13700.243015459919</v>
      </c>
      <c r="D107" s="181">
        <v>450</v>
      </c>
      <c r="E107" s="182">
        <f>UAOptimizer!BF42</f>
        <v>12169.795418900054</v>
      </c>
      <c r="F107" s="181">
        <v>450</v>
      </c>
      <c r="G107" s="179">
        <f>UAOptimizer!BP42</f>
        <v>8071.248168766481</v>
      </c>
      <c r="H107" s="178">
        <f>UAOptimizer!BO42</f>
        <v>450</v>
      </c>
      <c r="I107" s="180">
        <f t="shared" si="7"/>
        <v>11739.18765274642</v>
      </c>
      <c r="J107" s="181">
        <v>450</v>
      </c>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row>
    <row r="108" spans="2:90" ht="12.75">
      <c r="B108" s="181">
        <v>440</v>
      </c>
      <c r="C108" s="182">
        <f>UAOptimizer!AV43</f>
        <v>13252.313817410937</v>
      </c>
      <c r="D108" s="181">
        <v>440</v>
      </c>
      <c r="E108" s="182">
        <f>UAOptimizer!BF43</f>
        <v>11743.570431395532</v>
      </c>
      <c r="F108" s="181">
        <v>440</v>
      </c>
      <c r="G108" s="179">
        <f>UAOptimizer!BP43</f>
        <v>7743.590682683856</v>
      </c>
      <c r="H108" s="178">
        <f>UAOptimizer!BO43</f>
        <v>440</v>
      </c>
      <c r="I108" s="180">
        <f t="shared" si="7"/>
        <v>11323.922596990746</v>
      </c>
      <c r="J108" s="181">
        <v>440</v>
      </c>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row>
    <row r="109" spans="2:90" ht="12.75">
      <c r="B109" s="181">
        <v>430</v>
      </c>
      <c r="C109" s="182">
        <f>UAOptimizer!AV44</f>
        <v>12805.398045535238</v>
      </c>
      <c r="D109" s="181">
        <v>430</v>
      </c>
      <c r="E109" s="182">
        <f>UAOptimizer!BF44</f>
        <v>11318.005549714759</v>
      </c>
      <c r="F109" s="181">
        <v>430</v>
      </c>
      <c r="G109" s="179">
        <f>UAOptimizer!BP44</f>
        <v>7417.891883973044</v>
      </c>
      <c r="H109" s="178">
        <f>UAOptimizer!BO44</f>
        <v>430</v>
      </c>
      <c r="I109" s="180">
        <f t="shared" si="7"/>
        <v>10909.487609658572</v>
      </c>
      <c r="J109" s="181">
        <v>430</v>
      </c>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row>
    <row r="110" spans="2:90" ht="12.75">
      <c r="B110" s="181">
        <v>420</v>
      </c>
      <c r="C110" s="182">
        <f>UAOptimizer!AV45</f>
        <v>12359.866255321349</v>
      </c>
      <c r="D110" s="181">
        <v>420</v>
      </c>
      <c r="E110" s="182">
        <f>UAOptimizer!BF45</f>
        <v>10893.255890108754</v>
      </c>
      <c r="F110" s="181">
        <v>420</v>
      </c>
      <c r="G110" s="179">
        <f>UAOptimizer!BP45</f>
        <v>7094.537064166422</v>
      </c>
      <c r="H110" s="178">
        <f>UAOptimizer!BO45</f>
        <v>420</v>
      </c>
      <c r="I110" s="180">
        <f t="shared" si="7"/>
        <v>10496.074045604179</v>
      </c>
      <c r="J110" s="181">
        <v>420</v>
      </c>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row>
    <row r="111" spans="2:90" ht="12.75">
      <c r="B111" s="181">
        <v>410</v>
      </c>
      <c r="C111" s="182">
        <f>UAOptimizer!AV46</f>
        <v>11915.956291687493</v>
      </c>
      <c r="D111" s="181">
        <v>410</v>
      </c>
      <c r="E111" s="182">
        <f>UAOptimizer!BF46</f>
        <v>10471.256958687372</v>
      </c>
      <c r="F111" s="181">
        <v>410</v>
      </c>
      <c r="G111" s="179">
        <f>UAOptimizer!BP46</f>
        <v>6773.754761207151</v>
      </c>
      <c r="H111" s="178">
        <f>UAOptimizer!BO46</f>
        <v>410</v>
      </c>
      <c r="I111" s="180">
        <f t="shared" si="7"/>
        <v>10085.34466830975</v>
      </c>
      <c r="J111" s="181">
        <v>410</v>
      </c>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row>
    <row r="112" spans="2:90" ht="12.75">
      <c r="B112" s="181">
        <v>400</v>
      </c>
      <c r="C112" s="182">
        <f>UAOptimizer!AV47</f>
        <v>11472.801227141897</v>
      </c>
      <c r="D112" s="181">
        <v>400</v>
      </c>
      <c r="E112" s="182">
        <f>UAOptimizer!BF47</f>
        <v>10051.031523069236</v>
      </c>
      <c r="F112" s="181">
        <v>400</v>
      </c>
      <c r="G112" s="179">
        <f>UAOptimizer!BP47</f>
        <v>6456.09874011134</v>
      </c>
      <c r="H112" s="178">
        <f>UAOptimizer!BO47</f>
        <v>400</v>
      </c>
      <c r="I112" s="180">
        <f t="shared" si="7"/>
        <v>9676.510377277194</v>
      </c>
      <c r="J112" s="181">
        <v>400</v>
      </c>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row>
    <row r="113" spans="2:90" ht="12.75">
      <c r="B113" s="181">
        <v>390</v>
      </c>
      <c r="C113" s="182">
        <f>UAOptimizer!AV48</f>
        <v>11031.776425776876</v>
      </c>
      <c r="D113" s="181">
        <v>390</v>
      </c>
      <c r="E113" s="182">
        <f>UAOptimizer!BF48</f>
        <v>9632.34518536392</v>
      </c>
      <c r="F113" s="181">
        <v>390</v>
      </c>
      <c r="G113" s="179">
        <f>UAOptimizer!BP48</f>
        <v>6142.105186053326</v>
      </c>
      <c r="H113" s="178">
        <f>UAOptimizer!BO48</f>
        <v>390</v>
      </c>
      <c r="I113" s="180">
        <f t="shared" si="7"/>
        <v>9269.493635063167</v>
      </c>
      <c r="J113" s="181">
        <v>390</v>
      </c>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row>
    <row r="114" spans="2:90" ht="12.75">
      <c r="B114" s="181">
        <v>380</v>
      </c>
      <c r="C114" s="182">
        <f>UAOptimizer!AV49</f>
        <v>10593.024939246136</v>
      </c>
      <c r="D114" s="181">
        <v>380</v>
      </c>
      <c r="E114" s="182">
        <f>UAOptimizer!BF49</f>
        <v>9215.468537253753</v>
      </c>
      <c r="F114" s="181">
        <v>380</v>
      </c>
      <c r="G114" s="179">
        <f>UAOptimizer!BP49</f>
        <v>5830.5845297392325</v>
      </c>
      <c r="H114" s="178">
        <f>UAOptimizer!BO49</f>
        <v>380</v>
      </c>
      <c r="I114" s="180">
        <f t="shared" si="7"/>
        <v>8864.384712431705</v>
      </c>
      <c r="J114" s="181">
        <v>380</v>
      </c>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row>
    <row r="115" spans="2:90" ht="12.75">
      <c r="B115" s="181">
        <v>370</v>
      </c>
      <c r="C115" s="182">
        <f>UAOptimizer!AV50</f>
        <v>10156.412333465469</v>
      </c>
      <c r="D115" s="181">
        <v>370</v>
      </c>
      <c r="E115" s="182">
        <f>UAOptimizer!BF50</f>
        <v>8801.142689715794</v>
      </c>
      <c r="F115" s="181">
        <v>370</v>
      </c>
      <c r="G115" s="179">
        <f>UAOptimizer!BP50</f>
        <v>5522.305889246997</v>
      </c>
      <c r="H115" s="178">
        <f>UAOptimizer!BO50</f>
        <v>370</v>
      </c>
      <c r="I115" s="180">
        <f t="shared" si="7"/>
        <v>8461.893059409525</v>
      </c>
      <c r="J115" s="181">
        <v>370</v>
      </c>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row>
    <row r="116" spans="2:90" ht="12.75">
      <c r="B116" s="181">
        <v>360</v>
      </c>
      <c r="C116" s="182">
        <f>UAOptimizer!AV51</f>
        <v>9722.448768549319</v>
      </c>
      <c r="D116" s="181">
        <v>360</v>
      </c>
      <c r="E116" s="182">
        <f>UAOptimizer!BF51</f>
        <v>8390.887782009962</v>
      </c>
      <c r="F116" s="181">
        <v>360</v>
      </c>
      <c r="G116" s="179">
        <f>UAOptimizer!BP51</f>
        <v>5217.119835921477</v>
      </c>
      <c r="H116" s="178">
        <f>UAOptimizer!BO51</f>
        <v>360</v>
      </c>
      <c r="I116" s="180">
        <f t="shared" si="7"/>
        <v>8063.298067940918</v>
      </c>
      <c r="J116" s="181">
        <v>360</v>
      </c>
      <c r="K116" s="5"/>
      <c r="L116" s="5"/>
      <c r="M116" s="5"/>
      <c r="N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row>
    <row r="117" spans="2:13" ht="12.75">
      <c r="B117" s="181">
        <v>350</v>
      </c>
      <c r="C117" s="182">
        <f>UAOptimizer!AV52</f>
        <v>9291.458265110909</v>
      </c>
      <c r="D117" s="181">
        <v>350</v>
      </c>
      <c r="E117" s="182">
        <f>UAOptimizer!BF52</f>
        <v>7983.383602488755</v>
      </c>
      <c r="F117" s="181">
        <v>350</v>
      </c>
      <c r="G117" s="179">
        <f>UAOptimizer!BP52</f>
        <v>4915.857017286845</v>
      </c>
      <c r="H117" s="178">
        <f>UAOptimizer!BO52</f>
        <v>350</v>
      </c>
      <c r="I117" s="180">
        <f t="shared" si="7"/>
        <v>7667.603398769413</v>
      </c>
      <c r="J117" s="181">
        <v>350</v>
      </c>
      <c r="K117" s="5"/>
      <c r="L117" s="5"/>
      <c r="M117" s="5"/>
    </row>
    <row r="118" spans="2:11" ht="12.75">
      <c r="B118" s="181">
        <v>340</v>
      </c>
      <c r="C118" s="182">
        <f>UAOptimizer!AV53</f>
        <v>8862.489443477363</v>
      </c>
      <c r="D118" s="181">
        <v>340</v>
      </c>
      <c r="E118" s="182">
        <f>UAOptimizer!BF53</f>
        <v>7578.961065820997</v>
      </c>
      <c r="F118" s="181">
        <v>340</v>
      </c>
      <c r="G118" s="179">
        <f>UAOptimizer!BP53</f>
        <v>4619.853501318488</v>
      </c>
      <c r="H118" s="178">
        <f>UAOptimizer!BO53</f>
        <v>340</v>
      </c>
      <c r="I118" s="180">
        <f t="shared" si="7"/>
        <v>7275.209293186949</v>
      </c>
      <c r="J118" s="181">
        <v>340</v>
      </c>
      <c r="K118" s="5"/>
    </row>
    <row r="119" spans="2:10" ht="12.75">
      <c r="B119" s="181">
        <v>330</v>
      </c>
      <c r="C119" s="182">
        <f>UAOptimizer!AV54</f>
        <v>8435.332034952862</v>
      </c>
      <c r="D119" s="181">
        <v>330</v>
      </c>
      <c r="E119" s="182">
        <f>UAOptimizer!BF54</f>
        <v>7178.945554195895</v>
      </c>
      <c r="F119" s="181">
        <v>330</v>
      </c>
      <c r="G119" s="179">
        <f>UAOptimizer!BP54</f>
        <v>4328.422209200116</v>
      </c>
      <c r="H119" s="178">
        <f>UAOptimizer!BO54</f>
        <v>330</v>
      </c>
      <c r="I119" s="180">
        <f t="shared" si="7"/>
        <v>6887.13821202668</v>
      </c>
      <c r="J119" s="181">
        <v>330</v>
      </c>
    </row>
    <row r="120" spans="2:10" ht="12.75">
      <c r="B120" s="181">
        <v>320</v>
      </c>
      <c r="C120" s="182">
        <f>UAOptimizer!AV55</f>
        <v>8010.582375346858</v>
      </c>
      <c r="D120" s="181">
        <v>320</v>
      </c>
      <c r="E120" s="182">
        <f>UAOptimizer!BF55</f>
        <v>6783.645576601576</v>
      </c>
      <c r="F120" s="181">
        <v>320</v>
      </c>
      <c r="G120" s="179">
        <f>UAOptimizer!BP55</f>
        <v>4041.1631995312046</v>
      </c>
      <c r="H120" s="178">
        <f>UAOptimizer!BO55</f>
        <v>320</v>
      </c>
      <c r="I120" s="180">
        <f t="shared" si="7"/>
        <v>6503.625163302942</v>
      </c>
      <c r="J120" s="181">
        <v>320</v>
      </c>
    </row>
    <row r="121" spans="2:10" ht="12.75">
      <c r="B121" s="181">
        <v>310</v>
      </c>
      <c r="C121" s="182">
        <f>UAOptimizer!AV56</f>
        <v>7589.0711983592155</v>
      </c>
      <c r="D121" s="181">
        <v>310</v>
      </c>
      <c r="E121" s="182">
        <f>UAOptimizer!BF56</f>
        <v>6392.22350528257</v>
      </c>
      <c r="F121" s="181">
        <v>310</v>
      </c>
      <c r="G121" s="179">
        <f>UAOptimizer!BP56</f>
        <v>3759.034573688837</v>
      </c>
      <c r="H121" s="178">
        <f>UAOptimizer!BO56</f>
        <v>310</v>
      </c>
      <c r="I121" s="180">
        <f t="shared" si="7"/>
        <v>6124.114741214387</v>
      </c>
      <c r="J121" s="181">
        <v>310</v>
      </c>
    </row>
    <row r="122" spans="2:10" ht="12.75">
      <c r="B122" s="181">
        <v>300</v>
      </c>
      <c r="C122" s="182">
        <f>UAOptimizer!AV57</f>
        <v>7170.515847710312</v>
      </c>
      <c r="D122" s="181">
        <v>300</v>
      </c>
      <c r="E122" s="182">
        <f>UAOptimizer!BF57</f>
        <v>6003.6969373158</v>
      </c>
      <c r="F122" s="181">
        <v>300</v>
      </c>
      <c r="G122" s="179">
        <f>UAOptimizer!BP57</f>
        <v>3485.0849692352776</v>
      </c>
      <c r="H122" s="178">
        <f>UAOptimizer!BO57</f>
        <v>300</v>
      </c>
      <c r="I122" s="180">
        <f t="shared" si="7"/>
        <v>5748.136257561918</v>
      </c>
      <c r="J122" s="181">
        <v>300</v>
      </c>
    </row>
    <row r="123" spans="2:10" ht="12.75">
      <c r="B123" s="181">
        <v>290</v>
      </c>
      <c r="C123" s="182">
        <f>UAOptimizer!AV58</f>
        <v>6755.198979679772</v>
      </c>
      <c r="D123" s="181">
        <v>290</v>
      </c>
      <c r="E123" s="182">
        <f>UAOptimizer!BF58</f>
        <v>5618.236500577378</v>
      </c>
      <c r="F123" s="181">
        <v>290</v>
      </c>
      <c r="G123" s="179">
        <f>UAOptimizer!BP58</f>
        <v>3217.4948725461472</v>
      </c>
      <c r="H123" s="178">
        <f>UAOptimizer!BO58</f>
        <v>290</v>
      </c>
      <c r="I123" s="180">
        <f t="shared" si="7"/>
        <v>5375.626004377726</v>
      </c>
      <c r="J123" s="181">
        <v>290</v>
      </c>
    </row>
    <row r="124" spans="2:10" ht="12.75">
      <c r="B124" s="181">
        <v>280</v>
      </c>
      <c r="C124" s="182">
        <f>UAOptimizer!AV59</f>
        <v>6342.656969028456</v>
      </c>
      <c r="D124" s="181">
        <v>280</v>
      </c>
      <c r="E124" s="182">
        <f>UAOptimizer!BF59</f>
        <v>5237.489874355836</v>
      </c>
      <c r="F124" s="181">
        <v>280</v>
      </c>
      <c r="G124" s="179">
        <f>UAOptimizer!BP59</f>
        <v>2952.6706709639616</v>
      </c>
      <c r="H124" s="178">
        <f>UAOptimizer!BO59</f>
        <v>280</v>
      </c>
      <c r="I124" s="180">
        <f t="shared" si="7"/>
        <v>5007.518253735716</v>
      </c>
      <c r="J124" s="181">
        <v>280</v>
      </c>
    </row>
    <row r="125" spans="2:10" ht="12.75">
      <c r="B125" s="181">
        <v>270</v>
      </c>
      <c r="C125" s="182">
        <f>UAOptimizer!AV60</f>
        <v>5933.660226469726</v>
      </c>
      <c r="D125" s="181">
        <v>270</v>
      </c>
      <c r="E125" s="182">
        <f>UAOptimizer!BF60</f>
        <v>4859.997242377761</v>
      </c>
      <c r="F125" s="181">
        <v>270</v>
      </c>
      <c r="G125" s="179">
        <f>UAOptimizer!BP60</f>
        <v>2694.4843246410783</v>
      </c>
      <c r="H125" s="178">
        <f>UAOptimizer!BO60</f>
        <v>270</v>
      </c>
      <c r="I125" s="180">
        <f t="shared" si="7"/>
        <v>4643.0822116130375</v>
      </c>
      <c r="J125" s="181">
        <v>270</v>
      </c>
    </row>
    <row r="126" spans="2:10" ht="12.75">
      <c r="B126" s="181">
        <v>260</v>
      </c>
      <c r="C126" s="182">
        <f>UAOptimizer!AV61</f>
        <v>5529.037762189553</v>
      </c>
      <c r="D126" s="181">
        <v>260</v>
      </c>
      <c r="E126" s="182">
        <f>UAOptimizer!BF61</f>
        <v>4485.915444408059</v>
      </c>
      <c r="F126" s="181">
        <v>260</v>
      </c>
      <c r="G126" s="179">
        <f>UAOptimizer!BP61</f>
        <v>2443.5481980662175</v>
      </c>
      <c r="H126" s="178">
        <f>UAOptimizer!BO61</f>
        <v>260</v>
      </c>
      <c r="I126" s="180">
        <f t="shared" si="7"/>
        <v>4282.556267558298</v>
      </c>
      <c r="J126" s="181">
        <v>260</v>
      </c>
    </row>
    <row r="127" spans="2:10" ht="12.75">
      <c r="B127" s="181">
        <v>250</v>
      </c>
      <c r="C127" s="182">
        <f>UAOptimizer!AV62</f>
        <v>5128.425914755003</v>
      </c>
      <c r="D127" s="181">
        <v>250</v>
      </c>
      <c r="E127" s="182">
        <f>UAOptimizer!BF62</f>
        <v>4117.200668723394</v>
      </c>
      <c r="F127" s="181">
        <v>250</v>
      </c>
      <c r="G127" s="179">
        <f>UAOptimizer!BP62</f>
        <v>2199.1048930559627</v>
      </c>
      <c r="H127" s="178">
        <f>UAOptimizer!BO62</f>
        <v>250</v>
      </c>
      <c r="I127" s="180">
        <f t="shared" si="7"/>
        <v>3927.478185484567</v>
      </c>
      <c r="J127" s="181">
        <v>250</v>
      </c>
    </row>
    <row r="128" spans="2:10" ht="12.75">
      <c r="B128" s="181">
        <v>240</v>
      </c>
      <c r="C128" s="182">
        <f>UAOptimizer!AV63</f>
        <v>4733.377570190104</v>
      </c>
      <c r="D128" s="181">
        <v>240</v>
      </c>
      <c r="E128" s="182">
        <f>UAOptimizer!BF63</f>
        <v>3756.888023301908</v>
      </c>
      <c r="F128" s="181">
        <v>240</v>
      </c>
      <c r="G128" s="179">
        <f>UAOptimizer!BP63</f>
        <v>1962.8010547905071</v>
      </c>
      <c r="H128" s="178">
        <f>UAOptimizer!BO63</f>
        <v>240</v>
      </c>
      <c r="I128" s="180">
        <f t="shared" si="7"/>
        <v>3580.6571689560674</v>
      </c>
      <c r="J128" s="181">
        <v>240</v>
      </c>
    </row>
    <row r="129" spans="2:10" ht="12.75">
      <c r="B129" s="181">
        <v>230</v>
      </c>
      <c r="C129" s="182">
        <f>UAOptimizer!AV64</f>
        <v>4343.673842229538</v>
      </c>
      <c r="D129" s="181">
        <v>230</v>
      </c>
      <c r="E129" s="182">
        <f>UAOptimizer!BF64</f>
        <v>3404.2346736526433</v>
      </c>
      <c r="F129" s="181">
        <v>230</v>
      </c>
      <c r="G129" s="179">
        <f>UAOptimizer!BP64</f>
        <v>1737.7234104893055</v>
      </c>
      <c r="H129" s="178">
        <f>UAOptimizer!BO64</f>
        <v>230</v>
      </c>
      <c r="I129" s="180">
        <f t="shared" si="7"/>
        <v>3241.8308888161187</v>
      </c>
      <c r="J129" s="181">
        <v>230</v>
      </c>
    </row>
    <row r="130" spans="2:10" ht="12.75">
      <c r="B130" s="181">
        <v>220</v>
      </c>
      <c r="C130" s="182">
        <f>UAOptimizer!AV65</f>
        <v>3960.266110546181</v>
      </c>
      <c r="D130" s="181">
        <v>220</v>
      </c>
      <c r="E130" s="182">
        <f>UAOptimizer!BF65</f>
        <v>3059.0165629685807</v>
      </c>
      <c r="F130" s="181">
        <v>220</v>
      </c>
      <c r="G130" s="179">
        <f>UAOptimizer!BP65</f>
        <v>1525.0395546440084</v>
      </c>
      <c r="H130" s="178">
        <f>UAOptimizer!BO65</f>
        <v>220</v>
      </c>
      <c r="I130" s="180">
        <f t="shared" si="7"/>
        <v>2910.9893038727364</v>
      </c>
      <c r="J130" s="181">
        <v>220</v>
      </c>
    </row>
    <row r="131" spans="2:10" ht="12.75">
      <c r="B131" s="181">
        <v>210</v>
      </c>
      <c r="C131" s="182">
        <f>UAOptimizer!AV66</f>
        <v>3582.284000620465</v>
      </c>
      <c r="D131" s="181">
        <v>210</v>
      </c>
      <c r="E131" s="182">
        <f>UAOptimizer!BF66</f>
        <v>2723.8051739887283</v>
      </c>
      <c r="F131" s="181">
        <v>210</v>
      </c>
      <c r="G131" s="179">
        <f>UAOptimizer!BP66</f>
        <v>1321.8722531497217</v>
      </c>
      <c r="H131" s="178">
        <f>UAOptimizer!BO66</f>
        <v>210</v>
      </c>
      <c r="I131" s="180">
        <f t="shared" si="7"/>
        <v>2589.912376553317</v>
      </c>
      <c r="J131" s="181">
        <v>210</v>
      </c>
    </row>
    <row r="132" spans="2:10" ht="12.75">
      <c r="B132" s="181">
        <v>200</v>
      </c>
      <c r="C132" s="182">
        <f>UAOptimizer!AV67</f>
        <v>3209.7102773133865</v>
      </c>
      <c r="D132" s="181">
        <v>200</v>
      </c>
      <c r="E132" s="182">
        <f>UAOptimizer!BF67</f>
        <v>2398.1592871546513</v>
      </c>
      <c r="F132" s="181">
        <v>200</v>
      </c>
      <c r="G132" s="179">
        <f>UAOptimizer!BP67</f>
        <v>1129.0917081746265</v>
      </c>
      <c r="H132" s="178">
        <f>UAOptimizer!BO67</f>
        <v>200</v>
      </c>
      <c r="I132" s="180">
        <f t="shared" si="7"/>
        <v>2278.3332172833975</v>
      </c>
      <c r="J132" s="181">
        <v>200</v>
      </c>
    </row>
    <row r="133" spans="2:10" ht="12.75">
      <c r="B133" s="181">
        <v>190</v>
      </c>
      <c r="C133" s="182">
        <f>UAOptimizer!AV68</f>
        <v>2842.0020337464025</v>
      </c>
      <c r="D133" s="181">
        <v>190</v>
      </c>
      <c r="E133" s="182">
        <f>UAOptimizer!BF68</f>
        <v>2087.1649919856604</v>
      </c>
      <c r="F133" s="181">
        <v>190</v>
      </c>
      <c r="G133" s="179">
        <f>UAOptimizer!BP68</f>
        <v>948.1218869030179</v>
      </c>
      <c r="H133" s="178">
        <f>UAOptimizer!BO68</f>
        <v>190</v>
      </c>
      <c r="I133" s="180">
        <f t="shared" si="7"/>
        <v>1980.6733010461728</v>
      </c>
      <c r="J133" s="181">
        <v>190</v>
      </c>
    </row>
    <row r="134" spans="2:10" ht="12.75">
      <c r="B134" s="181">
        <v>180</v>
      </c>
      <c r="C134" s="182">
        <f>UAOptimizer!AV69</f>
        <v>2484.0988607573127</v>
      </c>
      <c r="D134" s="181">
        <v>180</v>
      </c>
      <c r="E134" s="182">
        <f>UAOptimizer!BF69</f>
        <v>1789.1901208183244</v>
      </c>
      <c r="F134" s="181">
        <v>180</v>
      </c>
      <c r="G134" s="179">
        <f>UAOptimizer!BP69</f>
        <v>778.0559624963377</v>
      </c>
      <c r="H134" s="178">
        <f>UAOptimizer!BO69</f>
        <v>180</v>
      </c>
      <c r="I134" s="180">
        <f t="shared" si="7"/>
        <v>1695.6503714172457</v>
      </c>
      <c r="J134" s="181">
        <v>180</v>
      </c>
    </row>
    <row r="135" spans="2:10" ht="12.75">
      <c r="B135" s="181">
        <v>170</v>
      </c>
      <c r="C135" s="182">
        <f>UAOptimizer!AV70</f>
        <v>2140.4974061115804</v>
      </c>
      <c r="D135" s="181">
        <v>170</v>
      </c>
      <c r="E135" s="182">
        <f>UAOptimizer!BF70</f>
        <v>1504.0950690267318</v>
      </c>
      <c r="F135" s="181">
        <v>170</v>
      </c>
      <c r="G135" s="179">
        <f>UAOptimizer!BP70</f>
        <v>623.3870495165544</v>
      </c>
      <c r="H135" s="178">
        <f>UAOptimizer!BO70</f>
        <v>170</v>
      </c>
      <c r="I135" s="180">
        <f t="shared" si="7"/>
        <v>1423.8662001689045</v>
      </c>
      <c r="J135" s="181">
        <v>170</v>
      </c>
    </row>
    <row r="136" spans="2:10" ht="12.75">
      <c r="B136" s="181">
        <v>160</v>
      </c>
      <c r="C136" s="182">
        <f>UAOptimizer!AV71</f>
        <v>1809.0105306699302</v>
      </c>
      <c r="D136" s="181">
        <v>160</v>
      </c>
      <c r="E136" s="182">
        <f>UAOptimizer!BF71</f>
        <v>1235.4957687733752</v>
      </c>
      <c r="F136" s="181">
        <v>160</v>
      </c>
      <c r="G136" s="179">
        <f>UAOptimizer!BP71</f>
        <v>482.8303545268093</v>
      </c>
      <c r="H136" s="178">
        <f>UAOptimizer!BO71</f>
        <v>160</v>
      </c>
      <c r="I136" s="180">
        <f t="shared" si="7"/>
        <v>1168.1165095396493</v>
      </c>
      <c r="J136" s="181">
        <v>160</v>
      </c>
    </row>
    <row r="137" spans="2:10" ht="12.75">
      <c r="B137" s="181">
        <v>150</v>
      </c>
      <c r="C137" s="182">
        <f>UAOptimizer!AV72</f>
        <v>1495.617104151945</v>
      </c>
      <c r="D137" s="181">
        <v>150</v>
      </c>
      <c r="E137" s="182">
        <f>UAOptimizer!BF72</f>
        <v>990.4276037986247</v>
      </c>
      <c r="F137" s="181">
        <v>150</v>
      </c>
      <c r="G137" s="179">
        <f>UAOptimizer!BP72</f>
        <v>354.10342806914736</v>
      </c>
      <c r="H137" s="178">
        <f>UAOptimizer!BO72</f>
        <v>150</v>
      </c>
      <c r="I137" s="180">
        <f>($B$24*C137)+($C$24*E137)+($D$24*G137)</f>
        <v>934.2762827252201</v>
      </c>
      <c r="J137" s="181">
        <v>150</v>
      </c>
    </row>
    <row r="138" spans="2:10" ht="12.75">
      <c r="B138" s="181">
        <v>140</v>
      </c>
      <c r="C138" s="182">
        <f>UAOptimizer!AV73</f>
        <v>1202.0544285689666</v>
      </c>
      <c r="D138" s="181">
        <v>140</v>
      </c>
      <c r="E138" s="182">
        <f>UAOptimizer!BF73</f>
        <v>768.7561400182693</v>
      </c>
      <c r="F138" s="181">
        <v>140</v>
      </c>
      <c r="G138" s="179">
        <f>UAOptimizer!BP73</f>
        <v>250.36771169059483</v>
      </c>
      <c r="H138" s="178">
        <f>UAOptimizer!BO73</f>
        <v>140</v>
      </c>
      <c r="I138" s="180">
        <f>($B$24*C138)+($C$24*E138)+($D$24*G138)</f>
        <v>723.8814601609762</v>
      </c>
      <c r="J138" s="181">
        <v>140</v>
      </c>
    </row>
    <row r="139" spans="2:10" ht="12.75">
      <c r="B139" s="181">
        <v>130</v>
      </c>
      <c r="C139" s="182">
        <f>UAOptimizer!AV74</f>
        <v>927.4107650678204</v>
      </c>
      <c r="D139" s="181">
        <v>130</v>
      </c>
      <c r="E139" s="182">
        <f>UAOptimizer!BF74</f>
        <v>572.1256096930422</v>
      </c>
      <c r="F139" s="181">
        <v>130</v>
      </c>
      <c r="G139" s="179">
        <f>UAOptimizer!BP74</f>
        <v>166.36097275124524</v>
      </c>
      <c r="H139" s="178">
        <f>UAOptimizer!BO74</f>
        <v>130</v>
      </c>
      <c r="I139" s="180">
        <f>($B$24*C139)+($C$24*E139)+($D$24*G139)</f>
        <v>537.6452594750177</v>
      </c>
      <c r="J139" s="181">
        <v>130</v>
      </c>
    </row>
    <row r="140" spans="2:10" ht="12.75">
      <c r="B140" s="181">
        <v>120</v>
      </c>
      <c r="C140" s="182">
        <f>UAOptimizer!AV75</f>
        <v>686.1498422984782</v>
      </c>
      <c r="D140" s="181">
        <v>120</v>
      </c>
      <c r="E140" s="182">
        <f>UAOptimizer!BF75</f>
        <v>400.03791730580315</v>
      </c>
      <c r="F140" s="181">
        <v>120</v>
      </c>
      <c r="G140" s="179">
        <f>UAOptimizer!BP75</f>
        <v>97.67946088485203</v>
      </c>
      <c r="H140" s="178">
        <f>UAOptimizer!BO75</f>
        <v>120</v>
      </c>
      <c r="I140" s="180">
        <f>($B$24*C140)+($C$24*E140)+($D$24*G140)</f>
        <v>375.199379534996</v>
      </c>
      <c r="J140" s="181">
        <v>120</v>
      </c>
    </row>
    <row r="141" spans="2:10" ht="12.75">
      <c r="B141" s="181">
        <v>110</v>
      </c>
      <c r="C141" s="182">
        <f>UAOptimizer!AV76</f>
        <v>479.57980731114606</v>
      </c>
      <c r="D141" s="181">
        <v>110</v>
      </c>
      <c r="E141" s="182">
        <f>UAOptimizer!BF76</f>
        <v>256.2158528808535</v>
      </c>
      <c r="F141" s="181">
        <v>110</v>
      </c>
      <c r="G141" s="179">
        <f>UAOptimizer!BP76</f>
        <v>0</v>
      </c>
      <c r="H141" s="178">
        <f>UAOptimizer!BO76</f>
        <v>110</v>
      </c>
      <c r="I141" s="180">
        <f>($B$24*C141)+($C$24*E141)+($D$24*G141)</f>
        <v>234.4045087123628</v>
      </c>
      <c r="J141" s="181">
        <v>110</v>
      </c>
    </row>
    <row r="142" spans="1:8" ht="12.75">
      <c r="A142" s="5"/>
      <c r="B142" s="5"/>
      <c r="C142" s="5"/>
      <c r="D142" s="5"/>
      <c r="E142" s="5"/>
      <c r="F142" s="5"/>
      <c r="G142" s="183"/>
      <c r="H142" s="5"/>
    </row>
    <row r="143" spans="1:8" ht="12.75">
      <c r="A143" s="5"/>
      <c r="B143" s="5"/>
      <c r="C143" s="5"/>
      <c r="D143" s="5"/>
      <c r="E143" s="5"/>
      <c r="F143" s="5"/>
      <c r="G143" s="183"/>
      <c r="H143" s="5"/>
    </row>
    <row r="144" spans="1:8" ht="12.75">
      <c r="A144" s="5"/>
      <c r="B144" s="5"/>
      <c r="C144" s="5"/>
      <c r="D144" s="5"/>
      <c r="E144" s="5"/>
      <c r="F144" s="5"/>
      <c r="G144" s="183"/>
      <c r="H144" s="5"/>
    </row>
    <row r="145" spans="1:8" ht="12.75">
      <c r="A145" s="5"/>
      <c r="B145" s="5"/>
      <c r="C145" s="5"/>
      <c r="D145" s="5"/>
      <c r="E145" s="5"/>
      <c r="F145" s="5"/>
      <c r="G145" s="183"/>
      <c r="H145" s="5"/>
    </row>
    <row r="146" spans="1:8" ht="12.75">
      <c r="A146" s="5"/>
      <c r="B146" s="5"/>
      <c r="C146" s="5"/>
      <c r="D146" s="5"/>
      <c r="E146" s="5"/>
      <c r="F146" s="5"/>
      <c r="G146" s="183"/>
      <c r="H146" s="5"/>
    </row>
    <row r="147" spans="1:8" ht="12.75">
      <c r="A147" s="5"/>
      <c r="B147" s="5"/>
      <c r="C147" s="5"/>
      <c r="D147" s="5"/>
      <c r="E147" s="5"/>
      <c r="F147" s="5"/>
      <c r="G147" s="183"/>
      <c r="H147" s="5"/>
    </row>
    <row r="148" spans="1:8" ht="12.75">
      <c r="A148" s="5"/>
      <c r="B148" s="5"/>
      <c r="C148" s="5"/>
      <c r="D148" s="5"/>
      <c r="E148" s="5"/>
      <c r="F148" s="5"/>
      <c r="G148" s="183"/>
      <c r="H148" s="5"/>
    </row>
    <row r="150" ht="15.75" thickBot="1"/>
    <row r="151" spans="1:4" ht="15">
      <c r="A151" s="186" t="s">
        <v>35</v>
      </c>
      <c r="B151" s="187" t="s">
        <v>128</v>
      </c>
      <c r="C151" s="187" t="s">
        <v>266</v>
      </c>
      <c r="D151" s="188" t="s">
        <v>36</v>
      </c>
    </row>
    <row r="152" spans="1:4" ht="15">
      <c r="A152" s="189" t="s">
        <v>168</v>
      </c>
      <c r="B152" s="185">
        <v>2426.1292025102684</v>
      </c>
      <c r="C152" s="185">
        <f>B152*3413/100000/0.78</f>
        <v>106.15870472009675</v>
      </c>
      <c r="D152" s="190">
        <v>1086.6633471999999</v>
      </c>
    </row>
    <row r="153" spans="1:4" ht="15">
      <c r="A153" s="189" t="s">
        <v>171</v>
      </c>
      <c r="B153" s="185">
        <v>3184.5261339503286</v>
      </c>
      <c r="C153" s="185">
        <f>B153*3413/100000/0.78</f>
        <v>139.34343198939067</v>
      </c>
      <c r="D153" s="190">
        <v>1086.6633471999999</v>
      </c>
    </row>
    <row r="154" spans="1:4" ht="15.75" thickBot="1">
      <c r="A154" s="191" t="s">
        <v>173</v>
      </c>
      <c r="B154" s="192">
        <v>3751.321162204251</v>
      </c>
      <c r="C154" s="192">
        <f>B154*3413/100000/0.78</f>
        <v>164.14434777696292</v>
      </c>
      <c r="D154" s="193">
        <v>1086.6633471999999</v>
      </c>
    </row>
  </sheetData>
  <mergeCells count="12">
    <mergeCell ref="R15:T15"/>
    <mergeCell ref="F67:G67"/>
    <mergeCell ref="I70:J70"/>
    <mergeCell ref="B50:C50"/>
    <mergeCell ref="D50:E50"/>
    <mergeCell ref="F50:G50"/>
    <mergeCell ref="L86:N86"/>
    <mergeCell ref="B1:C1"/>
    <mergeCell ref="B29:C29"/>
    <mergeCell ref="D29:E29"/>
    <mergeCell ref="F29:G29"/>
    <mergeCell ref="A16:C16"/>
  </mergeCells>
  <printOptions gridLines="1"/>
  <pageMargins left="0.75" right="0.75" top="1" bottom="1" header="0.5" footer="0.5"/>
  <pageSetup blackAndWhite="1" horizontalDpi="600" verticalDpi="600" orientation="landscape" r:id="rId2"/>
  <headerFooter alignWithMargins="0">
    <oddHeader>&amp;C&amp;A</oddHeader>
    <oddFooter>&amp;CPage &amp;P</oddFooter>
  </headerFooter>
  <legacyDrawing r:id="rId1"/>
</worksheet>
</file>

<file path=xl/worksheets/sheet9.xml><?xml version="1.0" encoding="utf-8"?>
<worksheet xmlns="http://schemas.openxmlformats.org/spreadsheetml/2006/main" xmlns:r="http://schemas.openxmlformats.org/officeDocument/2006/relationships">
  <sheetPr codeName="Sheet8"/>
  <dimension ref="A3:D7"/>
  <sheetViews>
    <sheetView workbookViewId="0" topLeftCell="A1">
      <selection activeCell="C15" sqref="C15"/>
    </sheetView>
  </sheetViews>
  <sheetFormatPr defaultColWidth="9.140625" defaultRowHeight="12.75"/>
  <cols>
    <col min="1" max="1" width="43.7109375" style="0" customWidth="1"/>
    <col min="2" max="2" width="64.421875" style="0" customWidth="1"/>
    <col min="3" max="3" width="49.8515625" style="0" customWidth="1"/>
    <col min="4" max="4" width="18.00390625" style="0" customWidth="1"/>
  </cols>
  <sheetData>
    <row r="2" ht="13.5" thickBot="1"/>
    <row r="3" spans="1:4" ht="13.5" thickBot="1">
      <c r="A3" s="77" t="s">
        <v>115</v>
      </c>
      <c r="B3" s="78" t="s">
        <v>116</v>
      </c>
      <c r="C3" s="78" t="s">
        <v>117</v>
      </c>
      <c r="D3" s="78" t="s">
        <v>118</v>
      </c>
    </row>
    <row r="4" spans="1:4" ht="22.5">
      <c r="A4" s="88" t="s">
        <v>172</v>
      </c>
      <c r="B4" s="81" t="s">
        <v>159</v>
      </c>
      <c r="C4" s="81" t="s">
        <v>160</v>
      </c>
      <c r="D4" s="81" t="s">
        <v>161</v>
      </c>
    </row>
    <row r="5" spans="1:4" ht="22.5">
      <c r="A5" s="88" t="s">
        <v>170</v>
      </c>
      <c r="B5" s="81" t="s">
        <v>159</v>
      </c>
      <c r="C5" s="81" t="s">
        <v>160</v>
      </c>
      <c r="D5" s="81" t="s">
        <v>164</v>
      </c>
    </row>
    <row r="6" spans="1:4" ht="22.5">
      <c r="A6" s="88" t="s">
        <v>167</v>
      </c>
      <c r="B6" s="81" t="s">
        <v>159</v>
      </c>
      <c r="C6" s="81" t="s">
        <v>160</v>
      </c>
      <c r="D6" s="81" t="s">
        <v>165</v>
      </c>
    </row>
    <row r="7" spans="1:4" ht="22.5">
      <c r="A7" s="88" t="s">
        <v>284</v>
      </c>
      <c r="B7" s="81" t="s">
        <v>159</v>
      </c>
      <c r="C7" s="81" t="s">
        <v>160</v>
      </c>
      <c r="D7" s="81" t="s">
        <v>285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 Good Cents for Manufactured Homes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2003-01-17T19:49:47Z</dcterms:modified>
  <cp:category/>
  <cp:version/>
  <cp:contentType/>
  <cp:contentStatus/>
</cp:coreProperties>
</file>