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90" windowWidth="12120" windowHeight="7965" tabRatio="601" activeTab="0"/>
  </bookViews>
  <sheets>
    <sheet name="MeasureTable" sheetId="1" r:id="rId1"/>
    <sheet name="ProData" sheetId="2" r:id="rId2"/>
    <sheet name="ResWXMH" sheetId="3" r:id="rId3"/>
    <sheet name="924 SF" sheetId="4" r:id="rId4"/>
    <sheet name="1568 SF" sheetId="5" r:id="rId5"/>
    <sheet name="UAOptimizer" sheetId="6" r:id="rId6"/>
    <sheet name="Cost Effectiveness" sheetId="7" r:id="rId7"/>
    <sheet name="LookupTable" sheetId="8" r:id="rId8"/>
    <sheet name="ResWXMH Base Case" sheetId="9" r:id="rId9"/>
  </sheet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 localSheetId="8">'ResWXMH Base Case'!PC_Main</definedName>
    <definedName name="PC_Main">[0]!PC_Main</definedName>
    <definedName name="_xlnm.Print_Area" localSheetId="4">'1568 SF'!$B$29:$K$48</definedName>
    <definedName name="_xlnm.Print_Area" localSheetId="3">'924 SF'!$B$28:$K$47</definedName>
    <definedName name="_xlnm.Print_Area" localSheetId="6">'Cost Effectiveness'!$K$1:$R$18</definedName>
    <definedName name="_xlnm.Print_Area" localSheetId="2">'ResWXMH'!#REF!</definedName>
    <definedName name="_xlnm.Print_Area" localSheetId="5">'UAOptimizer'!$A$116:$H$125</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7.xml><?xml version="1.0" encoding="utf-8"?>
<comments xmlns="http://schemas.openxmlformats.org/spreadsheetml/2006/main">
  <authors>
    <author>Tom Eckman</author>
  </authors>
  <commentList>
    <comment ref="A22" authorId="0">
      <text>
        <r>
          <rPr>
            <b/>
            <sz val="11"/>
            <rFont val="Tahoma"/>
            <family val="2"/>
          </rPr>
          <t>Tom Eckman: This row assumes that the baseline home is missing all measures.</t>
        </r>
        <r>
          <rPr>
            <sz val="8"/>
            <rFont val="Tahoma"/>
            <family val="0"/>
          </rPr>
          <t xml:space="preserve">
</t>
        </r>
      </text>
    </comment>
    <comment ref="A23" authorId="0">
      <text>
        <r>
          <rPr>
            <b/>
            <sz val="11"/>
            <rFont val="Tahoma"/>
            <family val="2"/>
          </rPr>
          <t>Tom Eckman:  This row assumes that the home is only missing the proportion of measures observed as the "pre" weatherization level of insulation based on the square footage reported in C&amp;R D for FY02</t>
        </r>
        <r>
          <rPr>
            <sz val="8"/>
            <rFont val="Tahoma"/>
            <family val="0"/>
          </rPr>
          <t xml:space="preserve">
</t>
        </r>
      </text>
    </comment>
  </commentList>
</comments>
</file>

<file path=xl/sharedStrings.xml><?xml version="1.0" encoding="utf-8"?>
<sst xmlns="http://schemas.openxmlformats.org/spreadsheetml/2006/main" count="899" uniqueCount="327">
  <si>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</si>
  <si>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</si>
  <si>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</si>
  <si>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</si>
  <si>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</si>
  <si>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</si>
  <si>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</si>
  <si>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</si>
  <si>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</si>
  <si>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</si>
  <si>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</si>
  <si>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</si>
  <si>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</si>
  <si>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</si>
  <si>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</si>
  <si>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</si>
  <si>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</si>
  <si>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</si>
  <si>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</si>
  <si>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</si>
  <si>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</si>
  <si>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</si>
  <si>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</si>
  <si>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</si>
  <si>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</si>
  <si>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</si>
  <si>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</si>
  <si>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</si>
  <si>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</si>
  <si>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</si>
  <si>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</si>
  <si>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</si>
  <si>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</si>
  <si>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</si>
  <si>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</si>
  <si>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</si>
  <si>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</si>
  <si>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</si>
  <si>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</si>
  <si>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</si>
  <si>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</si>
  <si>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</si>
  <si>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</si>
  <si>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</si>
  <si>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</si>
  <si>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</si>
  <si>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</si>
  <si>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</si>
  <si>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</si>
  <si>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</si>
  <si>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</si>
  <si>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</si>
  <si>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</si>
  <si>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</si>
  <si>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</si>
  <si>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</si>
  <si>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</si>
  <si>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</si>
  <si>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</si>
  <si>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</si>
  <si>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</si>
  <si>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</si>
  <si>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</si>
  <si>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</si>
  <si>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</si>
  <si>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</si>
  <si>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</si>
  <si>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</si>
  <si>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</si>
  <si>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</si>
  <si>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</si>
  <si>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</si>
  <si>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</si>
  <si>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</si>
  <si>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</si>
  <si>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</si>
  <si>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</si>
  <si>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</si>
  <si>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</si>
  <si>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</si>
  <si>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</si>
  <si>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</si>
  <si>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</si>
  <si>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</si>
  <si>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</si>
  <si>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</si>
  <si>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</si>
  <si>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</si>
  <si>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</si>
  <si>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</si>
  <si>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</si>
  <si>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</si>
  <si>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</si>
  <si>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</si>
  <si>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</si>
  <si>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</si>
  <si>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</si>
  <si>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</si>
  <si>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</si>
  <si>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</si>
  <si>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</si>
  <si>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</si>
  <si>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</si>
  <si>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</si>
  <si>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</si>
  <si>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</si>
  <si>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</si>
  <si>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</si>
  <si>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</si>
  <si>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</si>
  <si>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</si>
  <si>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</si>
  <si>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</si>
  <si>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</si>
  <si>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</si>
  <si>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</si>
  <si>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</si>
  <si>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</si>
  <si>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</si>
  <si>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</si>
  <si>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</si>
  <si>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</si>
  <si>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</si>
  <si>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</si>
  <si>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</si>
  <si>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</si>
  <si>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</si>
  <si>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</si>
  <si>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</si>
  <si>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Phys Life (yr.)</t>
  </si>
  <si>
    <t>Non-E Val ($/yr.)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</si>
  <si>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</si>
  <si>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</si>
  <si>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</si>
  <si>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</si>
  <si>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</si>
  <si>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</si>
  <si>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</si>
  <si>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</si>
  <si>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</si>
  <si>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</si>
  <si>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</si>
  <si>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</si>
  <si>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</si>
  <si>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</si>
  <si>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</si>
  <si>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</si>
  <si>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</si>
  <si>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</si>
  <si>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</si>
  <si>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</si>
  <si>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</si>
  <si>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</si>
  <si>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</si>
  <si>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</si>
  <si>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</si>
  <si>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</si>
  <si>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</si>
  <si>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</si>
  <si>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Existing manufactured home w/Electric Heat per WeatherWise Specifications</t>
  </si>
  <si>
    <t>Heating Zone 1</t>
  </si>
  <si>
    <t>Deemed</t>
  </si>
  <si>
    <t>Savings assume that program is operated in accordance with existing Bonneville Power Administration Weatherization program (WeatherWise) specifications, including home qualification and quality assurance process.</t>
  </si>
  <si>
    <t>Heating Zone 3</t>
  </si>
  <si>
    <t>Heating Zone 2</t>
  </si>
  <si>
    <t>Existing Manufactured Homes - Weatherization</t>
  </si>
  <si>
    <t>ResSHWX</t>
  </si>
  <si>
    <t>DOOR R5</t>
  </si>
  <si>
    <t>Life (yr.)</t>
  </si>
  <si>
    <t>Capital Cost</t>
  </si>
  <si>
    <t>Annual O&amp;M</t>
  </si>
  <si>
    <t>924 sq. ft Prototype Use</t>
  </si>
  <si>
    <t>1568 sq. ft Prototype Use</t>
  </si>
  <si>
    <t>Prototype</t>
  </si>
  <si>
    <t>Sq. Foot</t>
  </si>
  <si>
    <t>Uo</t>
  </si>
  <si>
    <t>Delta UA</t>
  </si>
  <si>
    <t>$/Delta UA</t>
  </si>
  <si>
    <t>Delta Cost</t>
  </si>
  <si>
    <t>Envelope</t>
  </si>
  <si>
    <t>UA</t>
  </si>
  <si>
    <t>Portland</t>
  </si>
  <si>
    <t>Seattle</t>
  </si>
  <si>
    <t>Spokane</t>
  </si>
  <si>
    <t>Missoula</t>
  </si>
  <si>
    <t>Region</t>
  </si>
  <si>
    <t>DOOR R2.5</t>
  </si>
  <si>
    <t>INFILTRATION @ O.50 ACH</t>
  </si>
  <si>
    <t>Pre-Weatherization Case</t>
  </si>
  <si>
    <t>Envelope Area</t>
  </si>
  <si>
    <t>Installed Cost</t>
  </si>
  <si>
    <t>Cum Cost</t>
  </si>
  <si>
    <t>Use</t>
  </si>
  <si>
    <t>Base</t>
  </si>
  <si>
    <t>Total UA</t>
  </si>
  <si>
    <t>Mean Use</t>
  </si>
  <si>
    <t>kWh/sf/yr</t>
  </si>
  <si>
    <t>Conductive Uo</t>
  </si>
  <si>
    <t>Average House Size</t>
  </si>
  <si>
    <t>Zone 1</t>
  </si>
  <si>
    <t>Cost Effective Weatherization UA</t>
  </si>
  <si>
    <t>Zone 2</t>
  </si>
  <si>
    <t>Boise</t>
  </si>
  <si>
    <t>Zone 3</t>
  </si>
  <si>
    <t>PNW</t>
  </si>
  <si>
    <t>Savings (kWh/yr)</t>
  </si>
  <si>
    <t>Location Climate Data</t>
  </si>
  <si>
    <t xml:space="preserve">Spokane </t>
  </si>
  <si>
    <t>Case Weights =&gt;</t>
  </si>
  <si>
    <t>ResWXMH</t>
  </si>
  <si>
    <t>924 SF</t>
  </si>
  <si>
    <t>1568 SF</t>
  </si>
  <si>
    <t>UAOptimizer</t>
  </si>
  <si>
    <t>Increased comfort</t>
  </si>
  <si>
    <t>Reduced environmental impacts from electricity production</t>
  </si>
  <si>
    <t>Cum Sav</t>
  </si>
  <si>
    <t>INFILTRATION @ O.40 ACH</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</si>
  <si>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50%.</t>
  </si>
  <si>
    <t>Incremental Cost</t>
  </si>
  <si>
    <t>Cumulative Cost</t>
  </si>
  <si>
    <t>Measure Optimization = "Ctrl O"</t>
  </si>
  <si>
    <t>Energy Star Prime Replacement Windows (Cost and savings are per square foot of window replaced) - Heating Zone 1</t>
  </si>
  <si>
    <t>Attic Insulation R0 to R19 (Cost and savings are per square foot of attic insulated) - Heating Zone 1</t>
  </si>
  <si>
    <t>Attic Insulation R19 to R30 (Cost and savings are per square foot of attic insulated) - Heating Zone 1</t>
  </si>
  <si>
    <t>Infiltration Control (Cost and savings are per square foot of floor area per 0.1 air change per hour infiltration rate reduction) - Heating Zone 1</t>
  </si>
  <si>
    <t>Floor Insulation R0 to R11 (Cost and savings are per square foot of floor insulated) - Heating Zone 1</t>
  </si>
  <si>
    <t>Floor Insulation R11 to R22 (Cost and savings are per square foot of floor insulated) - Heating Zone 1</t>
  </si>
  <si>
    <t>Total Units</t>
  </si>
  <si>
    <t>Measure Description</t>
  </si>
  <si>
    <t>Energy Star Prime Window Replacements</t>
  </si>
  <si>
    <t>Component</t>
  </si>
  <si>
    <t>Share</t>
  </si>
  <si>
    <t>CLASS 35 PRIME WINDOW (Energy Star)</t>
  </si>
  <si>
    <t>UA Change - Based on C&amp;R Discount Program FY02 ResWX Measure Reports</t>
  </si>
  <si>
    <t>Pre-ResWxX UA</t>
  </si>
  <si>
    <t>Post-ResWxX UA</t>
  </si>
  <si>
    <t>Change in UA</t>
  </si>
  <si>
    <t>Share of ResWx Measures Installed</t>
  </si>
  <si>
    <t>Pre-ResWX U-Value</t>
  </si>
  <si>
    <t>Post-ResWX U-Value</t>
  </si>
  <si>
    <t xml:space="preserve">UA of Retrofitted Components </t>
  </si>
  <si>
    <t>WALL R4</t>
  </si>
  <si>
    <t>WALL R0</t>
  </si>
  <si>
    <t>ATTIC R0</t>
  </si>
  <si>
    <t>FLOOR R0</t>
  </si>
  <si>
    <t>FLOOR R30 Blown</t>
  </si>
  <si>
    <t>FLOOR R11 Batt</t>
  </si>
  <si>
    <t>ATTIC R38 Blown</t>
  </si>
  <si>
    <t>ATTIC R11 Batt</t>
  </si>
  <si>
    <t>Conservation Measure</t>
  </si>
  <si>
    <t>Prototype Component Area</t>
  </si>
  <si>
    <t xml:space="preserve">Uninsulated Pre-1979 UA </t>
  </si>
  <si>
    <t>Infiltration 0.5 ach to 0.4 ach</t>
  </si>
  <si>
    <t>Use @ Cost Effectiveness Limit in 2025</t>
  </si>
  <si>
    <t>5th Plan Draft 092802</t>
  </si>
  <si>
    <t>Cost Effectiveness</t>
  </si>
  <si>
    <t>LookupTable</t>
  </si>
  <si>
    <t>ResWXMH Base Case</t>
  </si>
  <si>
    <t>Remaining Potential in "UnWeatherized" Pre-1979 Stock, in 2025</t>
  </si>
  <si>
    <t>Pre-Weatherization Use (kWh/yr)</t>
  </si>
  <si>
    <t>Post Weatherization Use (kWh/yr)</t>
  </si>
  <si>
    <t>Incremental Cost (2000$)</t>
  </si>
  <si>
    <t>Select Climate Zone</t>
  </si>
  <si>
    <t>Heating Zone Weight Data</t>
  </si>
  <si>
    <t>PNW Region</t>
  </si>
  <si>
    <t>*After selecting "Case", Procost must be re-run to update cost-effectiveness calculation for selected case.</t>
  </si>
  <si>
    <t>This section calculates the cost-effective UA for weatherization from the "Pre-Weatherzation Base</t>
  </si>
  <si>
    <t>Building UA</t>
  </si>
  <si>
    <t>Annual Use/Unit (kWh/yr))</t>
  </si>
  <si>
    <t>Annual Savings/Unit (kWh/yr)</t>
  </si>
  <si>
    <t>This section calculates the cumulative incremental cost/unit of achieving the cost-effective UA over the Pre-79 PreWeatherization Base</t>
  </si>
  <si>
    <t>Incremental Cost over "Un-Weatherized Pre-1979" Unit @ CE UA</t>
  </si>
  <si>
    <t>Remaining Potential in "UnWeatherized" Pre-1979 Stock, in 2025 with Cost and Savings based on Measures Reported in C&amp;RD for FY02</t>
  </si>
  <si>
    <t>Cost Effective UA &amp; Use</t>
  </si>
  <si>
    <t>Cost-Effective UA</t>
  </si>
  <si>
    <t>C&amp;RD Delta UA</t>
  </si>
  <si>
    <t>Pre-ResWX UA</t>
  </si>
  <si>
    <t>Incremental Cost over Pre-1979 Unit @ CE UA</t>
  </si>
  <si>
    <t>UA Pre-1979</t>
  </si>
  <si>
    <t>WALL R11</t>
  </si>
  <si>
    <t>Incremental Savings - Zone 1</t>
  </si>
  <si>
    <t>Incremental Savings - Zone 2</t>
  </si>
  <si>
    <t>Incremental Savings - Zone 3</t>
  </si>
  <si>
    <t>Incremental Savings - PNW Region</t>
  </si>
  <si>
    <t>ATTIC R19 Batt</t>
  </si>
  <si>
    <t>Incremetal Cost</t>
  </si>
  <si>
    <t>WINDOW - CLASS 50</t>
  </si>
  <si>
    <t>Floor R0 to R19 Blown</t>
  </si>
  <si>
    <t>Attic R19 Batt to R38 Blown</t>
  </si>
  <si>
    <t>Floor R11 Batt to R30 Blown</t>
  </si>
  <si>
    <t>ATTIC R4</t>
  </si>
  <si>
    <t>FLOOR R22 Blown</t>
  </si>
  <si>
    <t xml:space="preserve">Cost of Retrofitted Components </t>
  </si>
  <si>
    <t>FLOOR R4 Batt</t>
  </si>
  <si>
    <t>ATTIC R22 Blown</t>
  </si>
  <si>
    <t>Attic R0 to R22 Blown</t>
  </si>
  <si>
    <t>BASE CASE WINDOW - CLASS 118</t>
  </si>
  <si>
    <t>Incremental Cost (2000$/SF)</t>
  </si>
  <si>
    <t>2002$ to 2000$ =&gt;</t>
  </si>
  <si>
    <t>Weighted Average Change in UA Based on C&amp;RD FY02 Reported Measures</t>
  </si>
  <si>
    <t>Pre-Weaherization UA Adj. For C&amp;RD</t>
  </si>
  <si>
    <t>Cost/Unit Using UA vs Cumulative Cost Curve Fit</t>
  </si>
  <si>
    <t>Incremental Cost for ResWX =&gt;</t>
  </si>
  <si>
    <t>UA Pre-Weatherization w/100% Measures</t>
  </si>
  <si>
    <t>Select Cost and Saving Method =&gt;</t>
  </si>
  <si>
    <t>Prototype Measure Optimization</t>
  </si>
  <si>
    <t xml:space="preserve">C&amp;RD Measure Reports </t>
  </si>
  <si>
    <t>Manufactured Home Weatherization - Heating Zone 1</t>
  </si>
  <si>
    <t>Manufactured Home Weatherization - Heating Zone 2</t>
  </si>
  <si>
    <t>Manufactured Home Weatherization - Heating Zone 3</t>
  </si>
  <si>
    <t>Manufactured Home Weatherization - PNW Average</t>
  </si>
  <si>
    <t>Measures must be installed in substantial compliance with WeatherWise specifications for manufactured homes</t>
  </si>
  <si>
    <t>R:\TE\New Plan\Residential Resource Assessment\MC_AND_LOADSHAPE.XLS</t>
  </si>
  <si>
    <t>Bldg</t>
  </si>
  <si>
    <t>UA/SF</t>
  </si>
  <si>
    <t>AC Load/SF</t>
  </si>
  <si>
    <t>Total AC Load</t>
  </si>
  <si>
    <t>BOISE</t>
  </si>
  <si>
    <t>MISSOULA</t>
  </si>
  <si>
    <t>PORTLAND</t>
  </si>
  <si>
    <t>SEATTLE</t>
  </si>
  <si>
    <t>SPOKANE</t>
  </si>
  <si>
    <t>Air Conditioning Load Curves for Pre-ResWx Manufactured Home</t>
  </si>
  <si>
    <t>Air Conditioning Load Curves for Post-ResWx Manufactured Home</t>
  </si>
  <si>
    <t>Manufactured Home Weatherization - PNW Average Climate</t>
  </si>
  <si>
    <t>PNW Average Climate</t>
  </si>
  <si>
    <t>ProCost Results, Version 1.70a: JPH 03/07/01, 10:39 PM 1/13/2003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</si>
</sst>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000"/>
    <numFmt numFmtId="179" formatCode=".00"/>
    <numFmt numFmtId="180" formatCode="0.00000"/>
    <numFmt numFmtId="181" formatCode="0.0000"/>
    <numFmt numFmtId="182" formatCode="_(&quot;$&quot;* #,##0.0_);_(&quot;$&quot;* \(#,##0.0\);_(&quot;$&quot;* &quot;-&quot;??_);_(@_)"/>
    <numFmt numFmtId="183" formatCode="_(* #,##0.0_);_(* \(#,##0.0\);_(* &quot;-&quot;??_);_(@_)"/>
    <numFmt numFmtId="184" formatCode="0.0000000"/>
    <numFmt numFmtId="185" formatCode="0.000000"/>
    <numFmt numFmtId="186" formatCode="0.00000000"/>
    <numFmt numFmtId="187" formatCode="_(&quot;$&quot;* #,##0.000_);_(&quot;$&quot;* \(#,##0.000\);_(&quot;$&quot;* &quot;-&quot;??_);_(@_)"/>
    <numFmt numFmtId="188" formatCode="&quot;$&quot;#,##0.000_);\(&quot;$&quot;#,##0.00\)"/>
    <numFmt numFmtId="189" formatCode="&quot;$&quot;#,##0.0000\);[Red]\(&quot;$&quot;#,##0.00\)"/>
    <numFmt numFmtId="190" formatCode="&quot;$&quot;#,##0.0000;\(&quot;$&quot;#,##0.00\)"/>
    <numFmt numFmtId="191" formatCode="&quot;$&quot;#,##0.0000\);\(&quot;$&quot;#,##0.00\)"/>
    <numFmt numFmtId="192" formatCode="&quot;$&quot;#,##0.0000_);\(&quot;$&quot;#,##0.00\)"/>
    <numFmt numFmtId="193" formatCode="&quot;$&quot;#,##0.0"/>
    <numFmt numFmtId="194" formatCode="0.000000000"/>
    <numFmt numFmtId="195" formatCode="0.0000000000"/>
    <numFmt numFmtId="196" formatCode=".0000"/>
    <numFmt numFmtId="197" formatCode="&quot;$&quot;#,##0.0_);\(&quot;$&quot;#,##0.0\)"/>
  </numFmts>
  <fonts count="34">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2"/>
      <name val="Courier"/>
      <family val="0"/>
    </font>
    <font>
      <b/>
      <sz val="12"/>
      <name val="Arial"/>
      <family val="0"/>
    </font>
    <font>
      <b/>
      <sz val="10"/>
      <color indexed="36"/>
      <name val="Arial"/>
      <family val="0"/>
    </font>
    <font>
      <b/>
      <sz val="10"/>
      <color indexed="17"/>
      <name val="Arial"/>
      <family val="2"/>
    </font>
    <font>
      <sz val="12"/>
      <color indexed="12"/>
      <name val="Arial"/>
      <family val="2"/>
    </font>
    <font>
      <sz val="10"/>
      <name val="MS Sans Serif"/>
      <family val="0"/>
    </font>
    <font>
      <vertAlign val="superscript"/>
      <sz val="10"/>
      <name val="Arial"/>
      <family val="0"/>
    </font>
    <font>
      <sz val="10.25"/>
      <name val="Arial"/>
      <family val="0"/>
    </font>
    <font>
      <vertAlign val="superscript"/>
      <sz val="10.25"/>
      <name val="Arial"/>
      <family val="0"/>
    </font>
    <font>
      <b/>
      <sz val="11"/>
      <name val="Tahoma"/>
      <family val="2"/>
    </font>
  </fonts>
  <fills count="1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35"/>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indexed="11"/>
        <bgColor indexed="64"/>
      </patternFill>
    </fill>
    <fill>
      <patternFill patternType="solid">
        <fgColor indexed="15"/>
        <bgColor indexed="64"/>
      </patternFill>
    </fill>
  </fills>
  <borders count="58">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thin"/>
      <top style="medium"/>
      <bottom style="medium"/>
    </border>
    <border>
      <left style="thin"/>
      <right style="thin"/>
      <top>
        <color indexed="63"/>
      </top>
      <bottom style="mediu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style="thin"/>
      <right style="medium"/>
      <top>
        <color indexed="63"/>
      </top>
      <bottom style="medium"/>
    </border>
    <border>
      <left style="medium"/>
      <right>
        <color indexed="63"/>
      </right>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style="thin"/>
      <right>
        <color indexed="63"/>
      </right>
      <top style="medium"/>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177" fontId="24"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482">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0" fontId="18" fillId="11" borderId="19" xfId="0" applyFont="1" applyFill="1" applyBorder="1" applyAlignment="1">
      <alignment horizontal="center" wrapText="1"/>
    </xf>
    <xf numFmtId="0" fontId="20" fillId="0" borderId="3" xfId="0" applyFont="1" applyBorder="1" applyAlignment="1">
      <alignment wrapText="1"/>
    </xf>
    <xf numFmtId="0" fontId="0" fillId="0" borderId="0" xfId="0" applyFont="1" applyAlignment="1">
      <alignment wrapText="1"/>
    </xf>
    <xf numFmtId="177" fontId="0" fillId="0" borderId="0" xfId="32" applyNumberFormat="1" applyFont="1" applyAlignment="1" applyProtection="1">
      <alignment horizontal="left"/>
      <protection/>
    </xf>
    <xf numFmtId="177" fontId="0" fillId="0" borderId="0" xfId="32" applyNumberFormat="1" applyAlignment="1" applyProtection="1">
      <alignment horizontal="right"/>
      <protection/>
    </xf>
    <xf numFmtId="2" fontId="0" fillId="0" borderId="0" xfId="31" applyNumberFormat="1" applyFont="1">
      <alignment/>
      <protection/>
    </xf>
    <xf numFmtId="165" fontId="0" fillId="0" borderId="0" xfId="0" applyNumberFormat="1" applyFont="1" applyAlignment="1">
      <alignment horizontal="right"/>
    </xf>
    <xf numFmtId="0" fontId="0" fillId="0" borderId="0" xfId="0" applyFont="1" applyAlignment="1" quotePrefix="1">
      <alignment horizontal="left"/>
    </xf>
    <xf numFmtId="177" fontId="0" fillId="0" borderId="0" xfId="32" applyNumberFormat="1" applyAlignment="1" applyProtection="1">
      <alignment horizontal="left"/>
      <protection/>
    </xf>
    <xf numFmtId="2" fontId="0" fillId="0" borderId="0" xfId="31" applyNumberFormat="1">
      <alignment/>
      <protection/>
    </xf>
    <xf numFmtId="1" fontId="0" fillId="0" borderId="0" xfId="31" applyNumberFormat="1">
      <alignment/>
      <protection/>
    </xf>
    <xf numFmtId="5" fontId="0" fillId="0" borderId="0" xfId="32" applyNumberFormat="1">
      <alignment/>
      <protection/>
    </xf>
    <xf numFmtId="5" fontId="0" fillId="0" borderId="0" xfId="0" applyNumberFormat="1" applyAlignment="1">
      <alignment/>
    </xf>
    <xf numFmtId="0" fontId="6" fillId="4" borderId="1" xfId="0" applyFont="1" applyFill="1" applyBorder="1" applyAlignment="1">
      <alignment horizontal="centerContinuous"/>
    </xf>
    <xf numFmtId="0" fontId="13" fillId="4" borderId="1" xfId="0" applyFont="1" applyFill="1" applyBorder="1" applyAlignment="1">
      <alignment horizontal="centerContinuous"/>
    </xf>
    <xf numFmtId="0" fontId="13" fillId="4" borderId="4" xfId="0" applyFont="1" applyFill="1" applyBorder="1" applyAlignment="1">
      <alignment horizontal="centerContinuous"/>
    </xf>
    <xf numFmtId="0" fontId="23" fillId="0" borderId="0" xfId="29">
      <alignment/>
      <protection/>
    </xf>
    <xf numFmtId="1" fontId="25" fillId="0" borderId="0" xfId="29" applyNumberFormat="1" applyFont="1">
      <alignment/>
      <protection/>
    </xf>
    <xf numFmtId="5" fontId="23" fillId="0" borderId="0" xfId="29" applyNumberFormat="1">
      <alignment/>
      <protection/>
    </xf>
    <xf numFmtId="0" fontId="25" fillId="0" borderId="0" xfId="0" applyFont="1" applyAlignment="1">
      <alignment/>
    </xf>
    <xf numFmtId="0" fontId="23" fillId="0" borderId="0" xfId="0" applyFont="1" applyAlignment="1">
      <alignment/>
    </xf>
    <xf numFmtId="9" fontId="25" fillId="0" borderId="0" xfId="33" applyFont="1" applyAlignment="1">
      <alignment/>
    </xf>
    <xf numFmtId="2" fontId="23" fillId="0" borderId="0" xfId="29" applyNumberFormat="1">
      <alignment/>
      <protection/>
    </xf>
    <xf numFmtId="0" fontId="25" fillId="0" borderId="0" xfId="29" applyFont="1">
      <alignment/>
      <protection/>
    </xf>
    <xf numFmtId="0" fontId="25" fillId="0" borderId="0" xfId="0" applyFont="1" applyAlignment="1">
      <alignment/>
    </xf>
    <xf numFmtId="5" fontId="23" fillId="0" borderId="0" xfId="17" applyNumberFormat="1" applyAlignment="1">
      <alignment/>
    </xf>
    <xf numFmtId="0" fontId="0" fillId="0" borderId="0" xfId="29" applyFont="1" applyAlignment="1" applyProtection="1" quotePrefix="1">
      <alignment horizontal="left"/>
      <protection/>
    </xf>
    <xf numFmtId="1" fontId="23" fillId="0" borderId="0" xfId="29" applyNumberFormat="1">
      <alignment/>
      <protection/>
    </xf>
    <xf numFmtId="9" fontId="28" fillId="0" borderId="0" xfId="0" applyNumberFormat="1" applyFont="1" applyAlignment="1">
      <alignment/>
    </xf>
    <xf numFmtId="177" fontId="25" fillId="0" borderId="0" xfId="28" applyFont="1">
      <alignment/>
      <protection/>
    </xf>
    <xf numFmtId="0" fontId="0" fillId="0" borderId="0" xfId="29" applyFont="1" applyAlignment="1" quotePrefix="1">
      <alignment horizontal="left"/>
      <protection/>
    </xf>
    <xf numFmtId="9" fontId="0" fillId="0" borderId="3" xfId="33" applyFont="1" applyBorder="1" applyAlignment="1">
      <alignment/>
    </xf>
    <xf numFmtId="0" fontId="23" fillId="0" borderId="0" xfId="29" applyFont="1">
      <alignment/>
      <protection/>
    </xf>
    <xf numFmtId="178" fontId="0" fillId="0" borderId="0" xfId="0" applyNumberFormat="1" applyAlignment="1">
      <alignment/>
    </xf>
    <xf numFmtId="166" fontId="23" fillId="0" borderId="0" xfId="29" applyNumberFormat="1">
      <alignment/>
      <protection/>
    </xf>
    <xf numFmtId="0" fontId="25" fillId="0" borderId="0" xfId="29" applyFont="1">
      <alignment/>
      <protection/>
    </xf>
    <xf numFmtId="165" fontId="25" fillId="0" borderId="0" xfId="29" applyNumberFormat="1" applyFont="1">
      <alignment/>
      <protection/>
    </xf>
    <xf numFmtId="5" fontId="25" fillId="0" borderId="0" xfId="29" applyNumberFormat="1" applyFont="1" applyAlignment="1" quotePrefix="1">
      <alignment horizontal="left"/>
      <protection/>
    </xf>
    <xf numFmtId="169" fontId="0" fillId="0" borderId="0" xfId="0" applyNumberFormat="1" applyAlignment="1">
      <alignment/>
    </xf>
    <xf numFmtId="5" fontId="25" fillId="0" borderId="0" xfId="29" applyNumberFormat="1" applyFont="1">
      <alignment/>
      <protection/>
    </xf>
    <xf numFmtId="5" fontId="0" fillId="0" borderId="0" xfId="29" applyNumberFormat="1" applyFont="1" applyAlignment="1" applyProtection="1" quotePrefix="1">
      <alignment horizontal="left"/>
      <protection/>
    </xf>
    <xf numFmtId="5" fontId="0" fillId="0" borderId="0" xfId="29" applyNumberFormat="1" applyFont="1" applyAlignment="1" quotePrefix="1">
      <alignment horizontal="left"/>
      <protection/>
    </xf>
    <xf numFmtId="169" fontId="23" fillId="0" borderId="0" xfId="29" applyNumberFormat="1">
      <alignment/>
      <protection/>
    </xf>
    <xf numFmtId="1" fontId="0" fillId="0" borderId="0" xfId="0" applyNumberFormat="1" applyAlignment="1">
      <alignment/>
    </xf>
    <xf numFmtId="5" fontId="25" fillId="0" borderId="0" xfId="29" applyNumberFormat="1" applyFont="1" applyAlignment="1">
      <alignment horizontal="left" wrapText="1"/>
      <protection/>
    </xf>
    <xf numFmtId="168" fontId="23" fillId="0" borderId="0" xfId="29" applyNumberFormat="1">
      <alignment/>
      <protection/>
    </xf>
    <xf numFmtId="0" fontId="25" fillId="0" borderId="0" xfId="30" applyFont="1" applyAlignment="1">
      <alignment horizontal="left" wrapText="1"/>
      <protection/>
    </xf>
    <xf numFmtId="1" fontId="25" fillId="0" borderId="0" xfId="33" applyNumberFormat="1" applyFont="1" applyAlignment="1">
      <alignment/>
    </xf>
    <xf numFmtId="0" fontId="18" fillId="0" borderId="0" xfId="0" applyFont="1" applyAlignment="1">
      <alignment/>
    </xf>
    <xf numFmtId="169" fontId="0" fillId="0" borderId="3" xfId="0" applyNumberFormat="1" applyBorder="1" applyAlignment="1">
      <alignment/>
    </xf>
    <xf numFmtId="1" fontId="0" fillId="0" borderId="3" xfId="0" applyNumberFormat="1" applyFont="1" applyBorder="1" applyAlignment="1">
      <alignment/>
    </xf>
    <xf numFmtId="0" fontId="0" fillId="0" borderId="3" xfId="0" applyFont="1" applyBorder="1" applyAlignment="1">
      <alignment/>
    </xf>
    <xf numFmtId="168" fontId="0" fillId="0" borderId="20" xfId="17" applyNumberFormat="1" applyBorder="1" applyAlignment="1">
      <alignment/>
    </xf>
    <xf numFmtId="9" fontId="17" fillId="11" borderId="3" xfId="33" applyFont="1" applyFill="1" applyBorder="1" applyAlignment="1">
      <alignment/>
    </xf>
    <xf numFmtId="169" fontId="17" fillId="12" borderId="3" xfId="15" applyNumberFormat="1" applyFont="1" applyFill="1" applyBorder="1" applyAlignment="1">
      <alignment/>
    </xf>
    <xf numFmtId="169" fontId="17" fillId="12" borderId="21" xfId="15" applyNumberFormat="1" applyFont="1" applyFill="1" applyBorder="1" applyAlignment="1">
      <alignment/>
    </xf>
    <xf numFmtId="43" fontId="0" fillId="0" borderId="0" xfId="15" applyFont="1" applyAlignment="1">
      <alignment/>
    </xf>
    <xf numFmtId="169" fontId="17" fillId="12" borderId="22" xfId="15" applyNumberFormat="1" applyFont="1" applyFill="1" applyBorder="1" applyAlignment="1">
      <alignment/>
    </xf>
    <xf numFmtId="169" fontId="17" fillId="12" borderId="23" xfId="15" applyNumberFormat="1" applyFont="1" applyFill="1" applyBorder="1" applyAlignment="1">
      <alignment/>
    </xf>
    <xf numFmtId="1" fontId="17" fillId="13" borderId="13" xfId="32" applyNumberFormat="1" applyFont="1" applyFill="1" applyBorder="1" applyAlignment="1" quotePrefix="1">
      <alignment horizontal="left" wrapText="1"/>
      <protection/>
    </xf>
    <xf numFmtId="1" fontId="17" fillId="13" borderId="17" xfId="32" applyNumberFormat="1" applyFont="1" applyFill="1" applyBorder="1" applyAlignment="1" quotePrefix="1">
      <alignment horizontal="left" wrapText="1"/>
      <protection/>
    </xf>
    <xf numFmtId="1" fontId="17" fillId="13" borderId="24" xfId="32" applyNumberFormat="1" applyFont="1" applyFill="1" applyBorder="1" applyAlignment="1" quotePrefix="1">
      <alignment horizontal="left" wrapText="1"/>
      <protection/>
    </xf>
    <xf numFmtId="1" fontId="17" fillId="14" borderId="5" xfId="32" applyNumberFormat="1" applyFont="1" applyFill="1" applyBorder="1" applyAlignment="1">
      <alignment horizontal="left" wrapText="1"/>
      <protection/>
    </xf>
    <xf numFmtId="0" fontId="17" fillId="14" borderId="16" xfId="32" applyFont="1" applyFill="1" applyBorder="1" applyAlignment="1">
      <alignment horizontal="center"/>
      <protection/>
    </xf>
    <xf numFmtId="1" fontId="17" fillId="13" borderId="25" xfId="32" applyNumberFormat="1" applyFont="1" applyFill="1" applyBorder="1" applyAlignment="1" quotePrefix="1">
      <alignment horizontal="left" wrapText="1"/>
      <protection/>
    </xf>
    <xf numFmtId="0" fontId="17" fillId="14" borderId="25" xfId="32" applyFont="1" applyFill="1" applyBorder="1" applyAlignment="1">
      <alignment horizontal="center"/>
      <protection/>
    </xf>
    <xf numFmtId="1" fontId="17" fillId="13" borderId="26" xfId="32" applyNumberFormat="1" applyFont="1" applyFill="1" applyBorder="1" applyAlignment="1" quotePrefix="1">
      <alignment horizontal="left" wrapText="1"/>
      <protection/>
    </xf>
    <xf numFmtId="0" fontId="17" fillId="14" borderId="26" xfId="32" applyFont="1" applyFill="1" applyBorder="1" applyAlignment="1">
      <alignment horizontal="center"/>
      <protection/>
    </xf>
    <xf numFmtId="0" fontId="17" fillId="14" borderId="24" xfId="32" applyFont="1" applyFill="1" applyBorder="1" applyAlignment="1">
      <alignment horizontal="center"/>
      <protection/>
    </xf>
    <xf numFmtId="168" fontId="17" fillId="12" borderId="13" xfId="17" applyNumberFormat="1" applyFont="1" applyFill="1" applyBorder="1" applyAlignment="1">
      <alignment horizontal="centerContinuous"/>
    </xf>
    <xf numFmtId="1" fontId="0" fillId="14" borderId="9" xfId="32" applyNumberFormat="1" applyFont="1" applyFill="1" applyBorder="1">
      <alignment/>
      <protection/>
    </xf>
    <xf numFmtId="1" fontId="0" fillId="0" borderId="9" xfId="0" applyNumberFormat="1" applyFont="1" applyBorder="1" applyAlignment="1">
      <alignment/>
    </xf>
    <xf numFmtId="168" fontId="0" fillId="0" borderId="9" xfId="17" applyNumberFormat="1" applyFont="1" applyBorder="1" applyAlignment="1">
      <alignment/>
    </xf>
    <xf numFmtId="0" fontId="0" fillId="9" borderId="3" xfId="32" applyFont="1" applyFill="1" applyBorder="1">
      <alignment/>
      <protection/>
    </xf>
    <xf numFmtId="1" fontId="0" fillId="14" borderId="3" xfId="32" applyNumberFormat="1" applyFont="1" applyFill="1" applyBorder="1">
      <alignment/>
      <protection/>
    </xf>
    <xf numFmtId="0" fontId="17" fillId="0" borderId="0" xfId="0" applyFont="1" applyAlignment="1">
      <alignment/>
    </xf>
    <xf numFmtId="1" fontId="23" fillId="0" borderId="3" xfId="29" applyNumberFormat="1" applyBorder="1">
      <alignment/>
      <protection/>
    </xf>
    <xf numFmtId="168" fontId="23" fillId="0" borderId="3" xfId="17" applyNumberFormat="1" applyBorder="1" applyAlignment="1">
      <alignment/>
    </xf>
    <xf numFmtId="1" fontId="0" fillId="0" borderId="0" xfId="0" applyNumberFormat="1" applyFont="1" applyBorder="1" applyAlignment="1">
      <alignment/>
    </xf>
    <xf numFmtId="44" fontId="20" fillId="0" borderId="18" xfId="17" applyNumberFormat="1" applyFont="1" applyBorder="1" applyAlignment="1">
      <alignment horizontal="center" vertical="top" wrapText="1"/>
    </xf>
    <xf numFmtId="183" fontId="20" fillId="0" borderId="18" xfId="15" applyNumberFormat="1" applyFont="1" applyBorder="1" applyAlignment="1">
      <alignment horizontal="center" vertical="top" wrapText="1"/>
    </xf>
    <xf numFmtId="0" fontId="0" fillId="0" borderId="21" xfId="0" applyBorder="1" applyAlignment="1">
      <alignment horizontal="right"/>
    </xf>
    <xf numFmtId="44" fontId="5" fillId="0" borderId="0" xfId="0" applyNumberFormat="1" applyFont="1" applyAlignment="1">
      <alignment vertical="justify"/>
    </xf>
    <xf numFmtId="0" fontId="23" fillId="0" borderId="3" xfId="29" applyBorder="1">
      <alignment/>
      <protection/>
    </xf>
    <xf numFmtId="169" fontId="23" fillId="0" borderId="3" xfId="15" applyNumberFormat="1" applyFont="1" applyBorder="1" applyAlignment="1">
      <alignment/>
    </xf>
    <xf numFmtId="0" fontId="17" fillId="11" borderId="27" xfId="0" applyFont="1" applyFill="1" applyBorder="1" applyAlignment="1">
      <alignment horizontal="left" wrapText="1"/>
    </xf>
    <xf numFmtId="0" fontId="17" fillId="11" borderId="28" xfId="0" applyFont="1" applyFill="1" applyBorder="1" applyAlignment="1">
      <alignment horizontal="left" wrapText="1"/>
    </xf>
    <xf numFmtId="175" fontId="0" fillId="0" borderId="3" xfId="0" applyNumberFormat="1" applyFont="1" applyBorder="1" applyAlignment="1">
      <alignment horizontal="left" vertical="top" wrapText="1"/>
    </xf>
    <xf numFmtId="43" fontId="20" fillId="0" borderId="18" xfId="15" applyNumberFormat="1" applyFont="1" applyBorder="1" applyAlignment="1">
      <alignment horizontal="center" vertical="top" wrapText="1"/>
    </xf>
    <xf numFmtId="0" fontId="0" fillId="0" borderId="3" xfId="0" applyBorder="1" applyAlignment="1">
      <alignment/>
    </xf>
    <xf numFmtId="0" fontId="17" fillId="0" borderId="3" xfId="0" applyFont="1" applyBorder="1" applyAlignment="1">
      <alignment wrapText="1"/>
    </xf>
    <xf numFmtId="169" fontId="17" fillId="0" borderId="3" xfId="15" applyNumberFormat="1" applyFont="1" applyBorder="1" applyAlignment="1">
      <alignment wrapText="1"/>
    </xf>
    <xf numFmtId="169" fontId="0" fillId="0" borderId="3" xfId="15" applyNumberFormat="1" applyBorder="1" applyAlignment="1">
      <alignment/>
    </xf>
    <xf numFmtId="9" fontId="0" fillId="0" borderId="3" xfId="33" applyNumberFormat="1" applyBorder="1" applyAlignment="1">
      <alignment/>
    </xf>
    <xf numFmtId="1" fontId="25" fillId="0" borderId="3" xfId="29" applyNumberFormat="1" applyFont="1" applyBorder="1">
      <alignment/>
      <protection/>
    </xf>
    <xf numFmtId="0" fontId="0" fillId="0" borderId="3" xfId="29" applyFont="1" applyBorder="1" applyAlignment="1" applyProtection="1" quotePrefix="1">
      <alignment horizontal="left"/>
      <protection/>
    </xf>
    <xf numFmtId="0" fontId="0" fillId="0" borderId="3" xfId="29" applyFont="1" applyBorder="1" applyAlignment="1" quotePrefix="1">
      <alignment horizontal="left"/>
      <protection/>
    </xf>
    <xf numFmtId="169" fontId="25" fillId="0" borderId="3" xfId="15" applyNumberFormat="1" applyFont="1" applyBorder="1" applyAlignment="1">
      <alignment/>
    </xf>
    <xf numFmtId="165" fontId="25" fillId="0" borderId="3" xfId="29" applyNumberFormat="1" applyFont="1" applyBorder="1">
      <alignment/>
      <protection/>
    </xf>
    <xf numFmtId="0" fontId="17" fillId="11" borderId="12" xfId="27" applyFont="1" applyFill="1" applyBorder="1" applyAlignment="1">
      <alignment horizontal="center"/>
      <protection/>
    </xf>
    <xf numFmtId="166" fontId="0" fillId="0" borderId="3" xfId="27" applyNumberFormat="1" applyFont="1" applyBorder="1">
      <alignment/>
      <protection/>
    </xf>
    <xf numFmtId="169" fontId="0" fillId="0" borderId="3" xfId="15" applyNumberFormat="1" applyFont="1" applyBorder="1" applyAlignment="1">
      <alignment/>
    </xf>
    <xf numFmtId="1" fontId="0" fillId="0" borderId="3" xfId="27" applyNumberFormat="1" applyFont="1" applyBorder="1">
      <alignment/>
      <protection/>
    </xf>
    <xf numFmtId="2" fontId="0" fillId="0" borderId="4" xfId="27" applyNumberFormat="1" applyFont="1" applyBorder="1">
      <alignment/>
      <protection/>
    </xf>
    <xf numFmtId="1" fontId="0" fillId="0" borderId="4" xfId="27" applyNumberFormat="1" applyFont="1" applyBorder="1">
      <alignment/>
      <protection/>
    </xf>
    <xf numFmtId="169" fontId="0" fillId="3" borderId="16" xfId="15" applyNumberFormat="1" applyFont="1" applyFill="1" applyBorder="1" applyAlignment="1">
      <alignment horizontal="left"/>
    </xf>
    <xf numFmtId="0" fontId="0" fillId="3" borderId="25" xfId="27" applyFont="1" applyFill="1" applyBorder="1">
      <alignment/>
      <protection/>
    </xf>
    <xf numFmtId="1" fontId="0" fillId="3" borderId="25" xfId="27" applyNumberFormat="1" applyFont="1" applyFill="1" applyBorder="1">
      <alignment/>
      <protection/>
    </xf>
    <xf numFmtId="169" fontId="0" fillId="3" borderId="25" xfId="15" applyNumberFormat="1" applyFont="1" applyFill="1" applyBorder="1" applyAlignment="1">
      <alignment/>
    </xf>
    <xf numFmtId="1" fontId="0" fillId="3" borderId="16" xfId="27" applyNumberFormat="1" applyFont="1" applyFill="1" applyBorder="1">
      <alignment/>
      <protection/>
    </xf>
    <xf numFmtId="169" fontId="0" fillId="3" borderId="24" xfId="15" applyNumberFormat="1" applyFont="1" applyFill="1" applyBorder="1" applyAlignment="1">
      <alignment/>
    </xf>
    <xf numFmtId="0" fontId="17" fillId="11" borderId="13" xfId="26" applyFont="1" applyFill="1" applyBorder="1" applyAlignment="1">
      <alignment horizontal="center"/>
      <protection/>
    </xf>
    <xf numFmtId="0" fontId="25" fillId="11" borderId="29" xfId="29" applyFont="1" applyFill="1" applyBorder="1">
      <alignment/>
      <protection/>
    </xf>
    <xf numFmtId="0" fontId="25" fillId="11" borderId="13" xfId="29" applyFont="1" applyFill="1" applyBorder="1">
      <alignment/>
      <protection/>
    </xf>
    <xf numFmtId="178" fontId="29" fillId="0" borderId="3" xfId="23" applyNumberFormat="1" applyFill="1" applyBorder="1">
      <alignment/>
      <protection/>
    </xf>
    <xf numFmtId="178" fontId="0" fillId="0" borderId="3" xfId="0" applyNumberFormat="1" applyFill="1" applyBorder="1" applyAlignment="1">
      <alignment/>
    </xf>
    <xf numFmtId="166" fontId="0" fillId="0" borderId="3" xfId="29" applyNumberFormat="1" applyFont="1" applyBorder="1" applyAlignment="1" applyProtection="1" quotePrefix="1">
      <alignment horizontal="left"/>
      <protection/>
    </xf>
    <xf numFmtId="2" fontId="0" fillId="0" borderId="3" xfId="29" applyNumberFormat="1" applyFont="1" applyBorder="1">
      <alignment/>
      <protection/>
    </xf>
    <xf numFmtId="168" fontId="0" fillId="0" borderId="3" xfId="17" applyNumberFormat="1" applyFont="1" applyBorder="1" applyAlignment="1">
      <alignment/>
    </xf>
    <xf numFmtId="0" fontId="25" fillId="11" borderId="25" xfId="29" applyFont="1" applyFill="1" applyBorder="1">
      <alignment/>
      <protection/>
    </xf>
    <xf numFmtId="1" fontId="25" fillId="11" borderId="24" xfId="29" applyNumberFormat="1" applyFont="1" applyFill="1" applyBorder="1">
      <alignment/>
      <protection/>
    </xf>
    <xf numFmtId="0" fontId="23" fillId="0" borderId="20" xfId="29" applyBorder="1">
      <alignment/>
      <protection/>
    </xf>
    <xf numFmtId="0" fontId="0" fillId="0" borderId="21" xfId="29" applyFont="1" applyBorder="1" applyAlignment="1" applyProtection="1" quotePrefix="1">
      <alignment horizontal="left"/>
      <protection/>
    </xf>
    <xf numFmtId="0" fontId="23" fillId="0" borderId="30" xfId="29" applyBorder="1">
      <alignment/>
      <protection/>
    </xf>
    <xf numFmtId="0" fontId="0" fillId="0" borderId="21" xfId="29" applyFont="1" applyBorder="1">
      <alignment/>
      <protection/>
    </xf>
    <xf numFmtId="0" fontId="0" fillId="0" borderId="21" xfId="29" applyFont="1" applyBorder="1" applyAlignment="1" quotePrefix="1">
      <alignment horizontal="left"/>
      <protection/>
    </xf>
    <xf numFmtId="0" fontId="25" fillId="0" borderId="21" xfId="29" applyFont="1" applyBorder="1">
      <alignment/>
      <protection/>
    </xf>
    <xf numFmtId="1" fontId="25" fillId="0" borderId="30" xfId="29" applyNumberFormat="1" applyFont="1" applyBorder="1">
      <alignment/>
      <protection/>
    </xf>
    <xf numFmtId="169" fontId="25" fillId="0" borderId="30" xfId="15" applyNumberFormat="1" applyFont="1" applyBorder="1" applyAlignment="1">
      <alignment/>
    </xf>
    <xf numFmtId="0" fontId="25" fillId="0" borderId="21" xfId="29" applyFont="1" applyBorder="1">
      <alignment/>
      <protection/>
    </xf>
    <xf numFmtId="165" fontId="25" fillId="0" borderId="30" xfId="29" applyNumberFormat="1" applyFont="1" applyBorder="1">
      <alignment/>
      <protection/>
    </xf>
    <xf numFmtId="0" fontId="25" fillId="0" borderId="22" xfId="29" applyFont="1" applyBorder="1" applyAlignment="1" quotePrefix="1">
      <alignment horizontal="left"/>
      <protection/>
    </xf>
    <xf numFmtId="166" fontId="25" fillId="0" borderId="23" xfId="29" applyNumberFormat="1" applyFont="1" applyBorder="1">
      <alignment/>
      <protection/>
    </xf>
    <xf numFmtId="166" fontId="25" fillId="0" borderId="31" xfId="29" applyNumberFormat="1" applyFont="1" applyBorder="1">
      <alignment/>
      <protection/>
    </xf>
    <xf numFmtId="1" fontId="23" fillId="0" borderId="9" xfId="29" applyNumberFormat="1" applyBorder="1">
      <alignment/>
      <protection/>
    </xf>
    <xf numFmtId="0" fontId="25" fillId="11" borderId="32" xfId="29" applyFont="1" applyFill="1" applyBorder="1">
      <alignment/>
      <protection/>
    </xf>
    <xf numFmtId="0" fontId="25" fillId="11" borderId="26" xfId="29" applyFont="1" applyFill="1" applyBorder="1">
      <alignment/>
      <protection/>
    </xf>
    <xf numFmtId="169" fontId="0" fillId="0" borderId="21" xfId="15" applyNumberFormat="1" applyFont="1" applyBorder="1" applyAlignment="1">
      <alignment horizontal="left"/>
    </xf>
    <xf numFmtId="169" fontId="0" fillId="0" borderId="30" xfId="15" applyNumberFormat="1" applyFont="1" applyBorder="1" applyAlignment="1">
      <alignment/>
    </xf>
    <xf numFmtId="169" fontId="0" fillId="0" borderId="33" xfId="15" applyNumberFormat="1" applyFont="1" applyBorder="1" applyAlignment="1">
      <alignment horizontal="left"/>
    </xf>
    <xf numFmtId="169" fontId="0" fillId="0" borderId="34" xfId="15" applyNumberFormat="1" applyFont="1" applyBorder="1" applyAlignment="1">
      <alignment horizontal="left"/>
    </xf>
    <xf numFmtId="9" fontId="0" fillId="0" borderId="9" xfId="33" applyFont="1" applyBorder="1" applyAlignment="1">
      <alignment/>
    </xf>
    <xf numFmtId="166" fontId="0" fillId="0" borderId="9" xfId="27" applyNumberFormat="1" applyFont="1" applyBorder="1">
      <alignment/>
      <protection/>
    </xf>
    <xf numFmtId="169" fontId="0" fillId="0" borderId="9" xfId="15" applyNumberFormat="1" applyFont="1" applyBorder="1" applyAlignment="1">
      <alignment/>
    </xf>
    <xf numFmtId="1" fontId="0" fillId="0" borderId="9" xfId="27" applyNumberFormat="1" applyFont="1" applyBorder="1">
      <alignment/>
      <protection/>
    </xf>
    <xf numFmtId="169" fontId="0" fillId="0" borderId="20" xfId="15" applyNumberFormat="1" applyFont="1" applyBorder="1" applyAlignment="1">
      <alignment/>
    </xf>
    <xf numFmtId="0" fontId="17" fillId="11" borderId="16" xfId="27" applyFont="1" applyFill="1" applyBorder="1" applyAlignment="1">
      <alignment wrapText="1"/>
      <protection/>
    </xf>
    <xf numFmtId="0" fontId="17" fillId="11" borderId="25" xfId="27" applyFont="1" applyFill="1" applyBorder="1" applyAlignment="1">
      <alignment wrapText="1"/>
      <protection/>
    </xf>
    <xf numFmtId="0" fontId="17" fillId="11" borderId="25" xfId="27" applyFont="1" applyFill="1" applyBorder="1" applyAlignment="1">
      <alignment horizontal="left" wrapText="1"/>
      <protection/>
    </xf>
    <xf numFmtId="1" fontId="17" fillId="11" borderId="24" xfId="27" applyNumberFormat="1" applyFont="1" applyFill="1" applyBorder="1" applyAlignment="1">
      <alignment wrapText="1"/>
      <protection/>
    </xf>
    <xf numFmtId="0" fontId="25" fillId="11" borderId="17" xfId="29" applyFont="1" applyFill="1" applyBorder="1">
      <alignment/>
      <protection/>
    </xf>
    <xf numFmtId="0" fontId="17" fillId="11" borderId="13" xfId="27" applyFont="1" applyFill="1" applyBorder="1" applyAlignment="1" quotePrefix="1">
      <alignment horizontal="center"/>
      <protection/>
    </xf>
    <xf numFmtId="0" fontId="25" fillId="11" borderId="35" xfId="29" applyFont="1" applyFill="1" applyBorder="1">
      <alignment/>
      <protection/>
    </xf>
    <xf numFmtId="0" fontId="25" fillId="11" borderId="13" xfId="29" applyFont="1" applyFill="1" applyBorder="1">
      <alignment/>
      <protection/>
    </xf>
    <xf numFmtId="0" fontId="23" fillId="3" borderId="36" xfId="29" applyFill="1" applyBorder="1" applyAlignment="1">
      <alignment wrapText="1"/>
      <protection/>
    </xf>
    <xf numFmtId="0" fontId="23" fillId="3" borderId="37" xfId="29" applyFont="1" applyFill="1" applyBorder="1" applyAlignment="1">
      <alignment wrapText="1"/>
      <protection/>
    </xf>
    <xf numFmtId="0" fontId="23" fillId="3" borderId="38" xfId="29" applyFont="1" applyFill="1" applyBorder="1" applyAlignment="1">
      <alignment wrapText="1"/>
      <protection/>
    </xf>
    <xf numFmtId="0" fontId="23" fillId="0" borderId="21" xfId="29" applyBorder="1">
      <alignment/>
      <protection/>
    </xf>
    <xf numFmtId="169" fontId="23" fillId="0" borderId="30" xfId="15" applyNumberFormat="1" applyFont="1" applyBorder="1" applyAlignment="1">
      <alignment/>
    </xf>
    <xf numFmtId="166" fontId="23" fillId="0" borderId="21" xfId="29" applyNumberFormat="1" applyBorder="1">
      <alignment/>
      <protection/>
    </xf>
    <xf numFmtId="0" fontId="17" fillId="11" borderId="10" xfId="27" applyFont="1" applyFill="1" applyBorder="1" applyAlignment="1">
      <alignment horizontal="center"/>
      <protection/>
    </xf>
    <xf numFmtId="0" fontId="17" fillId="11" borderId="11" xfId="27" applyFont="1" applyFill="1" applyBorder="1" applyAlignment="1">
      <alignment horizontal="center"/>
      <protection/>
    </xf>
    <xf numFmtId="1" fontId="17" fillId="15" borderId="13" xfId="32" applyNumberFormat="1" applyFont="1" applyFill="1" applyBorder="1" applyAlignment="1">
      <alignment horizontal="center" wrapText="1"/>
      <protection/>
    </xf>
    <xf numFmtId="169" fontId="0" fillId="0" borderId="3" xfId="15" applyNumberFormat="1" applyBorder="1" applyAlignment="1">
      <alignment/>
    </xf>
    <xf numFmtId="169" fontId="0" fillId="0" borderId="9" xfId="0" applyNumberFormat="1" applyBorder="1" applyAlignment="1">
      <alignment/>
    </xf>
    <xf numFmtId="169" fontId="0" fillId="0" borderId="9" xfId="15" applyNumberFormat="1" applyBorder="1" applyAlignment="1">
      <alignment/>
    </xf>
    <xf numFmtId="1" fontId="17" fillId="15" borderId="16" xfId="32" applyNumberFormat="1" applyFont="1" applyFill="1" applyBorder="1" applyAlignment="1">
      <alignment horizontal="center" wrapText="1"/>
      <protection/>
    </xf>
    <xf numFmtId="1" fontId="17" fillId="15" borderId="25" xfId="32" applyNumberFormat="1" applyFont="1" applyFill="1" applyBorder="1" applyAlignment="1">
      <alignment horizontal="center" wrapText="1"/>
      <protection/>
    </xf>
    <xf numFmtId="1" fontId="17" fillId="15" borderId="24" xfId="32" applyNumberFormat="1" applyFont="1" applyFill="1" applyBorder="1" applyAlignment="1">
      <alignment horizontal="center" wrapText="1"/>
      <protection/>
    </xf>
    <xf numFmtId="168" fontId="0" fillId="0" borderId="30" xfId="17" applyNumberFormat="1" applyBorder="1" applyAlignment="1">
      <alignment/>
    </xf>
    <xf numFmtId="0" fontId="0" fillId="0" borderId="33" xfId="0" applyBorder="1" applyAlignment="1">
      <alignment horizontal="right"/>
    </xf>
    <xf numFmtId="0" fontId="0" fillId="12" borderId="16" xfId="0" applyFill="1" applyBorder="1" applyAlignment="1">
      <alignment/>
    </xf>
    <xf numFmtId="169" fontId="0" fillId="12" borderId="25" xfId="0" applyNumberFormat="1" applyFill="1" applyBorder="1" applyAlignment="1">
      <alignment/>
    </xf>
    <xf numFmtId="0" fontId="0" fillId="0" borderId="34" xfId="0" applyBorder="1" applyAlignment="1">
      <alignment horizontal="right"/>
    </xf>
    <xf numFmtId="0" fontId="18" fillId="3" borderId="1" xfId="27" applyFont="1" applyFill="1" applyBorder="1">
      <alignment/>
      <protection/>
    </xf>
    <xf numFmtId="0" fontId="17" fillId="11" borderId="27" xfId="30" applyFont="1" applyFill="1" applyBorder="1">
      <alignment/>
      <protection/>
    </xf>
    <xf numFmtId="0" fontId="17" fillId="11" borderId="39" xfId="30" applyFont="1" applyFill="1" applyBorder="1">
      <alignment/>
      <protection/>
    </xf>
    <xf numFmtId="0" fontId="0" fillId="11" borderId="40" xfId="0" applyFont="1" applyFill="1" applyBorder="1" applyAlignment="1">
      <alignment/>
    </xf>
    <xf numFmtId="0" fontId="17" fillId="12" borderId="16" xfId="30" applyFont="1" applyFill="1" applyBorder="1">
      <alignment/>
      <protection/>
    </xf>
    <xf numFmtId="9" fontId="17" fillId="12" borderId="25" xfId="33" applyFont="1" applyFill="1" applyBorder="1" applyAlignment="1">
      <alignment/>
    </xf>
    <xf numFmtId="9" fontId="17" fillId="12" borderId="24" xfId="33" applyFont="1" applyFill="1" applyBorder="1" applyAlignment="1">
      <alignment/>
    </xf>
    <xf numFmtId="0" fontId="17" fillId="11" borderId="34" xfId="26" applyFont="1" applyFill="1" applyBorder="1" applyAlignment="1">
      <alignment horizontal="left"/>
      <protection/>
    </xf>
    <xf numFmtId="9" fontId="17" fillId="11" borderId="9" xfId="33" applyFont="1" applyFill="1" applyBorder="1" applyAlignment="1">
      <alignment/>
    </xf>
    <xf numFmtId="9" fontId="17" fillId="11" borderId="20" xfId="33" applyFont="1" applyFill="1" applyBorder="1" applyAlignment="1">
      <alignment/>
    </xf>
    <xf numFmtId="0" fontId="17" fillId="11" borderId="21" xfId="26" applyFont="1" applyFill="1" applyBorder="1" applyAlignment="1">
      <alignment horizontal="right"/>
      <protection/>
    </xf>
    <xf numFmtId="9" fontId="17" fillId="11" borderId="30" xfId="33" applyFont="1" applyFill="1" applyBorder="1" applyAlignment="1">
      <alignment/>
    </xf>
    <xf numFmtId="0" fontId="17" fillId="11" borderId="21" xfId="0" applyFont="1" applyFill="1" applyBorder="1" applyAlignment="1">
      <alignment horizontal="right"/>
    </xf>
    <xf numFmtId="0" fontId="17" fillId="11" borderId="33" xfId="0" applyFont="1" applyFill="1" applyBorder="1" applyAlignment="1">
      <alignment horizontal="right"/>
    </xf>
    <xf numFmtId="9" fontId="17" fillId="11" borderId="4" xfId="33" applyFont="1" applyFill="1" applyBorder="1" applyAlignment="1">
      <alignment/>
    </xf>
    <xf numFmtId="9" fontId="17" fillId="11" borderId="41" xfId="33" applyFont="1" applyFill="1" applyBorder="1" applyAlignment="1">
      <alignment/>
    </xf>
    <xf numFmtId="0" fontId="17" fillId="3" borderId="22" xfId="0" applyFont="1" applyFill="1" applyBorder="1" applyAlignment="1">
      <alignment/>
    </xf>
    <xf numFmtId="1" fontId="17" fillId="3" borderId="23" xfId="33" applyNumberFormat="1" applyFont="1" applyFill="1" applyBorder="1" applyAlignment="1">
      <alignment/>
    </xf>
    <xf numFmtId="9" fontId="17" fillId="3" borderId="31" xfId="33" applyFont="1" applyFill="1" applyBorder="1" applyAlignment="1">
      <alignment/>
    </xf>
    <xf numFmtId="0" fontId="17" fillId="0" borderId="0" xfId="0" applyFont="1" applyFill="1" applyBorder="1" applyAlignment="1">
      <alignment/>
    </xf>
    <xf numFmtId="1" fontId="17" fillId="0" borderId="0" xfId="33" applyNumberFormat="1" applyFont="1" applyFill="1" applyBorder="1" applyAlignment="1">
      <alignment/>
    </xf>
    <xf numFmtId="9" fontId="17" fillId="0" borderId="0" xfId="33" applyFont="1" applyFill="1" applyBorder="1" applyAlignment="1">
      <alignment/>
    </xf>
    <xf numFmtId="9" fontId="17" fillId="11" borderId="16" xfId="33" applyFont="1" applyFill="1" applyBorder="1" applyAlignment="1">
      <alignment/>
    </xf>
    <xf numFmtId="9" fontId="17" fillId="11" borderId="25" xfId="33" applyFont="1" applyFill="1" applyBorder="1" applyAlignment="1">
      <alignment/>
    </xf>
    <xf numFmtId="9" fontId="17" fillId="11" borderId="24" xfId="0" applyNumberFormat="1" applyFont="1" applyFill="1" applyBorder="1" applyAlignment="1">
      <alignment/>
    </xf>
    <xf numFmtId="1" fontId="17" fillId="12" borderId="3" xfId="32" applyNumberFormat="1" applyFont="1" applyFill="1" applyBorder="1" applyAlignment="1">
      <alignment horizontal="centerContinuous"/>
      <protection/>
    </xf>
    <xf numFmtId="0" fontId="0" fillId="0" borderId="9" xfId="0" applyFont="1" applyBorder="1" applyAlignment="1">
      <alignment/>
    </xf>
    <xf numFmtId="1" fontId="17" fillId="14" borderId="4" xfId="32" applyNumberFormat="1" applyFont="1" applyFill="1" applyBorder="1" applyAlignment="1">
      <alignment horizontal="center" wrapText="1"/>
      <protection/>
    </xf>
    <xf numFmtId="1" fontId="17" fillId="12" borderId="37" xfId="32" applyNumberFormat="1" applyFont="1" applyFill="1" applyBorder="1" applyAlignment="1">
      <alignment horizontal="centerContinuous"/>
      <protection/>
    </xf>
    <xf numFmtId="169" fontId="17" fillId="12" borderId="37" xfId="15" applyNumberFormat="1" applyFont="1" applyFill="1" applyBorder="1" applyAlignment="1">
      <alignment/>
    </xf>
    <xf numFmtId="1" fontId="17" fillId="12" borderId="23" xfId="32" applyNumberFormat="1" applyFont="1" applyFill="1" applyBorder="1" applyAlignment="1">
      <alignment horizontal="centerContinuous"/>
      <protection/>
    </xf>
    <xf numFmtId="1" fontId="17" fillId="12" borderId="42" xfId="32" applyNumberFormat="1" applyFont="1" applyFill="1" applyBorder="1" applyAlignment="1">
      <alignment horizontal="center" wrapText="1"/>
      <protection/>
    </xf>
    <xf numFmtId="1" fontId="17" fillId="12" borderId="5" xfId="32" applyNumberFormat="1" applyFont="1" applyFill="1" applyBorder="1" applyAlignment="1">
      <alignment horizontal="center" wrapText="1"/>
      <protection/>
    </xf>
    <xf numFmtId="1" fontId="17" fillId="12" borderId="43" xfId="32" applyNumberFormat="1" applyFont="1" applyFill="1" applyBorder="1" applyAlignment="1">
      <alignment horizontal="center" wrapText="1"/>
      <protection/>
    </xf>
    <xf numFmtId="169" fontId="17" fillId="12" borderId="36" xfId="15" applyNumberFormat="1" applyFont="1" applyFill="1" applyBorder="1" applyAlignment="1">
      <alignment/>
    </xf>
    <xf numFmtId="1" fontId="17" fillId="14" borderId="44" xfId="32" applyNumberFormat="1" applyFont="1" applyFill="1" applyBorder="1" applyAlignment="1">
      <alignment horizontal="left" wrapText="1"/>
      <protection/>
    </xf>
    <xf numFmtId="1" fontId="17" fillId="12" borderId="36" xfId="32" applyNumberFormat="1" applyFont="1" applyFill="1" applyBorder="1" applyAlignment="1">
      <alignment horizontal="centerContinuous"/>
      <protection/>
    </xf>
    <xf numFmtId="1" fontId="17" fillId="12" borderId="21" xfId="32" applyNumberFormat="1" applyFont="1" applyFill="1" applyBorder="1" applyAlignment="1">
      <alignment horizontal="centerContinuous"/>
      <protection/>
    </xf>
    <xf numFmtId="1" fontId="17" fillId="12" borderId="22" xfId="32" applyNumberFormat="1" applyFont="1" applyFill="1" applyBorder="1" applyAlignment="1">
      <alignment horizontal="centerContinuous"/>
      <protection/>
    </xf>
    <xf numFmtId="0" fontId="17" fillId="14" borderId="0" xfId="0" applyFont="1" applyFill="1" applyBorder="1" applyAlignment="1">
      <alignment/>
    </xf>
    <xf numFmtId="1" fontId="17" fillId="13" borderId="12" xfId="32" applyNumberFormat="1" applyFont="1" applyFill="1" applyBorder="1" applyAlignment="1">
      <alignment horizontal="left" wrapText="1"/>
      <protection/>
    </xf>
    <xf numFmtId="0" fontId="17" fillId="11" borderId="45" xfId="26" applyFont="1" applyFill="1" applyBorder="1" applyAlignment="1">
      <alignment horizontal="right"/>
      <protection/>
    </xf>
    <xf numFmtId="169" fontId="0" fillId="0" borderId="34" xfId="15" applyNumberFormat="1" applyFont="1" applyBorder="1" applyAlignment="1">
      <alignment/>
    </xf>
    <xf numFmtId="168" fontId="0" fillId="0" borderId="20" xfId="17" applyNumberFormat="1" applyFont="1" applyBorder="1" applyAlignment="1">
      <alignment/>
    </xf>
    <xf numFmtId="0" fontId="17" fillId="11" borderId="46" xfId="26" applyFont="1" applyFill="1" applyBorder="1" applyAlignment="1">
      <alignment horizontal="right"/>
      <protection/>
    </xf>
    <xf numFmtId="0" fontId="17" fillId="11" borderId="46" xfId="0" applyFont="1" applyFill="1" applyBorder="1" applyAlignment="1">
      <alignment horizontal="right"/>
    </xf>
    <xf numFmtId="169" fontId="17" fillId="12" borderId="16" xfId="0" applyNumberFormat="1" applyFont="1" applyFill="1" applyBorder="1" applyAlignment="1">
      <alignment/>
    </xf>
    <xf numFmtId="169" fontId="17" fillId="12" borderId="25" xfId="0" applyNumberFormat="1" applyFont="1" applyFill="1" applyBorder="1" applyAlignment="1">
      <alignment/>
    </xf>
    <xf numFmtId="168" fontId="17" fillId="12" borderId="24" xfId="0" applyNumberFormat="1" applyFont="1" applyFill="1" applyBorder="1" applyAlignment="1">
      <alignment/>
    </xf>
    <xf numFmtId="1" fontId="17" fillId="14" borderId="12" xfId="32" applyNumberFormat="1" applyFont="1" applyFill="1" applyBorder="1" applyAlignment="1" quotePrefix="1">
      <alignment horizontal="left" wrapText="1"/>
      <protection/>
    </xf>
    <xf numFmtId="1" fontId="17" fillId="14" borderId="2" xfId="32" applyNumberFormat="1" applyFont="1" applyFill="1" applyBorder="1" applyAlignment="1">
      <alignment horizontal="center" wrapText="1"/>
      <protection/>
    </xf>
    <xf numFmtId="0" fontId="0" fillId="14" borderId="47" xfId="0" applyFont="1" applyFill="1" applyBorder="1" applyAlignment="1">
      <alignment/>
    </xf>
    <xf numFmtId="1" fontId="17" fillId="14" borderId="48" xfId="32" applyNumberFormat="1" applyFont="1" applyFill="1" applyBorder="1" applyAlignment="1" quotePrefix="1">
      <alignment horizontal="left" wrapText="1"/>
      <protection/>
    </xf>
    <xf numFmtId="1" fontId="17" fillId="14" borderId="49" xfId="32" applyNumberFormat="1" applyFont="1" applyFill="1" applyBorder="1" applyAlignment="1">
      <alignment horizontal="center" wrapText="1"/>
      <protection/>
    </xf>
    <xf numFmtId="0" fontId="0" fillId="0" borderId="50" xfId="0" applyBorder="1" applyAlignment="1">
      <alignment/>
    </xf>
    <xf numFmtId="1" fontId="17" fillId="14" borderId="22" xfId="32" applyNumberFormat="1" applyFont="1" applyFill="1" applyBorder="1" applyAlignment="1" quotePrefix="1">
      <alignment horizontal="left" wrapText="1"/>
      <protection/>
    </xf>
    <xf numFmtId="1" fontId="17" fillId="14" borderId="26" xfId="32" applyNumberFormat="1" applyFont="1" applyFill="1" applyBorder="1" applyAlignment="1">
      <alignment horizontal="centerContinuous"/>
      <protection/>
    </xf>
    <xf numFmtId="168" fontId="17" fillId="12" borderId="22" xfId="17" applyNumberFormat="1" applyFont="1" applyFill="1" applyBorder="1" applyAlignment="1">
      <alignment horizontal="centerContinuous"/>
    </xf>
    <xf numFmtId="168" fontId="17" fillId="12" borderId="23" xfId="17" applyNumberFormat="1" applyFont="1" applyFill="1" applyBorder="1" applyAlignment="1">
      <alignment horizontal="centerContinuous"/>
    </xf>
    <xf numFmtId="0" fontId="0" fillId="16" borderId="36" xfId="0" applyFill="1" applyBorder="1" applyAlignment="1">
      <alignment/>
    </xf>
    <xf numFmtId="1" fontId="0" fillId="16" borderId="37" xfId="0" applyNumberFormat="1" applyFill="1" applyBorder="1" applyAlignment="1">
      <alignment/>
    </xf>
    <xf numFmtId="0" fontId="0" fillId="16" borderId="33" xfId="0" applyFill="1" applyBorder="1" applyAlignment="1">
      <alignment/>
    </xf>
    <xf numFmtId="1" fontId="0" fillId="16" borderId="4" xfId="0" applyNumberFormat="1" applyFill="1" applyBorder="1" applyAlignment="1">
      <alignment/>
    </xf>
    <xf numFmtId="1" fontId="0" fillId="12" borderId="25" xfId="0" applyNumberFormat="1" applyFill="1" applyBorder="1" applyAlignment="1">
      <alignment/>
    </xf>
    <xf numFmtId="0" fontId="0" fillId="16" borderId="3" xfId="29" applyFont="1" applyFill="1" applyBorder="1" applyAlignment="1" applyProtection="1" quotePrefix="1">
      <alignment horizontal="left"/>
      <protection/>
    </xf>
    <xf numFmtId="0" fontId="27" fillId="16" borderId="3" xfId="29" applyFont="1" applyFill="1" applyBorder="1" applyAlignment="1">
      <alignment horizontal="centerContinuous"/>
      <protection/>
    </xf>
    <xf numFmtId="1" fontId="23" fillId="16" borderId="3" xfId="29" applyNumberFormat="1" applyFill="1" applyBorder="1">
      <alignment/>
      <protection/>
    </xf>
    <xf numFmtId="7" fontId="23" fillId="16" borderId="3" xfId="29" applyNumberFormat="1" applyFill="1" applyBorder="1">
      <alignment/>
      <protection/>
    </xf>
    <xf numFmtId="5" fontId="23" fillId="16" borderId="3" xfId="17" applyNumberFormat="1" applyFill="1" applyBorder="1" applyAlignment="1">
      <alignment/>
    </xf>
    <xf numFmtId="1" fontId="27" fillId="16" borderId="3" xfId="29" applyNumberFormat="1" applyFont="1" applyFill="1" applyBorder="1" applyAlignment="1">
      <alignment horizontal="centerContinuous"/>
      <protection/>
    </xf>
    <xf numFmtId="0" fontId="25" fillId="0" borderId="0" xfId="29" applyFont="1" applyFill="1" applyBorder="1">
      <alignment/>
      <protection/>
    </xf>
    <xf numFmtId="1" fontId="17" fillId="14" borderId="51" xfId="32" applyNumberFormat="1" applyFont="1" applyFill="1" applyBorder="1" applyAlignment="1">
      <alignment horizontal="center" wrapText="1"/>
      <protection/>
    </xf>
    <xf numFmtId="169" fontId="17" fillId="12" borderId="22" xfId="0" applyNumberFormat="1" applyFont="1" applyFill="1" applyBorder="1" applyAlignment="1">
      <alignment horizontal="center"/>
    </xf>
    <xf numFmtId="169" fontId="17" fillId="12" borderId="23" xfId="0" applyNumberFormat="1" applyFont="1" applyFill="1" applyBorder="1" applyAlignment="1">
      <alignment horizontal="center"/>
    </xf>
    <xf numFmtId="1" fontId="17" fillId="14" borderId="52" xfId="32" applyNumberFormat="1" applyFont="1" applyFill="1" applyBorder="1" applyAlignment="1">
      <alignment horizontal="center" wrapText="1"/>
      <protection/>
    </xf>
    <xf numFmtId="1" fontId="17" fillId="14" borderId="53" xfId="32" applyNumberFormat="1" applyFont="1" applyFill="1" applyBorder="1" applyAlignment="1">
      <alignment horizontal="center" wrapText="1"/>
      <protection/>
    </xf>
    <xf numFmtId="0" fontId="17" fillId="11" borderId="54" xfId="27" applyFont="1" applyFill="1" applyBorder="1" applyAlignment="1">
      <alignment wrapText="1"/>
      <protection/>
    </xf>
    <xf numFmtId="168" fontId="0" fillId="0" borderId="34" xfId="17" applyNumberFormat="1" applyFont="1" applyBorder="1" applyAlignment="1">
      <alignment/>
    </xf>
    <xf numFmtId="9" fontId="0" fillId="3" borderId="54" xfId="27" applyNumberFormat="1" applyFont="1" applyFill="1" applyBorder="1">
      <alignment/>
      <protection/>
    </xf>
    <xf numFmtId="168" fontId="0" fillId="3" borderId="16" xfId="17" applyNumberFormat="1" applyFont="1" applyFill="1" applyBorder="1" applyAlignment="1">
      <alignment/>
    </xf>
    <xf numFmtId="169" fontId="0" fillId="0" borderId="21" xfId="15" applyNumberFormat="1" applyFont="1" applyBorder="1" applyAlignment="1">
      <alignment/>
    </xf>
    <xf numFmtId="169" fontId="0" fillId="0" borderId="33" xfId="15" applyNumberFormat="1" applyFont="1" applyBorder="1" applyAlignment="1">
      <alignment/>
    </xf>
    <xf numFmtId="169" fontId="0" fillId="0" borderId="4" xfId="15" applyNumberFormat="1" applyFont="1" applyBorder="1" applyAlignment="1">
      <alignment/>
    </xf>
    <xf numFmtId="169" fontId="0" fillId="0" borderId="41" xfId="15" applyNumberFormat="1" applyFont="1" applyBorder="1" applyAlignment="1">
      <alignment/>
    </xf>
    <xf numFmtId="169" fontId="0" fillId="3" borderId="16" xfId="15" applyNumberFormat="1" applyFont="1" applyFill="1" applyBorder="1" applyAlignment="1">
      <alignment/>
    </xf>
    <xf numFmtId="5" fontId="23" fillId="0" borderId="0" xfId="29" applyNumberFormat="1" applyFont="1">
      <alignment/>
      <protection/>
    </xf>
    <xf numFmtId="0" fontId="0" fillId="0" borderId="3" xfId="29" applyFont="1" applyFill="1" applyBorder="1" applyAlignment="1" applyProtection="1" quotePrefix="1">
      <alignment horizontal="left"/>
      <protection/>
    </xf>
    <xf numFmtId="1" fontId="17" fillId="14" borderId="47" xfId="0" applyNumberFormat="1" applyFont="1" applyFill="1" applyBorder="1" applyAlignment="1">
      <alignment horizontal="center" wrapText="1"/>
    </xf>
    <xf numFmtId="1" fontId="23" fillId="0" borderId="3" xfId="0" applyNumberFormat="1" applyFont="1" applyBorder="1" applyAlignment="1">
      <alignment/>
    </xf>
    <xf numFmtId="0" fontId="0" fillId="9" borderId="3" xfId="32" applyFill="1" applyBorder="1">
      <alignment/>
      <protection/>
    </xf>
    <xf numFmtId="1" fontId="0" fillId="14" borderId="3" xfId="32" applyNumberFormat="1" applyFill="1" applyBorder="1">
      <alignment/>
      <protection/>
    </xf>
    <xf numFmtId="1" fontId="23" fillId="0" borderId="9" xfId="0" applyNumberFormat="1" applyFont="1" applyBorder="1" applyAlignment="1">
      <alignment/>
    </xf>
    <xf numFmtId="169" fontId="0" fillId="0" borderId="9" xfId="15" applyNumberFormat="1" applyBorder="1" applyAlignment="1">
      <alignment/>
    </xf>
    <xf numFmtId="0" fontId="0" fillId="9" borderId="9" xfId="32" applyFill="1" applyBorder="1">
      <alignment/>
      <protection/>
    </xf>
    <xf numFmtId="1" fontId="0" fillId="14" borderId="9" xfId="32" applyNumberFormat="1" applyFill="1" applyBorder="1">
      <alignment/>
      <protection/>
    </xf>
    <xf numFmtId="1" fontId="25" fillId="0" borderId="16" xfId="28" applyNumberFormat="1" applyFont="1" applyBorder="1">
      <alignment/>
      <protection/>
    </xf>
    <xf numFmtId="1" fontId="25" fillId="0" borderId="25" xfId="28" applyNumberFormat="1" applyFont="1" applyBorder="1">
      <alignment/>
      <protection/>
    </xf>
    <xf numFmtId="0" fontId="19" fillId="14" borderId="25" xfId="32" applyFont="1" applyFill="1" applyBorder="1" applyAlignment="1">
      <alignment horizontal="center"/>
      <protection/>
    </xf>
    <xf numFmtId="169" fontId="19" fillId="14" borderId="24" xfId="15" applyNumberFormat="1" applyFont="1" applyFill="1" applyBorder="1" applyAlignment="1">
      <alignment horizontal="center"/>
    </xf>
    <xf numFmtId="0" fontId="26" fillId="11" borderId="3" xfId="26" applyFont="1" applyFill="1" applyBorder="1" applyAlignment="1">
      <alignment horizontal="center"/>
      <protection/>
    </xf>
    <xf numFmtId="0" fontId="23" fillId="11" borderId="3" xfId="29" applyFill="1" applyBorder="1">
      <alignment/>
      <protection/>
    </xf>
    <xf numFmtId="0" fontId="26" fillId="11" borderId="3" xfId="26" applyFont="1" applyFill="1" applyBorder="1" applyAlignment="1" quotePrefix="1">
      <alignment horizontal="center"/>
      <protection/>
    </xf>
    <xf numFmtId="0" fontId="27" fillId="0" borderId="3" xfId="29" applyFont="1" applyFill="1" applyBorder="1" applyAlignment="1">
      <alignment horizontal="centerContinuous"/>
      <protection/>
    </xf>
    <xf numFmtId="1" fontId="23" fillId="0" borderId="3" xfId="29" applyNumberFormat="1" applyFill="1" applyBorder="1">
      <alignment/>
      <protection/>
    </xf>
    <xf numFmtId="7" fontId="23" fillId="0" borderId="3" xfId="29" applyNumberFormat="1" applyFill="1" applyBorder="1">
      <alignment/>
      <protection/>
    </xf>
    <xf numFmtId="5" fontId="23" fillId="0" borderId="3" xfId="17" applyNumberFormat="1" applyFill="1" applyBorder="1" applyAlignment="1">
      <alignment/>
    </xf>
    <xf numFmtId="0" fontId="17" fillId="0" borderId="0" xfId="25" applyFont="1" applyAlignment="1">
      <alignment horizontal="center"/>
      <protection/>
    </xf>
    <xf numFmtId="7" fontId="23" fillId="0" borderId="0" xfId="17" applyNumberFormat="1" applyAlignment="1">
      <alignment/>
    </xf>
    <xf numFmtId="0" fontId="25" fillId="11" borderId="16" xfId="29" applyFont="1" applyFill="1" applyBorder="1">
      <alignment/>
      <protection/>
    </xf>
    <xf numFmtId="9" fontId="0" fillId="0" borderId="45" xfId="33" applyFont="1" applyBorder="1" applyAlignment="1" applyProtection="1" quotePrefix="1">
      <alignment horizontal="left"/>
      <protection/>
    </xf>
    <xf numFmtId="178" fontId="0" fillId="0" borderId="3" xfId="29" applyNumberFormat="1" applyFont="1" applyFill="1" applyBorder="1" applyProtection="1">
      <alignment/>
      <protection/>
    </xf>
    <xf numFmtId="178" fontId="29" fillId="0" borderId="3" xfId="24" applyNumberFormat="1" applyFill="1" applyBorder="1">
      <alignment/>
      <protection/>
    </xf>
    <xf numFmtId="7" fontId="23" fillId="0" borderId="0" xfId="17" applyNumberFormat="1" applyFill="1" applyAlignment="1">
      <alignment/>
    </xf>
    <xf numFmtId="0" fontId="0" fillId="0" borderId="3" xfId="29" applyFont="1" applyFill="1" applyBorder="1">
      <alignment/>
      <protection/>
    </xf>
    <xf numFmtId="178" fontId="0" fillId="0" borderId="3" xfId="29" applyNumberFormat="1" applyFont="1" applyFill="1" applyBorder="1">
      <alignment/>
      <protection/>
    </xf>
    <xf numFmtId="1" fontId="27" fillId="0" borderId="3" xfId="29" applyNumberFormat="1" applyFont="1" applyFill="1" applyBorder="1" applyAlignment="1">
      <alignment horizontal="centerContinuous"/>
      <protection/>
    </xf>
    <xf numFmtId="0" fontId="0" fillId="0" borderId="3" xfId="29" applyFont="1" applyFill="1" applyBorder="1" applyAlignment="1" quotePrefix="1">
      <alignment horizontal="left"/>
      <protection/>
    </xf>
    <xf numFmtId="178" fontId="0" fillId="16" borderId="3" xfId="29" applyNumberFormat="1" applyFont="1" applyFill="1" applyBorder="1" applyProtection="1">
      <alignment/>
      <protection/>
    </xf>
    <xf numFmtId="0" fontId="27" fillId="16" borderId="9" xfId="29" applyFont="1" applyFill="1" applyBorder="1" applyAlignment="1">
      <alignment horizontal="centerContinuous"/>
      <protection/>
    </xf>
    <xf numFmtId="7" fontId="23" fillId="16" borderId="9" xfId="29" applyNumberFormat="1" applyFill="1" applyBorder="1">
      <alignment/>
      <protection/>
    </xf>
    <xf numFmtId="1" fontId="17" fillId="14" borderId="13" xfId="0" applyNumberFormat="1" applyFont="1" applyFill="1" applyBorder="1" applyAlignment="1">
      <alignment horizontal="center" wrapText="1"/>
    </xf>
    <xf numFmtId="1" fontId="23" fillId="16" borderId="9" xfId="29" applyNumberFormat="1" applyFill="1" applyBorder="1">
      <alignment/>
      <protection/>
    </xf>
    <xf numFmtId="1" fontId="17" fillId="14" borderId="47" xfId="32" applyNumberFormat="1" applyFont="1" applyFill="1" applyBorder="1" applyAlignment="1">
      <alignment horizontal="left" wrapText="1"/>
      <protection/>
    </xf>
    <xf numFmtId="1" fontId="17" fillId="12" borderId="33" xfId="32" applyNumberFormat="1" applyFont="1" applyFill="1" applyBorder="1" applyAlignment="1">
      <alignment horizontal="centerContinuous"/>
      <protection/>
    </xf>
    <xf numFmtId="169" fontId="17" fillId="12" borderId="5" xfId="15" applyNumberFormat="1" applyFont="1" applyFill="1" applyBorder="1" applyAlignment="1">
      <alignment/>
    </xf>
    <xf numFmtId="169" fontId="17" fillId="12" borderId="43" xfId="15" applyNumberFormat="1" applyFont="1" applyFill="1" applyBorder="1" applyAlignment="1">
      <alignment/>
    </xf>
    <xf numFmtId="169" fontId="17" fillId="12" borderId="3" xfId="0" applyNumberFormat="1" applyFont="1" applyFill="1" applyBorder="1" applyAlignment="1">
      <alignment horizontal="center"/>
    </xf>
    <xf numFmtId="169" fontId="17" fillId="12" borderId="42" xfId="15" applyNumberFormat="1" applyFont="1" applyFill="1" applyBorder="1" applyAlignment="1">
      <alignment/>
    </xf>
    <xf numFmtId="169" fontId="17" fillId="12" borderId="21" xfId="0" applyNumberFormat="1" applyFont="1" applyFill="1" applyBorder="1" applyAlignment="1">
      <alignment horizontal="center"/>
    </xf>
    <xf numFmtId="0" fontId="17" fillId="12" borderId="5" xfId="0" applyFont="1" applyFill="1" applyBorder="1" applyAlignment="1">
      <alignment horizontal="center"/>
    </xf>
    <xf numFmtId="168" fontId="17" fillId="12" borderId="3" xfId="17" applyNumberFormat="1" applyFont="1" applyFill="1" applyBorder="1" applyAlignment="1">
      <alignment/>
    </xf>
    <xf numFmtId="168" fontId="17" fillId="12" borderId="9" xfId="17" applyNumberFormat="1" applyFont="1" applyFill="1" applyBorder="1" applyAlignment="1">
      <alignment/>
    </xf>
    <xf numFmtId="1" fontId="17" fillId="14" borderId="55" xfId="32" applyNumberFormat="1" applyFont="1" applyFill="1" applyBorder="1" applyAlignment="1">
      <alignment horizontal="center" wrapText="1"/>
      <protection/>
    </xf>
    <xf numFmtId="1" fontId="17" fillId="14" borderId="33" xfId="32" applyNumberFormat="1" applyFont="1" applyFill="1" applyBorder="1" applyAlignment="1">
      <alignment horizontal="center" wrapText="1"/>
      <protection/>
    </xf>
    <xf numFmtId="168" fontId="17" fillId="12" borderId="34" xfId="17" applyNumberFormat="1" applyFont="1" applyFill="1" applyBorder="1" applyAlignment="1">
      <alignment/>
    </xf>
    <xf numFmtId="168" fontId="17" fillId="12" borderId="21" xfId="17" applyNumberFormat="1" applyFont="1" applyFill="1" applyBorder="1" applyAlignment="1">
      <alignment/>
    </xf>
    <xf numFmtId="168" fontId="17" fillId="12" borderId="22" xfId="17" applyNumberFormat="1" applyFont="1" applyFill="1" applyBorder="1" applyAlignment="1">
      <alignment/>
    </xf>
    <xf numFmtId="168" fontId="17" fillId="12" borderId="23" xfId="17" applyNumberFormat="1" applyFont="1" applyFill="1" applyBorder="1" applyAlignment="1">
      <alignment/>
    </xf>
    <xf numFmtId="168" fontId="0" fillId="12" borderId="24" xfId="17" applyNumberFormat="1" applyFill="1" applyBorder="1" applyAlignment="1">
      <alignment/>
    </xf>
    <xf numFmtId="168" fontId="17" fillId="12" borderId="8" xfId="17" applyNumberFormat="1" applyFont="1" applyFill="1" applyBorder="1" applyAlignment="1">
      <alignment horizontal="center" wrapText="1"/>
    </xf>
    <xf numFmtId="168" fontId="17" fillId="12" borderId="5" xfId="17" applyNumberFormat="1" applyFont="1" applyFill="1" applyBorder="1" applyAlignment="1">
      <alignment horizontal="center" wrapText="1"/>
    </xf>
    <xf numFmtId="168" fontId="17" fillId="12" borderId="43" xfId="17" applyNumberFormat="1" applyFont="1" applyFill="1" applyBorder="1" applyAlignment="1">
      <alignment horizontal="center" wrapText="1"/>
    </xf>
    <xf numFmtId="0" fontId="17" fillId="12" borderId="16" xfId="0" applyFont="1" applyFill="1" applyBorder="1" applyAlignment="1">
      <alignment horizontal="right"/>
    </xf>
    <xf numFmtId="168" fontId="0" fillId="0" borderId="30" xfId="17" applyNumberFormat="1" applyBorder="1" applyAlignment="1">
      <alignment/>
    </xf>
    <xf numFmtId="0" fontId="17" fillId="12" borderId="13" xfId="0" applyFont="1" applyFill="1" applyBorder="1" applyAlignment="1">
      <alignment horizontal="right"/>
    </xf>
    <xf numFmtId="169" fontId="0" fillId="0" borderId="0" xfId="15" applyNumberFormat="1" applyAlignment="1" applyProtection="1">
      <alignment horizontal="right"/>
      <protection/>
    </xf>
    <xf numFmtId="168" fontId="0" fillId="0" borderId="0" xfId="17" applyNumberFormat="1" applyAlignment="1" applyProtection="1">
      <alignment horizontal="right"/>
      <protection/>
    </xf>
    <xf numFmtId="0" fontId="0" fillId="11" borderId="3" xfId="0" applyFill="1" applyBorder="1" applyAlignment="1">
      <alignment wrapText="1"/>
    </xf>
    <xf numFmtId="2" fontId="0" fillId="0" borderId="3" xfId="0" applyNumberFormat="1" applyBorder="1" applyAlignment="1">
      <alignment/>
    </xf>
    <xf numFmtId="43" fontId="0" fillId="0" borderId="3" xfId="15" applyNumberFormat="1" applyFont="1" applyBorder="1" applyAlignment="1">
      <alignment/>
    </xf>
    <xf numFmtId="43" fontId="0" fillId="0" borderId="3" xfId="0" applyNumberFormat="1" applyBorder="1" applyAlignment="1">
      <alignment/>
    </xf>
    <xf numFmtId="0" fontId="0" fillId="11" borderId="3" xfId="0" applyFill="1" applyBorder="1" applyAlignment="1">
      <alignment/>
    </xf>
    <xf numFmtId="165" fontId="11" fillId="0" borderId="0" xfId="0" applyNumberFormat="1" applyFont="1" applyAlignment="1">
      <alignment/>
    </xf>
    <xf numFmtId="169" fontId="0" fillId="12" borderId="3" xfId="15" applyNumberFormat="1" applyFill="1" applyBorder="1" applyAlignment="1">
      <alignment/>
    </xf>
    <xf numFmtId="183" fontId="0" fillId="0" borderId="3" xfId="15" applyNumberFormat="1" applyBorder="1" applyAlignment="1">
      <alignment/>
    </xf>
    <xf numFmtId="0" fontId="17" fillId="12" borderId="14" xfId="0" applyFont="1" applyFill="1" applyBorder="1" applyAlignment="1">
      <alignment horizontal="center"/>
    </xf>
    <xf numFmtId="0" fontId="17" fillId="12" borderId="15" xfId="0" applyFont="1" applyFill="1" applyBorder="1" applyAlignment="1">
      <alignment horizontal="center"/>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4"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11" borderId="12" xfId="26" applyFont="1" applyFill="1" applyBorder="1" applyAlignment="1">
      <alignment horizontal="center"/>
      <protection/>
    </xf>
    <xf numFmtId="0" fontId="17" fillId="11" borderId="10" xfId="26" applyFont="1" applyFill="1" applyBorder="1" applyAlignment="1">
      <alignment horizontal="center"/>
      <protection/>
    </xf>
    <xf numFmtId="0" fontId="17" fillId="11" borderId="12" xfId="27" applyFont="1" applyFill="1" applyBorder="1" applyAlignment="1">
      <alignment horizontal="center"/>
      <protection/>
    </xf>
    <xf numFmtId="0" fontId="17" fillId="11" borderId="10" xfId="27" applyFont="1" applyFill="1" applyBorder="1" applyAlignment="1">
      <alignment horizontal="center"/>
      <protection/>
    </xf>
    <xf numFmtId="0" fontId="17" fillId="11" borderId="11" xfId="27" applyFont="1" applyFill="1" applyBorder="1" applyAlignment="1">
      <alignment horizontal="center"/>
      <protection/>
    </xf>
    <xf numFmtId="0" fontId="17" fillId="11" borderId="11" xfId="26" applyFont="1" applyFill="1" applyBorder="1" applyAlignment="1">
      <alignment horizontal="center"/>
      <protection/>
    </xf>
    <xf numFmtId="0" fontId="17" fillId="11" borderId="19" xfId="26" applyFont="1" applyFill="1" applyBorder="1" applyAlignment="1">
      <alignment horizontal="center" wrapText="1"/>
      <protection/>
    </xf>
    <xf numFmtId="0" fontId="17" fillId="11" borderId="56" xfId="26" applyFont="1" applyFill="1" applyBorder="1" applyAlignment="1">
      <alignment horizontal="center" wrapText="1"/>
      <protection/>
    </xf>
    <xf numFmtId="0" fontId="25" fillId="11" borderId="12" xfId="29" applyFont="1" applyFill="1" applyBorder="1" applyAlignment="1">
      <alignment horizontal="center"/>
      <protection/>
    </xf>
    <xf numFmtId="0" fontId="25" fillId="11" borderId="10" xfId="29" applyFont="1" applyFill="1" applyBorder="1" applyAlignment="1">
      <alignment horizontal="center"/>
      <protection/>
    </xf>
    <xf numFmtId="0" fontId="25" fillId="11" borderId="11" xfId="29" applyFont="1" applyFill="1" applyBorder="1" applyAlignment="1">
      <alignment horizontal="center"/>
      <protection/>
    </xf>
    <xf numFmtId="0" fontId="17" fillId="0" borderId="12"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17" borderId="50" xfId="0" applyFont="1" applyFill="1" applyBorder="1" applyAlignment="1">
      <alignment horizontal="center"/>
    </xf>
    <xf numFmtId="0" fontId="17" fillId="17" borderId="14" xfId="0" applyFont="1" applyFill="1" applyBorder="1" applyAlignment="1">
      <alignment horizontal="center"/>
    </xf>
    <xf numFmtId="0" fontId="17" fillId="17" borderId="15" xfId="0" applyFont="1" applyFill="1" applyBorder="1" applyAlignment="1">
      <alignment horizontal="center"/>
    </xf>
    <xf numFmtId="0" fontId="17" fillId="12" borderId="50" xfId="0" applyFont="1" applyFill="1" applyBorder="1" applyAlignment="1">
      <alignment horizontal="center" wrapText="1"/>
    </xf>
    <xf numFmtId="0" fontId="17" fillId="12" borderId="14" xfId="0" applyFont="1" applyFill="1" applyBorder="1" applyAlignment="1">
      <alignment horizontal="center" wrapText="1"/>
    </xf>
    <xf numFmtId="0" fontId="17" fillId="12" borderId="15" xfId="0" applyFont="1" applyFill="1" applyBorder="1" applyAlignment="1">
      <alignment horizontal="center" wrapText="1"/>
    </xf>
    <xf numFmtId="0" fontId="17" fillId="12" borderId="50" xfId="0" applyFont="1" applyFill="1" applyBorder="1" applyAlignment="1">
      <alignment horizontal="center"/>
    </xf>
    <xf numFmtId="0" fontId="5" fillId="18" borderId="50" xfId="27" applyFont="1" applyFill="1" applyBorder="1" applyAlignment="1">
      <alignment horizontal="center"/>
      <protection/>
    </xf>
    <xf numFmtId="0" fontId="5" fillId="18" borderId="15" xfId="27" applyFont="1" applyFill="1" applyBorder="1" applyAlignment="1">
      <alignment horizontal="center"/>
      <protection/>
    </xf>
    <xf numFmtId="0" fontId="17" fillId="11" borderId="12" xfId="26" applyFont="1" applyFill="1" applyBorder="1" applyAlignment="1">
      <alignment horizontal="left" wrapText="1"/>
      <protection/>
    </xf>
    <xf numFmtId="0" fontId="17" fillId="11" borderId="10" xfId="26" applyFont="1" applyFill="1" applyBorder="1" applyAlignment="1">
      <alignment horizontal="left" wrapText="1"/>
      <protection/>
    </xf>
    <xf numFmtId="0" fontId="17" fillId="11" borderId="11" xfId="26" applyFont="1" applyFill="1" applyBorder="1" applyAlignment="1">
      <alignment horizontal="left" wrapText="1"/>
      <protection/>
    </xf>
    <xf numFmtId="1" fontId="17" fillId="14" borderId="12" xfId="32" applyNumberFormat="1" applyFont="1" applyFill="1" applyBorder="1" applyAlignment="1">
      <alignment horizontal="center" wrapText="1"/>
      <protection/>
    </xf>
    <xf numFmtId="1" fontId="17" fillId="14" borderId="10" xfId="32" applyNumberFormat="1" applyFont="1" applyFill="1" applyBorder="1" applyAlignment="1">
      <alignment horizontal="center" wrapText="1"/>
      <protection/>
    </xf>
    <xf numFmtId="1" fontId="17" fillId="14" borderId="11" xfId="32" applyNumberFormat="1" applyFont="1" applyFill="1" applyBorder="1" applyAlignment="1">
      <alignment horizontal="center" wrapText="1"/>
      <protection/>
    </xf>
    <xf numFmtId="1" fontId="17" fillId="14" borderId="12" xfId="32" applyNumberFormat="1" applyFont="1" applyFill="1" applyBorder="1" applyAlignment="1" quotePrefix="1">
      <alignment horizontal="center" wrapText="1"/>
      <protection/>
    </xf>
    <xf numFmtId="1" fontId="17" fillId="14" borderId="10" xfId="32" applyNumberFormat="1" applyFont="1" applyFill="1" applyBorder="1" applyAlignment="1" quotePrefix="1">
      <alignment horizontal="center" wrapText="1"/>
      <protection/>
    </xf>
    <xf numFmtId="1" fontId="17" fillId="14" borderId="11" xfId="32" applyNumberFormat="1" applyFont="1" applyFill="1" applyBorder="1" applyAlignment="1" quotePrefix="1">
      <alignment horizontal="center" wrapText="1"/>
      <protection/>
    </xf>
    <xf numFmtId="0" fontId="17" fillId="16" borderId="12" xfId="0" applyFont="1" applyFill="1" applyBorder="1" applyAlignment="1">
      <alignment horizontal="left"/>
    </xf>
    <xf numFmtId="0" fontId="17" fillId="16" borderId="10" xfId="0" applyFont="1" applyFill="1" applyBorder="1" applyAlignment="1">
      <alignment horizontal="left"/>
    </xf>
    <xf numFmtId="0" fontId="17" fillId="16" borderId="11" xfId="0" applyFont="1" applyFill="1" applyBorder="1" applyAlignment="1">
      <alignment horizontal="left"/>
    </xf>
    <xf numFmtId="0" fontId="17" fillId="15" borderId="12" xfId="0" applyFont="1" applyFill="1" applyBorder="1" applyAlignment="1">
      <alignment horizontal="center" wrapText="1"/>
    </xf>
    <xf numFmtId="0" fontId="17" fillId="15" borderId="10" xfId="0" applyFont="1" applyFill="1" applyBorder="1" applyAlignment="1">
      <alignment horizontal="center" wrapText="1"/>
    </xf>
    <xf numFmtId="0" fontId="17" fillId="15" borderId="11" xfId="0" applyFont="1" applyFill="1" applyBorder="1" applyAlignment="1">
      <alignment horizontal="center" wrapText="1"/>
    </xf>
    <xf numFmtId="0" fontId="17" fillId="15" borderId="12" xfId="26" applyFont="1" applyFill="1" applyBorder="1" applyAlignment="1">
      <alignment horizontal="center" wrapText="1"/>
      <protection/>
    </xf>
    <xf numFmtId="0" fontId="17" fillId="15" borderId="10" xfId="26" applyFont="1" applyFill="1" applyBorder="1" applyAlignment="1">
      <alignment horizontal="center" wrapText="1"/>
      <protection/>
    </xf>
    <xf numFmtId="0" fontId="17" fillId="15" borderId="11" xfId="26" applyFont="1" applyFill="1" applyBorder="1" applyAlignment="1">
      <alignment horizontal="center" wrapText="1"/>
      <protection/>
    </xf>
    <xf numFmtId="0" fontId="0" fillId="12" borderId="27" xfId="0" applyFont="1" applyFill="1" applyBorder="1" applyAlignment="1">
      <alignment horizontal="center"/>
    </xf>
    <xf numFmtId="0" fontId="0" fillId="12" borderId="39" xfId="0" applyFont="1" applyFill="1" applyBorder="1" applyAlignment="1">
      <alignment horizontal="center"/>
    </xf>
    <xf numFmtId="0" fontId="0" fillId="12" borderId="57" xfId="0" applyFont="1" applyFill="1" applyBorder="1" applyAlignment="1">
      <alignment horizontal="center"/>
    </xf>
    <xf numFmtId="0" fontId="17" fillId="14" borderId="12" xfId="0" applyFont="1" applyFill="1" applyBorder="1" applyAlignment="1">
      <alignment horizontal="right"/>
    </xf>
    <xf numFmtId="0" fontId="17" fillId="14" borderId="10" xfId="0" applyFont="1" applyFill="1" applyBorder="1" applyAlignment="1">
      <alignment horizontal="right"/>
    </xf>
    <xf numFmtId="0" fontId="17" fillId="14" borderId="11" xfId="0" applyFont="1" applyFill="1" applyBorder="1" applyAlignment="1">
      <alignment horizontal="right"/>
    </xf>
    <xf numFmtId="0" fontId="0" fillId="12" borderId="12" xfId="0" applyFill="1" applyBorder="1" applyAlignment="1">
      <alignment horizontal="center"/>
    </xf>
    <xf numFmtId="0" fontId="0" fillId="12" borderId="10" xfId="0" applyFill="1" applyBorder="1" applyAlignment="1">
      <alignment horizontal="center"/>
    </xf>
  </cellXfs>
  <cellStyles count="20">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AWALLU" xfId="23"/>
    <cellStyle name="Normal_CEILINGU" xfId="24"/>
    <cellStyle name="Normal_ConMeasMultiFamily (2)" xfId="25"/>
    <cellStyle name="Normal_ConMeasSingleFamily" xfId="26"/>
    <cellStyle name="Normal_Existing SingleFamily" xfId="27"/>
    <cellStyle name="Normal_Multifamily Use" xfId="28"/>
    <cellStyle name="Normal_New Mobile Home" xfId="29"/>
    <cellStyle name="Normal_New Single Family" xfId="30"/>
    <cellStyle name="Normal_ProCost Template" xfId="31"/>
    <cellStyle name="Normal_T_Energy Use and Savings"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Cost vs UA for 924 sf</a:t>
            </a:r>
          </a:p>
        </c:rich>
      </c:tx>
      <c:layout/>
      <c:spPr>
        <a:noFill/>
        <a:ln>
          <a:noFill/>
        </a:ln>
      </c:spPr>
    </c:title>
    <c:plotArea>
      <c:layout/>
      <c:scatterChart>
        <c:scatterStyle val="lineMarker"/>
        <c:varyColors val="0"/>
        <c:ser>
          <c:idx val="1"/>
          <c:order val="0"/>
          <c:tx>
            <c:strRef>
              <c:f>UAOptimizer!$V$29</c:f>
              <c:strCache>
                <c:ptCount val="1"/>
                <c:pt idx="0">
                  <c:v>Cumulative Cost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0.0000000000"/>
            </c:trendlineLbl>
          </c:trendline>
          <c:xVal>
            <c:numRef>
              <c:f>UAOptimizer!$T$30:$T$37</c:f>
              <c:numCache>
                <c:ptCount val="8"/>
                <c:pt idx="0">
                  <c:v>0</c:v>
                </c:pt>
                <c:pt idx="1">
                  <c:v>0</c:v>
                </c:pt>
                <c:pt idx="2">
                  <c:v>0</c:v>
                </c:pt>
                <c:pt idx="3">
                  <c:v>0</c:v>
                </c:pt>
                <c:pt idx="4">
                  <c:v>0</c:v>
                </c:pt>
                <c:pt idx="5">
                  <c:v>0</c:v>
                </c:pt>
                <c:pt idx="6">
                  <c:v>0</c:v>
                </c:pt>
                <c:pt idx="7">
                  <c:v>0</c:v>
                </c:pt>
              </c:numCache>
            </c:numRef>
          </c:xVal>
          <c:yVal>
            <c:numRef>
              <c:f>UAOptimizer!$V$30:$V$37</c:f>
              <c:numCache>
                <c:ptCount val="8"/>
                <c:pt idx="0">
                  <c:v>0</c:v>
                </c:pt>
                <c:pt idx="1">
                  <c:v>0</c:v>
                </c:pt>
                <c:pt idx="2">
                  <c:v>0</c:v>
                </c:pt>
                <c:pt idx="3">
                  <c:v>0</c:v>
                </c:pt>
                <c:pt idx="4">
                  <c:v>0</c:v>
                </c:pt>
                <c:pt idx="5">
                  <c:v>0</c:v>
                </c:pt>
                <c:pt idx="6">
                  <c:v>0</c:v>
                </c:pt>
                <c:pt idx="7">
                  <c:v>0</c:v>
                </c:pt>
              </c:numCache>
            </c:numRef>
          </c:yVal>
          <c:smooth val="0"/>
        </c:ser>
        <c:axId val="44419675"/>
        <c:axId val="1597724"/>
      </c:scatterChart>
      <c:valAx>
        <c:axId val="44419675"/>
        <c:scaling>
          <c:orientation val="minMax"/>
        </c:scaling>
        <c:axPos val="b"/>
        <c:delete val="0"/>
        <c:numFmt formatCode="General" sourceLinked="1"/>
        <c:majorTickMark val="out"/>
        <c:minorTickMark val="none"/>
        <c:tickLblPos val="nextTo"/>
        <c:crossAx val="1597724"/>
        <c:crosses val="autoZero"/>
        <c:crossBetween val="midCat"/>
        <c:dispUnits/>
      </c:valAx>
      <c:valAx>
        <c:axId val="1597724"/>
        <c:scaling>
          <c:orientation val="minMax"/>
        </c:scaling>
        <c:axPos val="l"/>
        <c:majorGridlines/>
        <c:delete val="0"/>
        <c:numFmt formatCode="General" sourceLinked="1"/>
        <c:majorTickMark val="out"/>
        <c:minorTickMark val="none"/>
        <c:tickLblPos val="nextTo"/>
        <c:crossAx val="444196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Cost vs UA for 924 sf</a:t>
            </a:r>
          </a:p>
        </c:rich>
      </c:tx>
      <c:layout/>
      <c:spPr>
        <a:noFill/>
        <a:ln>
          <a:noFill/>
        </a:ln>
      </c:spPr>
    </c:title>
    <c:plotArea>
      <c:layout/>
      <c:scatterChart>
        <c:scatterStyle val="lineMarker"/>
        <c:varyColors val="0"/>
        <c:ser>
          <c:idx val="0"/>
          <c:order val="0"/>
          <c:tx>
            <c:strRef>
              <c:f>UAOptimizer!$AC$29</c:f>
              <c:strCache>
                <c:ptCount val="1"/>
                <c:pt idx="0">
                  <c:v>Cum Cost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0.0000000000"/>
            </c:trendlineLbl>
          </c:trendline>
          <c:xVal>
            <c:numRef>
              <c:f>UAOptimizer!$AA$30:$AA$37</c:f>
              <c:numCache>
                <c:ptCount val="8"/>
                <c:pt idx="0">
                  <c:v>0</c:v>
                </c:pt>
                <c:pt idx="1">
                  <c:v>0</c:v>
                </c:pt>
                <c:pt idx="2">
                  <c:v>0</c:v>
                </c:pt>
                <c:pt idx="3">
                  <c:v>0</c:v>
                </c:pt>
                <c:pt idx="4">
                  <c:v>0</c:v>
                </c:pt>
                <c:pt idx="5">
                  <c:v>0</c:v>
                </c:pt>
                <c:pt idx="6">
                  <c:v>0</c:v>
                </c:pt>
                <c:pt idx="7">
                  <c:v>0</c:v>
                </c:pt>
              </c:numCache>
            </c:numRef>
          </c:xVal>
          <c:yVal>
            <c:numRef>
              <c:f>UAOptimizer!$AC$30:$AC$37</c:f>
              <c:numCache>
                <c:ptCount val="8"/>
                <c:pt idx="0">
                  <c:v>0</c:v>
                </c:pt>
                <c:pt idx="1">
                  <c:v>0</c:v>
                </c:pt>
                <c:pt idx="2">
                  <c:v>0</c:v>
                </c:pt>
                <c:pt idx="3">
                  <c:v>0</c:v>
                </c:pt>
                <c:pt idx="4">
                  <c:v>0</c:v>
                </c:pt>
                <c:pt idx="5">
                  <c:v>0</c:v>
                </c:pt>
                <c:pt idx="6">
                  <c:v>0</c:v>
                </c:pt>
                <c:pt idx="7">
                  <c:v>0</c:v>
                </c:pt>
              </c:numCache>
            </c:numRef>
          </c:yVal>
          <c:smooth val="0"/>
        </c:ser>
        <c:axId val="36743197"/>
        <c:axId val="39497566"/>
      </c:scatterChart>
      <c:valAx>
        <c:axId val="36743197"/>
        <c:scaling>
          <c:orientation val="minMax"/>
        </c:scaling>
        <c:axPos val="b"/>
        <c:delete val="0"/>
        <c:numFmt formatCode="General" sourceLinked="1"/>
        <c:majorTickMark val="out"/>
        <c:minorTickMark val="none"/>
        <c:tickLblPos val="nextTo"/>
        <c:crossAx val="39497566"/>
        <c:crosses val="autoZero"/>
        <c:crossBetween val="midCat"/>
        <c:dispUnits/>
      </c:valAx>
      <c:valAx>
        <c:axId val="39497566"/>
        <c:scaling>
          <c:orientation val="minMax"/>
        </c:scaling>
        <c:axPos val="l"/>
        <c:majorGridlines/>
        <c:delete val="0"/>
        <c:numFmt formatCode="General" sourceLinked="1"/>
        <c:majorTickMark val="out"/>
        <c:minorTickMark val="none"/>
        <c:tickLblPos val="nextTo"/>
        <c:crossAx val="3674319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14.emf" /><Relationship Id="rId8" Type="http://schemas.openxmlformats.org/officeDocument/2006/relationships/image" Target="../media/image13.emf" /><Relationship Id="rId9" Type="http://schemas.openxmlformats.org/officeDocument/2006/relationships/image" Target="../media/image15.emf" /><Relationship Id="rId10" Type="http://schemas.openxmlformats.org/officeDocument/2006/relationships/image" Target="../media/image12.emf" /><Relationship Id="rId11" Type="http://schemas.openxmlformats.org/officeDocument/2006/relationships/image" Target="../media/image5.emf" /><Relationship Id="rId12" Type="http://schemas.openxmlformats.org/officeDocument/2006/relationships/image" Target="../media/image4.emf" /><Relationship Id="rId13" Type="http://schemas.openxmlformats.org/officeDocument/2006/relationships/image" Target="../media/image6.emf" /><Relationship Id="rId14" Type="http://schemas.openxmlformats.org/officeDocument/2006/relationships/image" Target="../media/image9.emf" /><Relationship Id="rId15"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7"/>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38</xdr:row>
      <xdr:rowOff>180975</xdr:rowOff>
    </xdr:from>
    <xdr:to>
      <xdr:col>22</xdr:col>
      <xdr:colOff>266700</xdr:colOff>
      <xdr:row>57</xdr:row>
      <xdr:rowOff>66675</xdr:rowOff>
    </xdr:to>
    <xdr:graphicFrame>
      <xdr:nvGraphicFramePr>
        <xdr:cNvPr id="1" name="Chart 48"/>
        <xdr:cNvGraphicFramePr/>
      </xdr:nvGraphicFramePr>
      <xdr:xfrm>
        <a:off x="16402050" y="8115300"/>
        <a:ext cx="6248400" cy="36766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39</xdr:row>
      <xdr:rowOff>0</xdr:rowOff>
    </xdr:from>
    <xdr:to>
      <xdr:col>31</xdr:col>
      <xdr:colOff>190500</xdr:colOff>
      <xdr:row>58</xdr:row>
      <xdr:rowOff>0</xdr:rowOff>
    </xdr:to>
    <xdr:graphicFrame>
      <xdr:nvGraphicFramePr>
        <xdr:cNvPr id="2" name="Chart 49"/>
        <xdr:cNvGraphicFramePr/>
      </xdr:nvGraphicFramePr>
      <xdr:xfrm>
        <a:off x="25146000" y="8134350"/>
        <a:ext cx="8277225" cy="3781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2:AL7"/>
  <sheetViews>
    <sheetView tabSelected="1" zoomScale="120" zoomScaleNormal="12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29.7109375" style="0" customWidth="1"/>
    <col min="2" max="2" width="58.8515625" style="0" customWidth="1"/>
    <col min="3" max="3" width="16.7109375" style="0" customWidth="1"/>
    <col min="4" max="4" width="8.28125" style="0" customWidth="1"/>
    <col min="5" max="5" width="10.140625" style="0" customWidth="1"/>
    <col min="6" max="6" width="10.8515625" style="0" customWidth="1"/>
    <col min="7" max="7" width="12.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4.4218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140625" style="0" customWidth="1"/>
  </cols>
  <sheetData>
    <row r="1" ht="13.5" thickBot="1"/>
    <row r="2" spans="1:36" s="76" customFormat="1" ht="15.75" thickBot="1">
      <c r="A2" s="425" t="s">
        <v>111</v>
      </c>
      <c r="B2" s="426"/>
      <c r="C2" s="426"/>
      <c r="D2" s="426"/>
      <c r="E2" s="426"/>
      <c r="F2" s="426"/>
      <c r="G2" s="426"/>
      <c r="H2" s="426"/>
      <c r="I2" s="426"/>
      <c r="J2" s="426"/>
      <c r="K2" s="426"/>
      <c r="L2" s="426"/>
      <c r="M2" s="426"/>
      <c r="N2" s="426"/>
      <c r="O2" s="426"/>
      <c r="P2" s="426"/>
      <c r="Q2" s="426"/>
      <c r="R2" s="426"/>
      <c r="S2" s="426"/>
      <c r="T2" s="426"/>
      <c r="U2" s="426"/>
      <c r="V2" s="426"/>
      <c r="W2" s="427"/>
      <c r="X2" s="425" t="s">
        <v>112</v>
      </c>
      <c r="Y2" s="426"/>
      <c r="Z2" s="427"/>
      <c r="AA2" s="426" t="s">
        <v>113</v>
      </c>
      <c r="AB2" s="426"/>
      <c r="AC2" s="426"/>
      <c r="AD2" s="429"/>
      <c r="AE2" s="428" t="s">
        <v>114</v>
      </c>
      <c r="AF2" s="426"/>
      <c r="AG2" s="426"/>
      <c r="AH2" s="429"/>
      <c r="AI2" s="74"/>
      <c r="AJ2" s="75"/>
    </row>
    <row r="3" spans="1:38" s="80" customFormat="1" ht="79.5" thickBot="1">
      <c r="A3" s="77" t="s">
        <v>115</v>
      </c>
      <c r="B3" s="78" t="s">
        <v>116</v>
      </c>
      <c r="C3" s="78" t="s">
        <v>117</v>
      </c>
      <c r="D3" s="78" t="s">
        <v>118</v>
      </c>
      <c r="E3" s="78" t="s">
        <v>151</v>
      </c>
      <c r="F3" s="78" t="s">
        <v>152</v>
      </c>
      <c r="G3" s="78" t="s">
        <v>153</v>
      </c>
      <c r="H3" s="78" t="s">
        <v>119</v>
      </c>
      <c r="I3" s="78" t="s">
        <v>154</v>
      </c>
      <c r="J3" s="78" t="s">
        <v>120</v>
      </c>
      <c r="K3" s="78" t="s">
        <v>121</v>
      </c>
      <c r="L3" s="78" t="s">
        <v>122</v>
      </c>
      <c r="M3" s="78" t="s">
        <v>123</v>
      </c>
      <c r="N3" s="78" t="s">
        <v>155</v>
      </c>
      <c r="O3" s="78" t="s">
        <v>124</v>
      </c>
      <c r="P3" s="78" t="s">
        <v>156</v>
      </c>
      <c r="Q3" s="78" t="s">
        <v>125</v>
      </c>
      <c r="R3" s="78" t="s">
        <v>126</v>
      </c>
      <c r="S3" s="78" t="s">
        <v>133</v>
      </c>
      <c r="T3" s="78" t="s">
        <v>134</v>
      </c>
      <c r="U3" s="78" t="s">
        <v>135</v>
      </c>
      <c r="V3" s="78" t="s">
        <v>136</v>
      </c>
      <c r="W3" s="78" t="s">
        <v>137</v>
      </c>
      <c r="X3" s="77" t="s">
        <v>138</v>
      </c>
      <c r="Y3" s="77" t="s">
        <v>139</v>
      </c>
      <c r="Z3" s="78" t="s">
        <v>140</v>
      </c>
      <c r="AA3" s="78" t="s">
        <v>141</v>
      </c>
      <c r="AB3" s="78" t="s">
        <v>142</v>
      </c>
      <c r="AC3" s="78" t="s">
        <v>143</v>
      </c>
      <c r="AD3" s="78" t="s">
        <v>144</v>
      </c>
      <c r="AE3" s="78" t="s">
        <v>145</v>
      </c>
      <c r="AF3" s="78" t="s">
        <v>146</v>
      </c>
      <c r="AG3" s="78" t="s">
        <v>147</v>
      </c>
      <c r="AH3" s="79" t="s">
        <v>137</v>
      </c>
      <c r="AI3" s="94" t="s">
        <v>148</v>
      </c>
      <c r="AJ3" s="94" t="s">
        <v>149</v>
      </c>
      <c r="AK3" s="94" t="s">
        <v>61</v>
      </c>
      <c r="AL3" s="76"/>
    </row>
    <row r="4" spans="1:38" ht="67.5">
      <c r="A4" s="88" t="str">
        <f>ResWXMH!B23</f>
        <v>Manufactured Home Weatherization - Heating Zone 3</v>
      </c>
      <c r="B4" s="81" t="str">
        <f>VLOOKUP($A4,LookupTable!$A$2:$D$5,2,0)</f>
        <v>Measures must be installed in substantial compliance with WeatherWise specifications for manufactured homes</v>
      </c>
      <c r="C4" s="81" t="str">
        <f>VLOOKUP($A4,LookupTable!$A$2:$D$5,3,0)</f>
        <v>Existing manufactured home w/Electric Heat per WeatherWise Specifications</v>
      </c>
      <c r="D4" s="81" t="str">
        <f>VLOOKUP($A4,LookupTable!$A$2:$D$5,4,0)</f>
        <v>Heating Zone 3</v>
      </c>
      <c r="E4" s="173">
        <f>ResWXMH!E23</f>
        <v>1166.05</v>
      </c>
      <c r="F4" s="82">
        <f>ResWXMH!F23</f>
        <v>0</v>
      </c>
      <c r="G4" s="82">
        <f>ResWXMH!G23</f>
        <v>0</v>
      </c>
      <c r="H4" s="83">
        <f>ResWXMH!C23</f>
        <v>25</v>
      </c>
      <c r="I4" s="83" t="s">
        <v>161</v>
      </c>
      <c r="J4" s="174">
        <f>ResWXMH!D23</f>
        <v>2653.608861997054</v>
      </c>
      <c r="K4" s="174">
        <f>ResWXMH!K23</f>
        <v>2855.946537724329</v>
      </c>
      <c r="L4" s="85">
        <f>ResWXMH!J23</f>
        <v>0.4009999930858612</v>
      </c>
      <c r="M4" s="90">
        <f>ResWXMH!L23</f>
        <v>0.6225454130686264</v>
      </c>
      <c r="N4" s="89">
        <f>ResWXMH!N23/ResWXMH!K23</f>
        <v>0.4082899429006259</v>
      </c>
      <c r="O4" s="89">
        <f>ResWXMH!O23/ResWXMH!$K23</f>
        <v>0</v>
      </c>
      <c r="P4" s="89">
        <f>ResWXMH!P23/ResWXMH!$K23</f>
        <v>0</v>
      </c>
      <c r="Q4" s="89">
        <f>SUM(N4:O4)</f>
        <v>0.4082899429006259</v>
      </c>
      <c r="R4" s="84">
        <f>ResWXMH!S23/ResWXMH!K23</f>
        <v>0.3530039812085079</v>
      </c>
      <c r="S4" s="84">
        <f>ResWXMH!T23/ResWXMH!$K23</f>
        <v>0.009452125898988813</v>
      </c>
      <c r="T4" s="84">
        <f>ResWXMH!U23/ResWXMH!$K23</f>
        <v>0.051204427110798305</v>
      </c>
      <c r="U4" s="84">
        <f>SUM(R4:T4)</f>
        <v>0.413660534218295</v>
      </c>
      <c r="V4" s="84">
        <f>U4-Q4</f>
        <v>0.005370591317669093</v>
      </c>
      <c r="W4" s="85">
        <f>U4/Q4</f>
        <v>1.0131538662929453</v>
      </c>
      <c r="X4" s="85">
        <f>ResWXMH!I23</f>
        <v>0.21</v>
      </c>
      <c r="Y4" s="90">
        <f>ResWXMH!M23</f>
        <v>1.5524823665618896</v>
      </c>
      <c r="Z4" s="85">
        <f>ResWXMH!Y23/ResWXMH!K23</f>
        <v>0.15714257815188581</v>
      </c>
      <c r="AA4" s="84" t="s">
        <v>213</v>
      </c>
      <c r="AB4" s="91" t="s">
        <v>214</v>
      </c>
      <c r="AC4" s="84">
        <f>ResWXMH!Z23/ResWXMH!$K23</f>
        <v>0</v>
      </c>
      <c r="AD4" s="84">
        <f>ResWXMH!AA23/ResWXMH!$K23</f>
        <v>0</v>
      </c>
      <c r="AE4" s="84">
        <f>ResWXMH!AC23/ResWXMH!$K23</f>
        <v>0.40828992553476984</v>
      </c>
      <c r="AF4" s="84">
        <f>ResWXMH!AB23/ResWXMH!$K23</f>
        <v>0.5703745097915234</v>
      </c>
      <c r="AG4" s="84">
        <f>AF4-AE4</f>
        <v>0.16208458425675354</v>
      </c>
      <c r="AH4" s="85">
        <f>AF4/AE4</f>
        <v>1.3969840403102243</v>
      </c>
      <c r="AI4" s="95" t="s">
        <v>217</v>
      </c>
      <c r="AJ4" s="95" t="s">
        <v>162</v>
      </c>
      <c r="AK4" s="422">
        <f>VLOOKUP(A4,ResWXMH!$B$23:$R$26,17,0)</f>
        <v>28.24759086294344</v>
      </c>
      <c r="AL4" s="176"/>
    </row>
    <row r="5" spans="1:38" ht="67.5">
      <c r="A5" s="88" t="str">
        <f>ResWXMH!B24</f>
        <v>Manufactured Home Weatherization - Heating Zone 2</v>
      </c>
      <c r="B5" s="81" t="str">
        <f>VLOOKUP($A5,LookupTable!$A$2:$D$5,2,0)</f>
        <v>Measures must be installed in substantial compliance with WeatherWise specifications for manufactured homes</v>
      </c>
      <c r="C5" s="81" t="str">
        <f>VLOOKUP($A5,LookupTable!$A$2:$D$5,3,0)</f>
        <v>Existing manufactured home w/Electric Heat per WeatherWise Specifications</v>
      </c>
      <c r="D5" s="81" t="str">
        <f>VLOOKUP($A5,LookupTable!$A$2:$D$5,4,0)</f>
        <v>Heating Zone 2</v>
      </c>
      <c r="E5" s="173">
        <f>ResWXMH!E24</f>
        <v>1166.05</v>
      </c>
      <c r="F5" s="82">
        <f>ResWXMH!F24</f>
        <v>0</v>
      </c>
      <c r="G5" s="82">
        <f>ResWXMH!G24</f>
        <v>0</v>
      </c>
      <c r="H5" s="83">
        <f>ResWXMH!C24</f>
        <v>25</v>
      </c>
      <c r="I5" s="83" t="s">
        <v>161</v>
      </c>
      <c r="J5" s="182">
        <f>ResWXMH!D24</f>
        <v>2251.371676282968</v>
      </c>
      <c r="K5" s="182">
        <f>ResWXMH!K24</f>
        <v>2423.0387665995445</v>
      </c>
      <c r="L5" s="85">
        <f>ResWXMH!J24</f>
        <v>0.4009999930858612</v>
      </c>
      <c r="M5" s="90">
        <f>ResWXMH!L24</f>
        <v>0.5281792393200647</v>
      </c>
      <c r="N5" s="89">
        <f>ResWXMH!N24/ResWXMH!K24</f>
        <v>0.4812363156909492</v>
      </c>
      <c r="O5" s="89">
        <f>ResWXMH!O24/ResWXMH!$K24</f>
        <v>0</v>
      </c>
      <c r="P5" s="89">
        <f>ResWXMH!P24/ResWXMH!$K24</f>
        <v>0</v>
      </c>
      <c r="Q5" s="89">
        <f>SUM(N5:O5)</f>
        <v>0.4812363156909492</v>
      </c>
      <c r="R5" s="84">
        <f>ResWXMH!S24/ResWXMH!K24</f>
        <v>0.35300398120850784</v>
      </c>
      <c r="S5" s="84">
        <f>ResWXMH!T24/ResWXMH!$K24</f>
        <v>0.009452125438202098</v>
      </c>
      <c r="T5" s="84">
        <f>ResWXMH!U24/ResWXMH!$K24</f>
        <v>0.05120442420519909</v>
      </c>
      <c r="U5" s="84">
        <f>SUM(R5:T5)</f>
        <v>0.41366053085190907</v>
      </c>
      <c r="V5" s="84">
        <f>U5-Q5</f>
        <v>-0.06757578483904014</v>
      </c>
      <c r="W5" s="85">
        <f>U5/Q5</f>
        <v>0.8595787918831184</v>
      </c>
      <c r="X5" s="85">
        <f>ResWXMH!I24</f>
        <v>0.21</v>
      </c>
      <c r="Y5" s="90">
        <f>ResWXMH!M24</f>
        <v>1.3171552419662476</v>
      </c>
      <c r="Z5" s="85">
        <f>ResWXMH!Y24/ResWXMH!K24</f>
        <v>0.15714255894526505</v>
      </c>
      <c r="AA5" s="84" t="s">
        <v>213</v>
      </c>
      <c r="AB5" s="91"/>
      <c r="AC5" s="84">
        <f>ResWXMH!Z24/ResWXMH!$K24</f>
        <v>0</v>
      </c>
      <c r="AD5" s="84">
        <f>ResWXMH!AA24/ResWXMH!$K24</f>
        <v>0</v>
      </c>
      <c r="AE5" s="84">
        <f>ResWXMH!AC24/ResWXMH!$K24</f>
        <v>0.4812362952224543</v>
      </c>
      <c r="AF5" s="84">
        <f>ResWXMH!AB24/ResWXMH!$K24</f>
        <v>0.570374510648372</v>
      </c>
      <c r="AG5" s="84">
        <f>AF5-AE5</f>
        <v>0.08913821542591766</v>
      </c>
      <c r="AH5" s="85">
        <f>AF5/AE5</f>
        <v>1.1852275406299373</v>
      </c>
      <c r="AI5" s="95" t="s">
        <v>217</v>
      </c>
      <c r="AJ5" s="95" t="s">
        <v>162</v>
      </c>
      <c r="AK5" s="422">
        <f>VLOOKUP(A5,ResWXMH!$B$23:$R$26,17,0)</f>
        <v>33.29439480545036</v>
      </c>
      <c r="AL5" s="176"/>
    </row>
    <row r="6" spans="1:38" ht="67.5">
      <c r="A6" s="88" t="str">
        <f>ResWXMH!B25</f>
        <v>Manufactured Home Weatherization - PNW Average Climate</v>
      </c>
      <c r="B6" s="81" t="str">
        <f>VLOOKUP($A6,LookupTable!$A$2:$D$5,2,0)</f>
        <v>Measures must be installed in substantial compliance with WeatherWise specifications for manufactured homes</v>
      </c>
      <c r="C6" s="81" t="str">
        <f>VLOOKUP($A6,LookupTable!$A$2:$D$5,3,0)</f>
        <v>Existing manufactured home w/Electric Heat per WeatherWise Specifications</v>
      </c>
      <c r="D6" s="81" t="str">
        <f>VLOOKUP($A6,LookupTable!$A$2:$D$5,4,0)</f>
        <v>PNW Average Climate</v>
      </c>
      <c r="E6" s="173">
        <f>ResWXMH!E25</f>
        <v>1166.05</v>
      </c>
      <c r="F6" s="82">
        <f>ResWXMH!F25</f>
        <v>0</v>
      </c>
      <c r="G6" s="82">
        <f>ResWXMH!G25</f>
        <v>0</v>
      </c>
      <c r="H6" s="83">
        <f>ResWXMH!C25</f>
        <v>25</v>
      </c>
      <c r="I6" s="83" t="s">
        <v>161</v>
      </c>
      <c r="J6" s="174">
        <f>ResWXMH!D25</f>
        <v>1883.3856776131124</v>
      </c>
      <c r="K6" s="174">
        <f>ResWXMH!K25</f>
        <v>2026.9938355311122</v>
      </c>
      <c r="L6" s="85">
        <f>ResWXMH!J25</f>
        <v>0.4009999930858612</v>
      </c>
      <c r="M6" s="90">
        <f>ResWXMH!L25</f>
        <v>0.4418485073021631</v>
      </c>
      <c r="N6" s="89">
        <f>ResWXMH!N25/ResWXMH!K25</f>
        <v>0.5752628490402772</v>
      </c>
      <c r="O6" s="89">
        <f>ResWXMH!O25/ResWXMH!$K25</f>
        <v>0</v>
      </c>
      <c r="P6" s="89">
        <f>ResWXMH!P25/ResWXMH!$K25</f>
        <v>0</v>
      </c>
      <c r="Q6" s="89">
        <f>SUM(N6:O6)</f>
        <v>0.5752628490402772</v>
      </c>
      <c r="R6" s="84">
        <f>ResWXMH!S25/ResWXMH!K25</f>
        <v>0.35300398120850823</v>
      </c>
      <c r="S6" s="84">
        <f>ResWXMH!T25/ResWXMH!$K25</f>
        <v>0.009452125903935602</v>
      </c>
      <c r="T6" s="84">
        <f>ResWXMH!U25/ResWXMH!$K25</f>
        <v>0.05120442497289458</v>
      </c>
      <c r="U6" s="84">
        <f>SUM(R6:T6)</f>
        <v>0.41366053208533843</v>
      </c>
      <c r="V6" s="84">
        <f>U6-Q6</f>
        <v>-0.16160231695493882</v>
      </c>
      <c r="W6" s="85">
        <f>U6/Q6</f>
        <v>0.719080908449862</v>
      </c>
      <c r="X6" s="85">
        <f>ResWXMH!I25</f>
        <v>0.21</v>
      </c>
      <c r="Y6" s="90">
        <f>ResWXMH!M25</f>
        <v>1.101866602897644</v>
      </c>
      <c r="Z6" s="85">
        <f>ResWXMH!Y25/ResWXMH!K25</f>
        <v>0.15714254871209424</v>
      </c>
      <c r="AA6" s="84" t="s">
        <v>213</v>
      </c>
      <c r="AB6" s="91"/>
      <c r="AC6" s="84">
        <f>ResWXMH!Z25/ResWXMH!$K25</f>
        <v>0</v>
      </c>
      <c r="AD6" s="84">
        <f>ResWXMH!AA25/ResWXMH!$K25</f>
        <v>0</v>
      </c>
      <c r="AE6" s="84">
        <f>ResWXMH!AC25/ResWXMH!$K25</f>
        <v>0.575262824572538</v>
      </c>
      <c r="AF6" s="84">
        <f>ResWXMH!AB25/ResWXMH!$K25</f>
        <v>0.5703745169900232</v>
      </c>
      <c r="AG6" s="84">
        <f>AF6-AE6</f>
        <v>-0.004888307582514795</v>
      </c>
      <c r="AH6" s="85">
        <f>AF6/AE6</f>
        <v>0.9915024796080867</v>
      </c>
      <c r="AI6" s="95" t="s">
        <v>217</v>
      </c>
      <c r="AJ6" s="95" t="s">
        <v>162</v>
      </c>
      <c r="AK6" s="422">
        <f>VLOOKUP(A6,ResWXMH!$B$23:$R$26,17,0)</f>
        <v>39.79963229781538</v>
      </c>
      <c r="AL6" s="176"/>
    </row>
    <row r="7" spans="1:38" ht="67.5">
      <c r="A7" s="88" t="str">
        <f>ResWXMH!B26</f>
        <v>Manufactured Home Weatherization - Heating Zone 1</v>
      </c>
      <c r="B7" s="81" t="str">
        <f>VLOOKUP($A7,LookupTable!$A$2:$D$5,2,0)</f>
        <v>Measures must be installed in substantial compliance with WeatherWise specifications for manufactured homes</v>
      </c>
      <c r="C7" s="81" t="str">
        <f>VLOOKUP($A7,LookupTable!$A$2:$D$5,3,0)</f>
        <v>Existing manufactured home w/Electric Heat per WeatherWise Specifications</v>
      </c>
      <c r="D7" s="81" t="str">
        <f>VLOOKUP($A7,LookupTable!$A$2:$D$5,4,0)</f>
        <v>Heating Zone 1</v>
      </c>
      <c r="E7" s="82">
        <f>ResWXMH!E26</f>
        <v>1166.05</v>
      </c>
      <c r="F7" s="82">
        <f>ResWXMH!F26</f>
        <v>0</v>
      </c>
      <c r="G7" s="82">
        <f>ResWXMH!G26</f>
        <v>0</v>
      </c>
      <c r="H7" s="83">
        <f>ResWXMH!C26</f>
        <v>25</v>
      </c>
      <c r="I7" s="83" t="s">
        <v>161</v>
      </c>
      <c r="J7" s="174">
        <f>ResWXMH!D26</f>
        <v>1738.6876463825347</v>
      </c>
      <c r="K7" s="174">
        <f>ResWXMH!K26</f>
        <v>1871.262579419203</v>
      </c>
      <c r="L7" s="85">
        <f>ResWXMH!J26</f>
        <v>0.4009999930858612</v>
      </c>
      <c r="M7" s="90">
        <f>ResWXMH!L26</f>
        <v>0.40790187073762296</v>
      </c>
      <c r="N7" s="89">
        <f>ResWXMH!N26/ResWXMH!K26</f>
        <v>0.6231376941105845</v>
      </c>
      <c r="O7" s="89">
        <f>ResWXMH!O26/ResWXMH!$K26</f>
        <v>0</v>
      </c>
      <c r="P7" s="89">
        <f>ResWXMH!P26/ResWXMH!$K26</f>
        <v>0</v>
      </c>
      <c r="Q7" s="89">
        <f>SUM(N7:O7)</f>
        <v>0.6231376941105845</v>
      </c>
      <c r="R7" s="84">
        <f>ResWXMH!S26/ResWXMH!K26</f>
        <v>0.3530039812085085</v>
      </c>
      <c r="S7" s="84">
        <f>ResWXMH!T26/ResWXMH!$K26</f>
        <v>0.009452125341359304</v>
      </c>
      <c r="T7" s="84">
        <f>ResWXMH!U26/ResWXMH!$K26</f>
        <v>0.05120442534503496</v>
      </c>
      <c r="U7" s="84">
        <f>SUM(R7:T7)</f>
        <v>0.41366053189490276</v>
      </c>
      <c r="V7" s="84">
        <f>U7-Q7</f>
        <v>-0.20947716221568174</v>
      </c>
      <c r="W7" s="85">
        <f>U7/Q7</f>
        <v>0.6638348727809313</v>
      </c>
      <c r="X7" s="85">
        <f>ResWXMH!I26</f>
        <v>0.21</v>
      </c>
      <c r="Y7" s="90">
        <f>ResWXMH!M26</f>
        <v>1.017211675643921</v>
      </c>
      <c r="Z7" s="85">
        <f>ResWXMH!Y26/ResWXMH!K26</f>
        <v>0.1571425602744908</v>
      </c>
      <c r="AA7" s="84" t="s">
        <v>213</v>
      </c>
      <c r="AB7" s="91"/>
      <c r="AC7" s="84">
        <f>ResWXMH!Z26/ResWXMH!$K26</f>
        <v>0</v>
      </c>
      <c r="AD7" s="84">
        <f>ResWXMH!AA26/ResWXMH!$K26</f>
        <v>0</v>
      </c>
      <c r="AE7" s="84">
        <f>ResWXMH!AC26/ResWXMH!$K26</f>
        <v>0.6231376676065774</v>
      </c>
      <c r="AF7" s="84">
        <f>ResWXMH!AB26/ResWXMH!$K26</f>
        <v>0.5703744874231303</v>
      </c>
      <c r="AG7" s="84">
        <f>AF7-AE7</f>
        <v>-0.052763180183447056</v>
      </c>
      <c r="AH7" s="85">
        <f>AF7/AE7</f>
        <v>0.9153266077043516</v>
      </c>
      <c r="AI7" s="95" t="s">
        <v>217</v>
      </c>
      <c r="AJ7" s="95" t="s">
        <v>162</v>
      </c>
      <c r="AK7" s="422">
        <f>VLOOKUP(A7,ResWXMH!$B$23:$R$26,17,0)</f>
        <v>43.11185945326602</v>
      </c>
      <c r="AL7" s="176"/>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25</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157</v>
      </c>
      <c r="E8" s="31" t="b">
        <v>0</v>
      </c>
      <c r="F8" s="16"/>
      <c r="G8" s="5"/>
      <c r="H8" s="5"/>
      <c r="I8"/>
      <c r="J8"/>
      <c r="K8"/>
    </row>
    <row r="9" spans="1:11" ht="15" customHeight="1">
      <c r="A9" s="17" t="s">
        <v>24</v>
      </c>
      <c r="B9" s="21">
        <v>1</v>
      </c>
      <c r="C9" s="4"/>
      <c r="D9" s="92" t="s">
        <v>209</v>
      </c>
      <c r="E9" s="31" t="b">
        <v>1</v>
      </c>
      <c r="F9"/>
      <c r="G9" s="5"/>
      <c r="H9" s="5"/>
      <c r="I9"/>
      <c r="J9"/>
      <c r="K9"/>
    </row>
    <row r="10" spans="1:10" ht="15" customHeight="1">
      <c r="A10" s="17" t="s">
        <v>25</v>
      </c>
      <c r="B10" s="21">
        <v>0</v>
      </c>
      <c r="C10" s="4"/>
      <c r="D10" s="30" t="s">
        <v>210</v>
      </c>
      <c r="E10" s="32" t="b">
        <v>1</v>
      </c>
      <c r="F10" s="8"/>
      <c r="G10" s="9"/>
      <c r="H10" s="5"/>
      <c r="I10"/>
      <c r="J10"/>
    </row>
    <row r="11" spans="1:11" s="10" customFormat="1" ht="15" customHeight="1">
      <c r="A11" s="87" t="s">
        <v>26</v>
      </c>
      <c r="B11" s="21">
        <v>0</v>
      </c>
      <c r="C11" s="4"/>
      <c r="D11" s="30" t="s">
        <v>211</v>
      </c>
      <c r="E11" s="32" t="b">
        <v>1</v>
      </c>
      <c r="F11" s="5"/>
      <c r="G11" s="5"/>
      <c r="H11" s="5"/>
      <c r="I11"/>
      <c r="J11"/>
      <c r="K11" s="3"/>
    </row>
    <row r="12" spans="1:10" ht="15" customHeight="1">
      <c r="A12" s="17" t="s">
        <v>27</v>
      </c>
      <c r="B12" s="18">
        <v>25</v>
      </c>
      <c r="C12" s="4"/>
      <c r="D12" s="30" t="s">
        <v>212</v>
      </c>
      <c r="E12" s="32" t="b">
        <v>0</v>
      </c>
      <c r="F12" s="4"/>
      <c r="G12" s="5"/>
      <c r="H12" s="5"/>
      <c r="I12"/>
      <c r="J12" s="11"/>
    </row>
    <row r="13" spans="1:9" ht="15" customHeight="1">
      <c r="A13" s="34" t="s">
        <v>29</v>
      </c>
      <c r="B13" s="20">
        <v>0.025</v>
      </c>
      <c r="C13" s="4"/>
      <c r="D13" s="17" t="s">
        <v>255</v>
      </c>
      <c r="E13" s="33" t="b">
        <v>0</v>
      </c>
      <c r="F13" s="4"/>
      <c r="G13" s="5"/>
      <c r="H13" s="5"/>
      <c r="I13"/>
    </row>
    <row r="14" spans="1:9" ht="15" customHeight="1">
      <c r="A14" s="34" t="s">
        <v>28</v>
      </c>
      <c r="B14" s="22">
        <v>3</v>
      </c>
      <c r="C14" s="4"/>
      <c r="D14" s="17" t="s">
        <v>256</v>
      </c>
      <c r="E14" s="33" t="b">
        <v>0</v>
      </c>
      <c r="F14" s="5"/>
      <c r="G14" s="5"/>
      <c r="H14" s="5"/>
      <c r="I14"/>
    </row>
    <row r="15" spans="1:9" ht="14.25">
      <c r="A15" s="34" t="s">
        <v>30</v>
      </c>
      <c r="B15" s="20">
        <v>0.05</v>
      </c>
      <c r="C15" s="4"/>
      <c r="D15" s="17" t="s">
        <v>257</v>
      </c>
      <c r="E15" s="33" t="b">
        <v>0</v>
      </c>
      <c r="F15" s="5"/>
      <c r="G15" s="13"/>
      <c r="H15" s="5"/>
      <c r="I15"/>
    </row>
    <row r="16" spans="1:9" ht="14.25">
      <c r="A16" s="34" t="s">
        <v>31</v>
      </c>
      <c r="B16" s="22">
        <v>20</v>
      </c>
      <c r="C16" s="4"/>
      <c r="D16" s="17"/>
      <c r="E16" s="33" t="b">
        <v>0</v>
      </c>
      <c r="F16" s="4"/>
      <c r="G16" s="5"/>
      <c r="H16" s="5"/>
      <c r="I16" s="5"/>
    </row>
    <row r="17" spans="1:9" ht="14.25">
      <c r="A17" s="17" t="s">
        <v>14</v>
      </c>
      <c r="B17" s="23">
        <v>0</v>
      </c>
      <c r="C17" s="4"/>
      <c r="D17" s="17"/>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430" t="s">
        <v>312</v>
      </c>
      <c r="C21" s="431"/>
      <c r="D21" s="432"/>
      <c r="E21" s="12"/>
      <c r="F21" s="5"/>
      <c r="G21" s="5"/>
      <c r="H21" s="14"/>
      <c r="I21" s="5"/>
    </row>
    <row r="22" spans="1:9" ht="14.25">
      <c r="A22" s="34" t="s">
        <v>0</v>
      </c>
      <c r="B22" s="7" t="s">
        <v>254</v>
      </c>
      <c r="C22" s="4"/>
      <c r="D22" s="4"/>
      <c r="E22" s="4"/>
      <c r="F22" s="5"/>
      <c r="G22" s="5"/>
      <c r="H22" s="5"/>
      <c r="I22" s="5"/>
    </row>
    <row r="23" spans="1:9" ht="14.25">
      <c r="A23" s="17" t="s">
        <v>19</v>
      </c>
      <c r="B23" s="7" t="s">
        <v>158</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O514"/>
  <sheetViews>
    <sheetView workbookViewId="0" topLeftCell="A1">
      <selection activeCell="K41" sqref="K41"/>
    </sheetView>
  </sheetViews>
  <sheetFormatPr defaultColWidth="9.140625" defaultRowHeight="12.75"/>
  <cols>
    <col min="1" max="1" width="118.7109375" style="37" customWidth="1"/>
    <col min="2" max="2" width="115.7109375" style="37" customWidth="1"/>
    <col min="3" max="3" width="8.8515625" style="37" customWidth="1"/>
    <col min="4" max="4" width="8.57421875" style="37" customWidth="1"/>
    <col min="5" max="5" width="11.7109375" style="37" customWidth="1"/>
    <col min="6" max="6" width="9.00390625" style="37" customWidth="1"/>
    <col min="7" max="7" width="12.71093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165</v>
      </c>
    </row>
    <row r="4" spans="1:23" ht="12.75">
      <c r="A4" s="40" t="s">
        <v>32</v>
      </c>
      <c r="B4" s="41"/>
      <c r="C4" s="42"/>
      <c r="D4" s="42"/>
      <c r="E4" s="42"/>
      <c r="F4" s="42"/>
      <c r="G4" s="42"/>
      <c r="H4" s="43"/>
      <c r="I4" s="44" t="s">
        <v>33</v>
      </c>
      <c r="J4" s="45"/>
      <c r="K4" s="45"/>
      <c r="L4" s="45"/>
      <c r="M4" s="45"/>
      <c r="N4" s="45"/>
      <c r="O4"/>
      <c r="P4"/>
      <c r="Q4"/>
      <c r="R4"/>
      <c r="S4"/>
      <c r="T4"/>
      <c r="U4"/>
      <c r="V4"/>
      <c r="W4"/>
    </row>
    <row r="5" spans="1:25" s="96" customFormat="1" ht="26.25" customHeight="1">
      <c r="A5" s="46" t="s">
        <v>34</v>
      </c>
      <c r="B5" s="46" t="s">
        <v>35</v>
      </c>
      <c r="C5" s="46" t="s">
        <v>128</v>
      </c>
      <c r="D5" s="46" t="s">
        <v>129</v>
      </c>
      <c r="E5" s="46" t="s">
        <v>36</v>
      </c>
      <c r="F5" s="46" t="s">
        <v>37</v>
      </c>
      <c r="G5" s="47" t="s">
        <v>38</v>
      </c>
      <c r="H5" s="47" t="s">
        <v>130</v>
      </c>
      <c r="I5" s="47" t="s">
        <v>39</v>
      </c>
      <c r="J5" s="47" t="s">
        <v>40</v>
      </c>
      <c r="K5" s="47" t="s">
        <v>41</v>
      </c>
      <c r="L5" s="47" t="s">
        <v>42</v>
      </c>
      <c r="M5" s="47" t="s">
        <v>43</v>
      </c>
      <c r="N5" s="47" t="s">
        <v>44</v>
      </c>
      <c r="O5"/>
      <c r="P5"/>
      <c r="Q5"/>
      <c r="R5"/>
      <c r="S5"/>
      <c r="T5"/>
      <c r="U5"/>
      <c r="V5"/>
      <c r="W5"/>
      <c r="X5"/>
      <c r="Y5"/>
    </row>
    <row r="6" spans="1:7" ht="12.75" customHeight="1">
      <c r="A6" s="97" t="s">
        <v>307</v>
      </c>
      <c r="B6" s="97" t="s">
        <v>307</v>
      </c>
      <c r="C6" s="413">
        <f>IF('Cost Effectiveness'!X$16=1,'Cost Effectiveness'!Q20,'Cost Effectiveness'!Q39)</f>
        <v>1738.6876463825347</v>
      </c>
      <c r="D6" s="98">
        <v>25</v>
      </c>
      <c r="E6" s="414">
        <f>IF('Cost Effectiveness'!X$16=1,'Cost Effectiveness'!R20,'Cost Effectiveness'!R40)</f>
        <v>1166.0540289912392</v>
      </c>
      <c r="F6" s="98">
        <v>0</v>
      </c>
      <c r="G6" s="99" t="s">
        <v>166</v>
      </c>
    </row>
    <row r="7" spans="1:7" ht="12.75" customHeight="1">
      <c r="A7" s="97" t="s">
        <v>308</v>
      </c>
      <c r="B7" s="97" t="s">
        <v>308</v>
      </c>
      <c r="C7" s="413">
        <f>IF('Cost Effectiveness'!X$16=1,'Cost Effectiveness'!Q21,'Cost Effectiveness'!Q40)</f>
        <v>2251.371676282968</v>
      </c>
      <c r="D7" s="98">
        <v>25</v>
      </c>
      <c r="E7" s="414">
        <f>IF('Cost Effectiveness'!X$16=1,'Cost Effectiveness'!R21,'Cost Effectiveness'!R41)</f>
        <v>1166.0540289912392</v>
      </c>
      <c r="F7" s="98">
        <v>0</v>
      </c>
      <c r="G7" s="99" t="s">
        <v>166</v>
      </c>
    </row>
    <row r="8" spans="1:7" ht="12.75" customHeight="1">
      <c r="A8" s="97" t="s">
        <v>309</v>
      </c>
      <c r="B8" s="97" t="s">
        <v>309</v>
      </c>
      <c r="C8" s="413">
        <f>IF('Cost Effectiveness'!X$16=1,'Cost Effectiveness'!Q22,'Cost Effectiveness'!Q41)</f>
        <v>2653.608861997054</v>
      </c>
      <c r="D8" s="98">
        <v>25</v>
      </c>
      <c r="E8" s="414">
        <f>IF('Cost Effectiveness'!X$16=1,'Cost Effectiveness'!R22,'Cost Effectiveness'!R42)</f>
        <v>1166.0540289912392</v>
      </c>
      <c r="F8" s="98">
        <v>0</v>
      </c>
      <c r="G8" s="99" t="s">
        <v>166</v>
      </c>
    </row>
    <row r="9" spans="1:7" ht="12.75" customHeight="1">
      <c r="A9" s="97" t="s">
        <v>324</v>
      </c>
      <c r="B9" s="97" t="s">
        <v>310</v>
      </c>
      <c r="C9" s="413">
        <f>IF('Cost Effectiveness'!X$16=1,'Cost Effectiveness'!Q23,'Cost Effectiveness'!Q42)</f>
        <v>1883.3856776131124</v>
      </c>
      <c r="D9" s="98">
        <v>25</v>
      </c>
      <c r="E9" s="414">
        <f>IF('Cost Effectiveness'!X$16=1,'Cost Effectiveness'!R23,'Cost Effectiveness'!R43)</f>
        <v>1166.0540289912392</v>
      </c>
      <c r="F9" s="98">
        <v>0</v>
      </c>
      <c r="G9" s="99" t="s">
        <v>166</v>
      </c>
    </row>
    <row r="10" ht="12.75" customHeight="1"/>
    <row r="11" ht="12.75" customHeight="1" thickBot="1"/>
    <row r="12" spans="1:41" ht="12.75" customHeight="1" thickBot="1">
      <c r="A12" s="86" t="s">
        <v>326</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131</v>
      </c>
      <c r="B13" s="53"/>
      <c r="C13" s="54" t="s">
        <v>78</v>
      </c>
      <c r="D13" s="56"/>
      <c r="E13" s="56"/>
      <c r="F13" s="56"/>
      <c r="G13" s="56"/>
      <c r="H13" s="56"/>
      <c r="I13" s="56"/>
      <c r="J13" s="55"/>
      <c r="K13" s="54" t="s">
        <v>45</v>
      </c>
      <c r="L13" s="56"/>
      <c r="M13" s="55"/>
      <c r="N13" s="54" t="s">
        <v>46</v>
      </c>
      <c r="O13" s="56"/>
      <c r="P13" s="56"/>
      <c r="Q13" s="55"/>
      <c r="R13" s="54" t="s">
        <v>47</v>
      </c>
      <c r="S13" s="55"/>
      <c r="T13" s="54" t="s">
        <v>48</v>
      </c>
      <c r="U13" s="56"/>
      <c r="V13" s="56"/>
      <c r="W13" s="56"/>
      <c r="X13" s="55"/>
      <c r="Y13" s="54" t="s">
        <v>49</v>
      </c>
      <c r="Z13" s="56"/>
      <c r="AA13" s="56"/>
      <c r="AB13" s="56"/>
      <c r="AC13" s="55"/>
      <c r="AD13" s="54" t="s">
        <v>79</v>
      </c>
      <c r="AE13" s="56"/>
      <c r="AF13" s="56"/>
      <c r="AG13" s="56"/>
      <c r="AH13" s="56"/>
      <c r="AI13" s="55"/>
      <c r="AJ13" s="54" t="s">
        <v>80</v>
      </c>
      <c r="AK13" s="56"/>
      <c r="AL13" s="56"/>
      <c r="AM13" s="56"/>
      <c r="AN13" s="56"/>
      <c r="AO13" s="55"/>
    </row>
    <row r="14" spans="1:41" ht="51">
      <c r="A14" s="57" t="s">
        <v>51</v>
      </c>
      <c r="B14" s="58" t="s">
        <v>52</v>
      </c>
      <c r="C14" s="59" t="s">
        <v>81</v>
      </c>
      <c r="D14" s="59" t="s">
        <v>82</v>
      </c>
      <c r="E14" s="59" t="s">
        <v>83</v>
      </c>
      <c r="F14" s="59" t="s">
        <v>84</v>
      </c>
      <c r="G14" s="59" t="s">
        <v>150</v>
      </c>
      <c r="H14" s="59" t="s">
        <v>86</v>
      </c>
      <c r="I14" s="59" t="s">
        <v>87</v>
      </c>
      <c r="J14" s="59" t="s">
        <v>88</v>
      </c>
      <c r="K14" s="59" t="s">
        <v>89</v>
      </c>
      <c r="L14" s="59" t="s">
        <v>90</v>
      </c>
      <c r="M14" s="59" t="s">
        <v>91</v>
      </c>
      <c r="N14" s="59" t="s">
        <v>20</v>
      </c>
      <c r="O14" s="59" t="s">
        <v>21</v>
      </c>
      <c r="P14" s="59" t="s">
        <v>22</v>
      </c>
      <c r="Q14" s="59" t="s">
        <v>4</v>
      </c>
      <c r="R14" s="59" t="s">
        <v>53</v>
      </c>
      <c r="S14" s="59" t="s">
        <v>4</v>
      </c>
      <c r="T14" s="59" t="s">
        <v>20</v>
      </c>
      <c r="U14" s="59" t="s">
        <v>21</v>
      </c>
      <c r="V14" s="59" t="s">
        <v>22</v>
      </c>
      <c r="W14" s="59" t="s">
        <v>4</v>
      </c>
      <c r="X14" s="59" t="s">
        <v>57</v>
      </c>
      <c r="Y14" s="59" t="s">
        <v>20</v>
      </c>
      <c r="Z14" s="59" t="s">
        <v>21</v>
      </c>
      <c r="AA14" s="59" t="s">
        <v>22</v>
      </c>
      <c r="AB14" s="59" t="s">
        <v>4</v>
      </c>
      <c r="AC14" s="59" t="s">
        <v>57</v>
      </c>
      <c r="AD14" s="59" t="s">
        <v>92</v>
      </c>
      <c r="AE14" s="59" t="s">
        <v>93</v>
      </c>
      <c r="AF14" s="59" t="s">
        <v>56</v>
      </c>
      <c r="AG14" s="59" t="s">
        <v>94</v>
      </c>
      <c r="AH14" s="59" t="s">
        <v>95</v>
      </c>
      <c r="AI14" s="59" t="s">
        <v>96</v>
      </c>
      <c r="AJ14" s="59" t="s">
        <v>97</v>
      </c>
      <c r="AK14" s="59" t="s">
        <v>54</v>
      </c>
      <c r="AL14" s="59" t="s">
        <v>55</v>
      </c>
      <c r="AM14" s="59" t="s">
        <v>98</v>
      </c>
      <c r="AN14" s="59" t="s">
        <v>99</v>
      </c>
      <c r="AO14" s="59" t="s">
        <v>100</v>
      </c>
    </row>
    <row r="15" spans="1:41" ht="12.75" customHeight="1">
      <c r="A15" t="s">
        <v>307</v>
      </c>
      <c r="B15" t="s">
        <v>307</v>
      </c>
      <c r="C15" s="49">
        <v>25</v>
      </c>
      <c r="D15" s="49">
        <v>1738.6876463825347</v>
      </c>
      <c r="E15" s="49">
        <v>1166.05</v>
      </c>
      <c r="F15" s="49">
        <v>0</v>
      </c>
      <c r="G15" s="49">
        <v>0</v>
      </c>
      <c r="H15" s="49" t="s">
        <v>166</v>
      </c>
      <c r="I15" s="49">
        <v>0.21</v>
      </c>
      <c r="J15" s="49">
        <v>0.4009999930858612</v>
      </c>
      <c r="K15" s="49">
        <v>1871.262579419203</v>
      </c>
      <c r="L15" s="60">
        <v>0.40790187073762296</v>
      </c>
      <c r="M15" s="49">
        <v>1.0172116652637546</v>
      </c>
      <c r="N15" s="49"/>
      <c r="O15" s="49"/>
      <c r="P15" s="49">
        <v>1166.0542488147066</v>
      </c>
      <c r="Q15" s="49">
        <v>0</v>
      </c>
      <c r="R15" s="49">
        <v>0</v>
      </c>
      <c r="S15" s="49">
        <v>0</v>
      </c>
      <c r="T15" s="49">
        <v>0</v>
      </c>
      <c r="U15" s="49">
        <v>0</v>
      </c>
      <c r="V15" s="49">
        <v>1166.0542488147066</v>
      </c>
      <c r="W15" s="49">
        <v>0</v>
      </c>
      <c r="X15" s="49">
        <v>1166.0542488147066</v>
      </c>
      <c r="Y15" s="49">
        <v>0</v>
      </c>
      <c r="Z15" s="49">
        <v>0</v>
      </c>
      <c r="AA15" s="49">
        <v>43.11185836791992</v>
      </c>
      <c r="AB15" s="49">
        <v>0</v>
      </c>
      <c r="AC15" s="49">
        <v>43.11185940944285</v>
      </c>
      <c r="AD15" s="49">
        <v>660.5631404214814</v>
      </c>
      <c r="AE15" s="49">
        <v>17.687409211921263</v>
      </c>
      <c r="AF15" s="49">
        <v>95.81692504882812</v>
      </c>
      <c r="AG15" s="49">
        <v>773.2654200959653</v>
      </c>
      <c r="AH15" s="49">
        <v>1166.0542488147066</v>
      </c>
      <c r="AI15" s="69">
        <v>0.6631470370113475</v>
      </c>
      <c r="AJ15" s="49">
        <v>294.05499267578125</v>
      </c>
      <c r="AK15" s="49">
        <v>0</v>
      </c>
      <c r="AL15" s="49">
        <v>0</v>
      </c>
      <c r="AM15" s="49">
        <v>1067.3204345703125</v>
      </c>
      <c r="AN15" s="49">
        <v>1166.0542488147066</v>
      </c>
      <c r="AO15" s="69">
        <v>0.9153265953063965</v>
      </c>
    </row>
    <row r="16" spans="1:41" ht="12.75" customHeight="1">
      <c r="A16" t="s">
        <v>308</v>
      </c>
      <c r="B16" t="s">
        <v>308</v>
      </c>
      <c r="C16" s="49">
        <v>25</v>
      </c>
      <c r="D16" s="49">
        <v>2251.371676282968</v>
      </c>
      <c r="E16" s="49">
        <v>1166.05</v>
      </c>
      <c r="F16" s="49">
        <v>0</v>
      </c>
      <c r="G16" s="49">
        <v>0</v>
      </c>
      <c r="H16" s="49" t="s">
        <v>166</v>
      </c>
      <c r="I16" s="49">
        <v>0.21</v>
      </c>
      <c r="J16" s="49">
        <v>0.4009999930858612</v>
      </c>
      <c r="K16" s="49">
        <v>2423.0387665995445</v>
      </c>
      <c r="L16" s="60">
        <v>0.5281792393200647</v>
      </c>
      <c r="M16" s="49">
        <v>1.317155232985184</v>
      </c>
      <c r="N16" s="49"/>
      <c r="O16" s="49"/>
      <c r="P16" s="49">
        <v>1166.0542488147066</v>
      </c>
      <c r="Q16" s="49">
        <v>0</v>
      </c>
      <c r="R16" s="49">
        <v>0</v>
      </c>
      <c r="S16" s="49">
        <v>0</v>
      </c>
      <c r="T16" s="49">
        <v>0</v>
      </c>
      <c r="U16" s="49">
        <v>0</v>
      </c>
      <c r="V16" s="49">
        <v>1166.0542488147066</v>
      </c>
      <c r="W16" s="49">
        <v>0</v>
      </c>
      <c r="X16" s="49">
        <v>1166.0542488147066</v>
      </c>
      <c r="Y16" s="49">
        <v>0</v>
      </c>
      <c r="Z16" s="49">
        <v>0</v>
      </c>
      <c r="AA16" s="49">
        <v>33.294395446777344</v>
      </c>
      <c r="AB16" s="49">
        <v>0</v>
      </c>
      <c r="AC16" s="49">
        <v>33.29439477160663</v>
      </c>
      <c r="AD16" s="49">
        <v>855.3423312321917</v>
      </c>
      <c r="AE16" s="49">
        <v>22.902867118999957</v>
      </c>
      <c r="AF16" s="49">
        <v>124.07030487060547</v>
      </c>
      <c r="AG16" s="49">
        <v>1001.2769480896501</v>
      </c>
      <c r="AH16" s="49">
        <v>1166.0542488147066</v>
      </c>
      <c r="AI16" s="69">
        <v>0.8586881348851886</v>
      </c>
      <c r="AJ16" s="49">
        <v>380.76251220703125</v>
      </c>
      <c r="AK16" s="49">
        <v>0</v>
      </c>
      <c r="AL16" s="49">
        <v>0</v>
      </c>
      <c r="AM16" s="49">
        <v>1382.0394287109375</v>
      </c>
      <c r="AN16" s="49">
        <v>1166.0542488147066</v>
      </c>
      <c r="AO16" s="48">
        <v>1.185227394104004</v>
      </c>
    </row>
    <row r="17" spans="1:41" ht="12.75" customHeight="1">
      <c r="A17" t="s">
        <v>309</v>
      </c>
      <c r="B17" t="s">
        <v>309</v>
      </c>
      <c r="C17" s="49">
        <v>25</v>
      </c>
      <c r="D17" s="49">
        <v>2653.608861997054</v>
      </c>
      <c r="E17" s="49">
        <v>1166.05</v>
      </c>
      <c r="F17" s="49">
        <v>0</v>
      </c>
      <c r="G17" s="49">
        <v>0</v>
      </c>
      <c r="H17" s="49" t="s">
        <v>166</v>
      </c>
      <c r="I17" s="49">
        <v>0.21</v>
      </c>
      <c r="J17" s="49">
        <v>0.4009999930858612</v>
      </c>
      <c r="K17" s="49">
        <v>2855.946537724329</v>
      </c>
      <c r="L17" s="60">
        <v>0.6225454130686264</v>
      </c>
      <c r="M17" s="49">
        <v>1.5524823536227055</v>
      </c>
      <c r="N17" s="49"/>
      <c r="O17" s="49"/>
      <c r="P17" s="49">
        <v>1166.0542488147066</v>
      </c>
      <c r="Q17" s="49">
        <v>0</v>
      </c>
      <c r="R17" s="49">
        <v>0</v>
      </c>
      <c r="S17" s="49">
        <v>0</v>
      </c>
      <c r="T17" s="49">
        <v>0</v>
      </c>
      <c r="U17" s="49">
        <v>0</v>
      </c>
      <c r="V17" s="49">
        <v>1166.0542488147066</v>
      </c>
      <c r="W17" s="49">
        <v>0</v>
      </c>
      <c r="X17" s="49">
        <v>1166.0542488147066</v>
      </c>
      <c r="Y17" s="49">
        <v>0</v>
      </c>
      <c r="Z17" s="49">
        <v>0</v>
      </c>
      <c r="AA17" s="49">
        <v>28.247591018676758</v>
      </c>
      <c r="AB17" s="49">
        <v>0</v>
      </c>
      <c r="AC17" s="49">
        <v>28.247590834229786</v>
      </c>
      <c r="AD17" s="49">
        <v>1008.1604979353423</v>
      </c>
      <c r="AE17" s="49">
        <v>26.994765809819377</v>
      </c>
      <c r="AF17" s="49">
        <v>146.2371063232422</v>
      </c>
      <c r="AG17" s="49">
        <v>1180.1682633909636</v>
      </c>
      <c r="AH17" s="49">
        <v>1166.0542488147066</v>
      </c>
      <c r="AI17" s="48">
        <v>1.0121040805696682</v>
      </c>
      <c r="AJ17" s="49">
        <v>448.7908020019531</v>
      </c>
      <c r="AK17" s="49">
        <v>0</v>
      </c>
      <c r="AL17" s="49">
        <v>0</v>
      </c>
      <c r="AM17" s="49">
        <v>1628.9591064453125</v>
      </c>
      <c r="AN17" s="49">
        <v>1166.0542488147066</v>
      </c>
      <c r="AO17" s="48">
        <v>1.3969839811325073</v>
      </c>
    </row>
    <row r="18" spans="1:41" ht="12.75" customHeight="1">
      <c r="A18" t="s">
        <v>324</v>
      </c>
      <c r="B18" t="s">
        <v>310</v>
      </c>
      <c r="C18" s="49">
        <v>25</v>
      </c>
      <c r="D18" s="49">
        <v>1883.3856776131124</v>
      </c>
      <c r="E18" s="49">
        <v>1166.05</v>
      </c>
      <c r="F18" s="49">
        <v>0</v>
      </c>
      <c r="G18" s="49">
        <v>0</v>
      </c>
      <c r="H18" s="49" t="s">
        <v>166</v>
      </c>
      <c r="I18" s="49">
        <v>0.21</v>
      </c>
      <c r="J18" s="49">
        <v>0.4009999930858612</v>
      </c>
      <c r="K18" s="49">
        <v>2026.9938355311122</v>
      </c>
      <c r="L18" s="60">
        <v>0.4418485073021631</v>
      </c>
      <c r="M18" s="49">
        <v>1.1018666207496803</v>
      </c>
      <c r="N18" s="49"/>
      <c r="O18" s="49"/>
      <c r="P18" s="49">
        <v>1166.0542488147066</v>
      </c>
      <c r="Q18" s="49">
        <v>0</v>
      </c>
      <c r="R18" s="49">
        <v>0</v>
      </c>
      <c r="S18" s="49">
        <v>0</v>
      </c>
      <c r="T18" s="49">
        <v>0</v>
      </c>
      <c r="U18" s="49">
        <v>0</v>
      </c>
      <c r="V18" s="49">
        <v>1166.0542488147066</v>
      </c>
      <c r="W18" s="49">
        <v>0</v>
      </c>
      <c r="X18" s="49">
        <v>1166.0542488147066</v>
      </c>
      <c r="Y18" s="49">
        <v>0</v>
      </c>
      <c r="Z18" s="49">
        <v>0</v>
      </c>
      <c r="AA18" s="49">
        <v>39.79963302612305</v>
      </c>
      <c r="AB18" s="49">
        <v>0</v>
      </c>
      <c r="AC18" s="49">
        <v>39.79963225735908</v>
      </c>
      <c r="AD18" s="49">
        <v>715.5368938275867</v>
      </c>
      <c r="AE18" s="49">
        <v>19.159400627894946</v>
      </c>
      <c r="AF18" s="49">
        <v>103.79105377197266</v>
      </c>
      <c r="AG18" s="49">
        <v>837.6185446079087</v>
      </c>
      <c r="AH18" s="49">
        <v>1166.0542488147066</v>
      </c>
      <c r="AI18" s="69">
        <v>0.718335828250999</v>
      </c>
      <c r="AJ18" s="49">
        <v>318.5269775390625</v>
      </c>
      <c r="AK18" s="49">
        <v>0</v>
      </c>
      <c r="AL18" s="49">
        <v>0</v>
      </c>
      <c r="AM18" s="49">
        <v>1156.1455078125</v>
      </c>
      <c r="AN18" s="49">
        <v>1166.0542488147066</v>
      </c>
      <c r="AO18" s="69">
        <v>0.9915023446083069</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132</v>
      </c>
      <c r="B21" s="71"/>
      <c r="C21" s="72" t="s">
        <v>101</v>
      </c>
      <c r="D21" s="63"/>
      <c r="E21" s="63"/>
      <c r="F21" s="63"/>
      <c r="G21" s="63"/>
      <c r="H21" s="63"/>
      <c r="I21" s="63"/>
      <c r="J21" s="64"/>
      <c r="K21" s="72" t="s">
        <v>45</v>
      </c>
      <c r="L21" s="63"/>
      <c r="M21" s="64"/>
      <c r="N21" s="72" t="s">
        <v>102</v>
      </c>
      <c r="O21" s="63"/>
      <c r="P21" s="63"/>
      <c r="Q21" s="63"/>
      <c r="R21" s="73" t="s">
        <v>103</v>
      </c>
      <c r="S21" s="72" t="s">
        <v>79</v>
      </c>
      <c r="T21" s="63"/>
      <c r="U21" s="63"/>
      <c r="V21" s="63"/>
      <c r="W21" s="63"/>
      <c r="X21" s="64"/>
      <c r="Y21" s="72" t="s">
        <v>80</v>
      </c>
      <c r="Z21" s="63"/>
      <c r="AA21" s="63"/>
      <c r="AB21" s="63"/>
      <c r="AC21" s="63"/>
      <c r="AD21" s="64"/>
      <c r="AE21" s="49"/>
      <c r="AF21" s="49"/>
      <c r="AG21" s="49"/>
      <c r="AH21" s="49"/>
      <c r="AI21" s="49"/>
      <c r="AJ21" s="49"/>
      <c r="AK21" s="49"/>
      <c r="AL21" s="49"/>
      <c r="AM21" s="49"/>
      <c r="AN21" s="49"/>
      <c r="AO21" s="49"/>
    </row>
    <row r="22" spans="1:41" ht="51">
      <c r="A22" s="57"/>
      <c r="B22" s="58" t="s">
        <v>51</v>
      </c>
      <c r="C22" s="59" t="s">
        <v>104</v>
      </c>
      <c r="D22" s="59" t="s">
        <v>82</v>
      </c>
      <c r="E22" s="59" t="s">
        <v>83</v>
      </c>
      <c r="F22" s="59" t="s">
        <v>84</v>
      </c>
      <c r="G22" s="59" t="s">
        <v>85</v>
      </c>
      <c r="H22" s="59" t="s">
        <v>86</v>
      </c>
      <c r="I22" s="59" t="s">
        <v>105</v>
      </c>
      <c r="J22" s="59" t="s">
        <v>106</v>
      </c>
      <c r="K22" s="59" t="s">
        <v>89</v>
      </c>
      <c r="L22" s="59" t="s">
        <v>90</v>
      </c>
      <c r="M22" s="59" t="s">
        <v>91</v>
      </c>
      <c r="N22" s="59" t="s">
        <v>46</v>
      </c>
      <c r="O22" s="59" t="s">
        <v>107</v>
      </c>
      <c r="P22" s="59" t="s">
        <v>108</v>
      </c>
      <c r="Q22" s="59" t="s">
        <v>109</v>
      </c>
      <c r="R22" s="59" t="s">
        <v>110</v>
      </c>
      <c r="S22" s="59" t="s">
        <v>92</v>
      </c>
      <c r="T22" s="59" t="s">
        <v>93</v>
      </c>
      <c r="U22" s="59" t="s">
        <v>56</v>
      </c>
      <c r="V22" s="59" t="s">
        <v>94</v>
      </c>
      <c r="W22" s="59" t="s">
        <v>95</v>
      </c>
      <c r="X22" s="59" t="s">
        <v>96</v>
      </c>
      <c r="Y22" s="59" t="s">
        <v>97</v>
      </c>
      <c r="Z22" s="59" t="s">
        <v>54</v>
      </c>
      <c r="AA22" s="59" t="s">
        <v>55</v>
      </c>
      <c r="AB22" s="59" t="s">
        <v>98</v>
      </c>
      <c r="AC22" s="59" t="s">
        <v>99</v>
      </c>
      <c r="AD22" s="59" t="s">
        <v>100</v>
      </c>
      <c r="AE22" s="49"/>
      <c r="AF22" s="49"/>
      <c r="AG22" s="49"/>
      <c r="AH22" s="49"/>
      <c r="AI22" s="49"/>
      <c r="AJ22" s="49"/>
      <c r="AK22" s="49"/>
      <c r="AL22" s="49"/>
      <c r="AM22" s="49"/>
      <c r="AN22" s="49"/>
      <c r="AO22" s="49"/>
    </row>
    <row r="23" spans="1:41" ht="12.75" customHeight="1">
      <c r="A23"/>
      <c r="B23" t="s">
        <v>309</v>
      </c>
      <c r="C23" s="49">
        <v>25</v>
      </c>
      <c r="D23" s="49">
        <v>2653.608861997054</v>
      </c>
      <c r="E23" s="49">
        <v>1166.05</v>
      </c>
      <c r="F23" s="49">
        <v>0</v>
      </c>
      <c r="G23" s="49">
        <v>0</v>
      </c>
      <c r="H23" s="49"/>
      <c r="I23" s="49">
        <v>0.21</v>
      </c>
      <c r="J23" s="49">
        <v>0.4009999930858612</v>
      </c>
      <c r="K23" s="49">
        <v>2855.946537724329</v>
      </c>
      <c r="L23" s="49">
        <v>0.6225454130686264</v>
      </c>
      <c r="M23" s="49">
        <v>1.5524823665618896</v>
      </c>
      <c r="N23" s="49">
        <v>1166.0542488147066</v>
      </c>
      <c r="O23" s="49">
        <v>0</v>
      </c>
      <c r="P23" s="49">
        <v>0</v>
      </c>
      <c r="Q23" s="49">
        <v>1166.05419921875</v>
      </c>
      <c r="R23" s="49">
        <v>28.24759086294344</v>
      </c>
      <c r="S23" s="49">
        <v>1008.1604979353423</v>
      </c>
      <c r="T23" s="49">
        <v>26.994766235351562</v>
      </c>
      <c r="U23" s="49">
        <v>146.2371063232422</v>
      </c>
      <c r="V23" s="49">
        <v>1180.1682633909636</v>
      </c>
      <c r="W23" s="49">
        <v>1166.0542488147066</v>
      </c>
      <c r="X23" s="48">
        <v>1.0121040805696682</v>
      </c>
      <c r="Y23" s="60">
        <v>448.7908020019531</v>
      </c>
      <c r="Z23" s="60">
        <v>0</v>
      </c>
      <c r="AA23" s="60">
        <v>0</v>
      </c>
      <c r="AB23" s="60">
        <v>1628.9591064453125</v>
      </c>
      <c r="AC23" s="60">
        <v>1166.05419921875</v>
      </c>
      <c r="AD23" s="48">
        <v>1.3969839811325073</v>
      </c>
      <c r="AE23" s="60"/>
      <c r="AF23" s="60"/>
      <c r="AG23" s="60"/>
      <c r="AH23" s="60"/>
      <c r="AI23" s="60"/>
      <c r="AJ23" s="60"/>
      <c r="AK23" s="60"/>
      <c r="AL23" s="49"/>
      <c r="AM23" s="49"/>
      <c r="AN23" s="49"/>
      <c r="AO23" s="49"/>
    </row>
    <row r="24" spans="1:41" ht="12.75" customHeight="1">
      <c r="A24"/>
      <c r="B24" t="s">
        <v>308</v>
      </c>
      <c r="C24" s="49">
        <v>25</v>
      </c>
      <c r="D24" s="49">
        <v>2251.371676282968</v>
      </c>
      <c r="E24" s="49">
        <v>1166.05</v>
      </c>
      <c r="F24" s="49">
        <v>0</v>
      </c>
      <c r="G24" s="49">
        <v>0</v>
      </c>
      <c r="H24" s="49"/>
      <c r="I24" s="49">
        <v>0.21</v>
      </c>
      <c r="J24" s="49">
        <v>0.4009999930858612</v>
      </c>
      <c r="K24" s="49">
        <v>2423.0387665995445</v>
      </c>
      <c r="L24" s="49">
        <v>0.5281792393200647</v>
      </c>
      <c r="M24" s="49">
        <v>1.3171552419662476</v>
      </c>
      <c r="N24" s="49">
        <v>1166.0542488147066</v>
      </c>
      <c r="O24" s="49">
        <v>0</v>
      </c>
      <c r="P24" s="49">
        <v>0</v>
      </c>
      <c r="Q24" s="49">
        <v>1166.05419921875</v>
      </c>
      <c r="R24" s="49">
        <v>33.29439480545036</v>
      </c>
      <c r="S24" s="49">
        <v>855.3423312321917</v>
      </c>
      <c r="T24" s="49">
        <v>22.90286636352539</v>
      </c>
      <c r="U24" s="49">
        <v>124.07030487060547</v>
      </c>
      <c r="V24" s="49">
        <v>1001.2769480896501</v>
      </c>
      <c r="W24" s="49">
        <v>1166.0542488147066</v>
      </c>
      <c r="X24" s="69">
        <v>0.8586881348851886</v>
      </c>
      <c r="Y24" s="60">
        <v>380.76251220703125</v>
      </c>
      <c r="Z24" s="60">
        <v>0</v>
      </c>
      <c r="AA24" s="60">
        <v>0</v>
      </c>
      <c r="AB24" s="60">
        <v>1382.03955078125</v>
      </c>
      <c r="AC24" s="60">
        <v>1166.05419921875</v>
      </c>
      <c r="AD24" s="48">
        <v>1.1852275133132935</v>
      </c>
      <c r="AE24" s="60"/>
      <c r="AF24" s="60"/>
      <c r="AG24" s="60"/>
      <c r="AH24" s="60"/>
      <c r="AI24" s="60"/>
      <c r="AJ24" s="60"/>
      <c r="AK24" s="60"/>
      <c r="AL24" s="49"/>
      <c r="AM24" s="49"/>
      <c r="AN24" s="49"/>
      <c r="AO24" s="49"/>
    </row>
    <row r="25" spans="1:41" ht="12.75" customHeight="1">
      <c r="A25"/>
      <c r="B25" t="s">
        <v>324</v>
      </c>
      <c r="C25" s="49">
        <v>25</v>
      </c>
      <c r="D25" s="49">
        <v>1883.3856776131124</v>
      </c>
      <c r="E25" s="49">
        <v>1166.05</v>
      </c>
      <c r="F25" s="49">
        <v>0</v>
      </c>
      <c r="G25" s="49">
        <v>0</v>
      </c>
      <c r="H25" s="49"/>
      <c r="I25" s="49">
        <v>0.21</v>
      </c>
      <c r="J25" s="49">
        <v>0.4009999930858612</v>
      </c>
      <c r="K25" s="49">
        <v>2026.9938355311122</v>
      </c>
      <c r="L25" s="49">
        <v>0.4418485073021631</v>
      </c>
      <c r="M25" s="49">
        <v>1.101866602897644</v>
      </c>
      <c r="N25" s="49">
        <v>1166.0542488147066</v>
      </c>
      <c r="O25" s="49">
        <v>0</v>
      </c>
      <c r="P25" s="49">
        <v>0</v>
      </c>
      <c r="Q25" s="49">
        <v>1166.05419921875</v>
      </c>
      <c r="R25" s="49">
        <v>39.79963229781538</v>
      </c>
      <c r="S25" s="49">
        <v>715.5368938275867</v>
      </c>
      <c r="T25" s="49">
        <v>19.159400939941406</v>
      </c>
      <c r="U25" s="49">
        <v>103.79105377197266</v>
      </c>
      <c r="V25" s="49">
        <v>837.6185446079087</v>
      </c>
      <c r="W25" s="49">
        <v>1166.0542488147066</v>
      </c>
      <c r="X25" s="69">
        <v>0.718335828250999</v>
      </c>
      <c r="Y25" s="60">
        <v>318.5269775390625</v>
      </c>
      <c r="Z25" s="60">
        <v>0</v>
      </c>
      <c r="AA25" s="60">
        <v>0</v>
      </c>
      <c r="AB25" s="60">
        <v>1156.1456298828125</v>
      </c>
      <c r="AC25" s="60">
        <v>1166.05419921875</v>
      </c>
      <c r="AD25" s="69">
        <v>0.9915024638175964</v>
      </c>
      <c r="AE25" s="60"/>
      <c r="AF25" s="60"/>
      <c r="AG25" s="60"/>
      <c r="AH25" s="60"/>
      <c r="AI25" s="60"/>
      <c r="AJ25" s="60"/>
      <c r="AK25" s="60"/>
      <c r="AL25" s="49"/>
      <c r="AM25" s="49"/>
      <c r="AN25" s="49"/>
      <c r="AO25" s="49"/>
    </row>
    <row r="26" spans="1:41" ht="12.75" customHeight="1">
      <c r="A26"/>
      <c r="B26" t="s">
        <v>307</v>
      </c>
      <c r="C26" s="49">
        <v>25</v>
      </c>
      <c r="D26" s="49">
        <v>1738.6876463825347</v>
      </c>
      <c r="E26" s="49">
        <v>1166.05</v>
      </c>
      <c r="F26" s="49">
        <v>0</v>
      </c>
      <c r="G26" s="49">
        <v>0</v>
      </c>
      <c r="H26" s="49"/>
      <c r="I26" s="49">
        <v>0.21</v>
      </c>
      <c r="J26" s="49">
        <v>0.4009999930858612</v>
      </c>
      <c r="K26" s="49">
        <v>1871.262579419203</v>
      </c>
      <c r="L26" s="49">
        <v>0.40790187073762296</v>
      </c>
      <c r="M26" s="49">
        <v>1.017211675643921</v>
      </c>
      <c r="N26" s="49">
        <v>1166.0542488147066</v>
      </c>
      <c r="O26" s="49">
        <v>0</v>
      </c>
      <c r="P26" s="49">
        <v>0</v>
      </c>
      <c r="Q26" s="49">
        <v>1166.05419921875</v>
      </c>
      <c r="R26" s="49">
        <v>43.11185945326602</v>
      </c>
      <c r="S26" s="49">
        <v>660.5631404214814</v>
      </c>
      <c r="T26" s="49">
        <v>17.687408447265625</v>
      </c>
      <c r="U26" s="49">
        <v>95.81692504882812</v>
      </c>
      <c r="V26" s="49">
        <v>773.2654200959653</v>
      </c>
      <c r="W26" s="49">
        <v>1166.0542488147066</v>
      </c>
      <c r="X26" s="69">
        <v>0.6631470370113475</v>
      </c>
      <c r="Y26" s="60">
        <v>294.05499267578125</v>
      </c>
      <c r="Z26" s="60">
        <v>0</v>
      </c>
      <c r="AA26" s="60">
        <v>0</v>
      </c>
      <c r="AB26" s="60">
        <v>1067.3204345703125</v>
      </c>
      <c r="AC26" s="60">
        <v>1166.05419921875</v>
      </c>
      <c r="AD26" s="69">
        <v>0.9153265953063965</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62</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63</v>
      </c>
      <c r="C30" s="59" t="s">
        <v>59</v>
      </c>
      <c r="D30" s="59" t="s">
        <v>60</v>
      </c>
      <c r="E30" s="59" t="s">
        <v>64</v>
      </c>
      <c r="F30" s="59" t="s">
        <v>65</v>
      </c>
      <c r="G30" s="59" t="s">
        <v>66</v>
      </c>
      <c r="H30" s="59" t="s">
        <v>67</v>
      </c>
      <c r="I30" s="59" t="s">
        <v>61</v>
      </c>
      <c r="J30" s="59" t="s">
        <v>50</v>
      </c>
      <c r="K30" s="59" t="s">
        <v>58</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68</v>
      </c>
      <c r="C31" s="49">
        <v>0</v>
      </c>
      <c r="D31" s="49">
        <v>0</v>
      </c>
      <c r="E31" s="49">
        <v>0</v>
      </c>
      <c r="F31" s="49">
        <v>0</v>
      </c>
      <c r="G31" s="49">
        <v>0</v>
      </c>
      <c r="H31" s="49">
        <v>0</v>
      </c>
      <c r="I31" s="49">
        <v>0</v>
      </c>
      <c r="J31" s="49">
        <v>0</v>
      </c>
      <c r="K31" s="69">
        <v>0</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69</v>
      </c>
      <c r="C32" s="49">
        <v>0</v>
      </c>
      <c r="D32" s="49">
        <v>0</v>
      </c>
      <c r="E32" s="49">
        <v>0</v>
      </c>
      <c r="F32" s="49">
        <v>0</v>
      </c>
      <c r="G32" s="49">
        <v>0</v>
      </c>
      <c r="H32" s="49">
        <v>0</v>
      </c>
      <c r="I32" s="49">
        <v>0</v>
      </c>
      <c r="J32" s="49">
        <v>3239.6028634166023</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70</v>
      </c>
      <c r="C33" s="49">
        <v>1388.3008583141452</v>
      </c>
      <c r="D33" s="49">
        <v>2659.44140625</v>
      </c>
      <c r="E33" s="49">
        <v>2659.4409608440014</v>
      </c>
      <c r="F33" s="49">
        <v>531.8881921688003</v>
      </c>
      <c r="G33" s="49">
        <v>3191.3295984188003</v>
      </c>
      <c r="H33" s="49">
        <v>20136.87890625</v>
      </c>
      <c r="I33" s="49">
        <v>159.03796113769033</v>
      </c>
      <c r="J33" s="49">
        <v>490.075730100082</v>
      </c>
      <c r="K33" s="69">
        <v>0.15356474942071122</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71</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72</v>
      </c>
      <c r="C35" s="49">
        <v>0</v>
      </c>
      <c r="D35" s="49">
        <v>0</v>
      </c>
      <c r="E35" s="49">
        <v>0</v>
      </c>
      <c r="F35" s="49">
        <v>0</v>
      </c>
      <c r="G35" s="49">
        <v>0</v>
      </c>
      <c r="H35" s="49">
        <v>0</v>
      </c>
      <c r="I35" s="49">
        <v>0</v>
      </c>
      <c r="J35" s="49">
        <v>0</v>
      </c>
      <c r="K35" s="70">
        <v>0</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73</v>
      </c>
      <c r="C36" s="49">
        <v>0</v>
      </c>
      <c r="D36" s="49">
        <v>0</v>
      </c>
      <c r="E36" s="49">
        <v>0</v>
      </c>
      <c r="F36" s="49">
        <v>0</v>
      </c>
      <c r="G36" s="49">
        <v>0</v>
      </c>
      <c r="H36" s="49">
        <v>0</v>
      </c>
      <c r="I36" s="49">
        <v>0</v>
      </c>
      <c r="J36" s="49">
        <v>0</v>
      </c>
      <c r="K36" s="70">
        <v>0</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74</v>
      </c>
      <c r="C37" s="49">
        <v>5278.985304323874</v>
      </c>
      <c r="D37" s="49">
        <v>2332.1084976294133</v>
      </c>
      <c r="E37" s="49">
        <v>2332.11</v>
      </c>
      <c r="F37" s="49">
        <v>466.4216</v>
      </c>
      <c r="G37" s="49">
        <v>2798.5300976294134</v>
      </c>
      <c r="H37" s="49">
        <v>4643.908203125</v>
      </c>
      <c r="I37" s="49">
        <v>36.67686953715824</v>
      </c>
      <c r="J37" s="49">
        <v>1863.502829167534</v>
      </c>
      <c r="K37" s="70">
        <v>0.6658862917879909</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75</v>
      </c>
      <c r="C38" s="49">
        <v>2026.9938355311122</v>
      </c>
      <c r="D38" s="49">
        <v>1166.0542488147066</v>
      </c>
      <c r="E38" s="49">
        <v>1166.05</v>
      </c>
      <c r="F38" s="49">
        <v>233.2108</v>
      </c>
      <c r="G38" s="49">
        <v>1399.2650488147067</v>
      </c>
      <c r="H38" s="49">
        <v>6047.1630859375</v>
      </c>
      <c r="I38" s="49">
        <v>47.75955701032779</v>
      </c>
      <c r="J38" s="49">
        <v>715.5368938275867</v>
      </c>
      <c r="K38" s="70">
        <v>0.5113662307464234</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76</v>
      </c>
      <c r="C39" s="49">
        <v>1871.262579419203</v>
      </c>
      <c r="D39" s="49">
        <v>1166.0542488147066</v>
      </c>
      <c r="E39" s="49">
        <v>1166.05</v>
      </c>
      <c r="F39" s="49">
        <v>233.2108</v>
      </c>
      <c r="G39" s="49">
        <v>1399.2650488147067</v>
      </c>
      <c r="H39" s="49">
        <v>6550.42333984375</v>
      </c>
      <c r="I39" s="49">
        <v>51.73422945147454</v>
      </c>
      <c r="J39" s="49">
        <v>660.5631404214814</v>
      </c>
      <c r="K39" s="70">
        <v>0.4720786394121922</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77</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 r="C511" s="39"/>
      <c r="D511" s="39"/>
      <c r="E511" s="39"/>
      <c r="F511" s="39"/>
      <c r="G511" s="39"/>
      <c r="H511" s="39"/>
      <c r="I511" s="100"/>
      <c r="J511" s="100"/>
      <c r="K511" s="100"/>
      <c r="L511" s="100"/>
      <c r="M511" s="100"/>
      <c r="S511" s="39"/>
      <c r="T511" s="39"/>
      <c r="U511" s="39"/>
      <c r="X511" s="49"/>
      <c r="Y511" s="49"/>
      <c r="Z511" s="39"/>
      <c r="AA511" s="39"/>
      <c r="AB511" s="39"/>
      <c r="AC511" s="39"/>
      <c r="AD511" s="39"/>
      <c r="AE511" s="39"/>
      <c r="AF511" s="39"/>
      <c r="AG511" s="39"/>
      <c r="AH511" s="39"/>
      <c r="AI511" s="39"/>
      <c r="AJ511" s="39"/>
      <c r="AK511" s="39"/>
      <c r="AL511" s="39"/>
      <c r="AM511" s="39"/>
      <c r="AN511" s="39"/>
      <c r="AO511" s="39"/>
    </row>
    <row r="512" spans="3:41" ht="12.75">
      <c r="C512" s="39"/>
      <c r="D512" s="39"/>
      <c r="E512" s="39"/>
      <c r="F512" s="39"/>
      <c r="G512" s="39"/>
      <c r="H512" s="39"/>
      <c r="I512" s="100"/>
      <c r="J512" s="100"/>
      <c r="K512" s="100"/>
      <c r="L512" s="100"/>
      <c r="M512" s="100"/>
      <c r="S512" s="39"/>
      <c r="T512" s="39"/>
      <c r="U512" s="39"/>
      <c r="X512" s="49"/>
      <c r="Y512" s="49"/>
      <c r="Z512" s="39"/>
      <c r="AA512" s="39"/>
      <c r="AB512" s="39"/>
      <c r="AC512" s="39"/>
      <c r="AD512" s="39"/>
      <c r="AE512" s="39"/>
      <c r="AF512" s="39"/>
      <c r="AG512" s="39"/>
      <c r="AH512" s="39"/>
      <c r="AI512" s="39"/>
      <c r="AJ512" s="39"/>
      <c r="AK512" s="39"/>
      <c r="AL512" s="39"/>
      <c r="AM512" s="39"/>
      <c r="AN512" s="39"/>
      <c r="AO512" s="39"/>
    </row>
    <row r="513" spans="3:41" ht="12.75">
      <c r="C513" s="39"/>
      <c r="D513" s="39"/>
      <c r="E513" s="39"/>
      <c r="F513" s="39"/>
      <c r="G513" s="39"/>
      <c r="H513" s="39"/>
      <c r="I513" s="100"/>
      <c r="J513" s="100"/>
      <c r="K513" s="100"/>
      <c r="L513" s="100"/>
      <c r="M513" s="100"/>
      <c r="S513" s="39"/>
      <c r="T513" s="39"/>
      <c r="U513" s="39"/>
      <c r="X513" s="49"/>
      <c r="Y513" s="49"/>
      <c r="Z513" s="39"/>
      <c r="AA513" s="39"/>
      <c r="AB513" s="39"/>
      <c r="AC513" s="39"/>
      <c r="AD513" s="39"/>
      <c r="AE513" s="39"/>
      <c r="AF513" s="39"/>
      <c r="AG513" s="39"/>
      <c r="AH513" s="39"/>
      <c r="AI513" s="39"/>
      <c r="AJ513" s="39"/>
      <c r="AK513" s="39"/>
      <c r="AL513" s="39"/>
      <c r="AM513" s="39"/>
      <c r="AN513" s="39"/>
      <c r="AO513" s="39"/>
    </row>
    <row r="514" spans="3:41" ht="12.75">
      <c r="C514" s="39"/>
      <c r="D514" s="39"/>
      <c r="E514" s="39"/>
      <c r="F514" s="39"/>
      <c r="G514" s="39"/>
      <c r="H514" s="39"/>
      <c r="I514" s="100"/>
      <c r="J514" s="100"/>
      <c r="K514" s="100"/>
      <c r="L514" s="100"/>
      <c r="M514" s="100"/>
      <c r="S514" s="39"/>
      <c r="T514" s="39"/>
      <c r="U514" s="39"/>
      <c r="X514" s="49"/>
      <c r="Y514" s="49"/>
      <c r="Z514" s="39"/>
      <c r="AA514" s="39"/>
      <c r="AB514" s="39"/>
      <c r="AC514" s="39"/>
      <c r="AD514" s="39"/>
      <c r="AE514" s="39"/>
      <c r="AF514" s="39"/>
      <c r="AG514" s="39"/>
      <c r="AH514" s="39"/>
      <c r="AI514" s="39"/>
      <c r="AJ514" s="39"/>
      <c r="AK514" s="39"/>
      <c r="AL514" s="39"/>
      <c r="AM514" s="39"/>
      <c r="AN514" s="39"/>
      <c r="AO514"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AP518"/>
  <sheetViews>
    <sheetView workbookViewId="0" topLeftCell="A9">
      <selection activeCell="K50" sqref="K50"/>
    </sheetView>
  </sheetViews>
  <sheetFormatPr defaultColWidth="9.140625" defaultRowHeight="12.75"/>
  <cols>
    <col min="1" max="1" width="37.7109375" style="37" customWidth="1"/>
    <col min="2" max="2" width="43.7109375" style="37" customWidth="1"/>
    <col min="3" max="3" width="8.8515625" style="37" customWidth="1"/>
    <col min="4" max="4" width="8.7109375" style="37" customWidth="1"/>
    <col min="5" max="5" width="8.421875" style="37" customWidth="1"/>
    <col min="6" max="6" width="9.00390625" style="37" customWidth="1"/>
    <col min="7" max="7" width="12.851562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9.140625" style="37" customWidth="1"/>
  </cols>
  <sheetData>
    <row r="1" ht="14.25">
      <c r="A1" s="36" t="s">
        <v>127</v>
      </c>
    </row>
    <row r="2" ht="12.75">
      <c r="A2" s="101">
        <v>924</v>
      </c>
    </row>
    <row r="4" spans="1:23" ht="12.75">
      <c r="A4" s="40" t="s">
        <v>32</v>
      </c>
      <c r="B4" s="41"/>
      <c r="C4" s="42"/>
      <c r="D4" s="42"/>
      <c r="E4" s="42"/>
      <c r="F4" s="42"/>
      <c r="G4" s="42"/>
      <c r="H4" s="43"/>
      <c r="I4" s="44" t="s">
        <v>33</v>
      </c>
      <c r="J4" s="45"/>
      <c r="K4" s="45"/>
      <c r="L4" s="45"/>
      <c r="M4" s="45"/>
      <c r="N4" s="45"/>
      <c r="O4"/>
      <c r="P4"/>
      <c r="Q4"/>
      <c r="R4"/>
      <c r="S4"/>
      <c r="T4"/>
      <c r="U4"/>
      <c r="V4"/>
      <c r="W4"/>
    </row>
    <row r="5" spans="1:25" s="96" customFormat="1" ht="38.25">
      <c r="A5" s="46" t="s">
        <v>34</v>
      </c>
      <c r="B5" s="46" t="s">
        <v>35</v>
      </c>
      <c r="C5" s="46" t="s">
        <v>128</v>
      </c>
      <c r="D5" s="46" t="s">
        <v>129</v>
      </c>
      <c r="E5" s="46" t="s">
        <v>36</v>
      </c>
      <c r="F5" s="46" t="s">
        <v>37</v>
      </c>
      <c r="G5" s="47" t="s">
        <v>38</v>
      </c>
      <c r="H5" s="47" t="s">
        <v>130</v>
      </c>
      <c r="I5" s="47" t="s">
        <v>39</v>
      </c>
      <c r="J5" s="47" t="s">
        <v>40</v>
      </c>
      <c r="K5" s="47" t="s">
        <v>41</v>
      </c>
      <c r="L5" s="47" t="s">
        <v>42</v>
      </c>
      <c r="M5" s="47" t="s">
        <v>43</v>
      </c>
      <c r="N5" s="47" t="s">
        <v>44</v>
      </c>
      <c r="O5"/>
      <c r="P5"/>
      <c r="Q5"/>
      <c r="R5"/>
      <c r="S5"/>
      <c r="T5"/>
      <c r="U5"/>
      <c r="V5"/>
      <c r="W5"/>
      <c r="X5"/>
      <c r="Y5"/>
    </row>
    <row r="6" spans="1:42" s="96" customFormat="1" ht="12.75">
      <c r="A6" s="102" t="str">
        <f>B6</f>
        <v>ATTIC R22 Blown</v>
      </c>
      <c r="B6" s="102" t="str">
        <f>UAOptimizer!$S31</f>
        <v>ATTIC R22 Blown</v>
      </c>
      <c r="C6" s="103">
        <f>UAOptimizer!$X31</f>
        <v>3163.9931872389934</v>
      </c>
      <c r="D6" s="104">
        <v>25</v>
      </c>
      <c r="E6" s="105">
        <f>UAOptimizer!$U31</f>
        <v>1006.6708580768181</v>
      </c>
      <c r="F6" s="103">
        <v>0</v>
      </c>
      <c r="G6" s="99" t="s">
        <v>166</v>
      </c>
      <c r="H6"/>
      <c r="I6"/>
      <c r="J6"/>
      <c r="K6"/>
      <c r="L6"/>
      <c r="M6"/>
      <c r="N6"/>
      <c r="O6"/>
      <c r="P6"/>
      <c r="Q6"/>
      <c r="R6"/>
      <c r="S6"/>
      <c r="T6"/>
      <c r="U6"/>
      <c r="V6"/>
      <c r="W6"/>
      <c r="X6"/>
      <c r="Y6"/>
      <c r="Z6" s="37"/>
      <c r="AA6" s="37"/>
      <c r="AB6" s="37"/>
      <c r="AC6" s="37"/>
      <c r="AD6" s="37"/>
      <c r="AE6" s="37"/>
      <c r="AF6" s="37"/>
      <c r="AG6" s="37"/>
      <c r="AH6" s="37"/>
      <c r="AI6" s="37"/>
      <c r="AJ6" s="37"/>
      <c r="AK6" s="37"/>
      <c r="AL6" s="37"/>
      <c r="AM6" s="37"/>
      <c r="AN6" s="37"/>
      <c r="AO6" s="37"/>
      <c r="AP6" s="37"/>
    </row>
    <row r="7" spans="1:23" ht="12.75">
      <c r="A7" s="102" t="str">
        <f aca="true" t="shared" si="0" ref="A7:A12">B7</f>
        <v>FLOOR R22 Blown</v>
      </c>
      <c r="B7" s="102" t="str">
        <f>UAOptimizer!$S32</f>
        <v>FLOOR R22 Blown</v>
      </c>
      <c r="C7" s="103">
        <f>UAOptimizer!$X32</f>
        <v>3493.2136223043126</v>
      </c>
      <c r="D7" s="104">
        <v>25</v>
      </c>
      <c r="E7" s="105">
        <f>UAOptimizer!$U32</f>
        <v>1229.3856496867338</v>
      </c>
      <c r="F7" s="103">
        <v>0</v>
      </c>
      <c r="G7" s="99" t="s">
        <v>166</v>
      </c>
      <c r="H7"/>
      <c r="I7"/>
      <c r="J7"/>
      <c r="K7"/>
      <c r="L7"/>
      <c r="M7"/>
      <c r="N7"/>
      <c r="O7"/>
      <c r="P7"/>
      <c r="Q7"/>
      <c r="R7"/>
      <c r="S7"/>
      <c r="T7"/>
      <c r="U7"/>
      <c r="V7"/>
      <c r="W7"/>
    </row>
    <row r="8" spans="1:23" ht="12.75">
      <c r="A8" s="102" t="str">
        <f t="shared" si="0"/>
        <v>CLASS 35 PRIME WINDOW (Energy Star)</v>
      </c>
      <c r="B8" s="102" t="str">
        <f>UAOptimizer!$S33</f>
        <v>CLASS 35 PRIME WINDOW (Energy Star)</v>
      </c>
      <c r="C8" s="103">
        <f>UAOptimizer!$X33</f>
        <v>4851.5630736724415</v>
      </c>
      <c r="D8" s="104">
        <v>25</v>
      </c>
      <c r="E8" s="105">
        <f>UAOptimizer!$U33</f>
        <v>1857.16</v>
      </c>
      <c r="F8" s="103">
        <v>0</v>
      </c>
      <c r="G8" s="99" t="s">
        <v>166</v>
      </c>
      <c r="H8"/>
      <c r="I8"/>
      <c r="J8"/>
      <c r="K8"/>
      <c r="L8"/>
      <c r="M8"/>
      <c r="N8"/>
      <c r="O8"/>
      <c r="P8"/>
      <c r="Q8"/>
      <c r="R8"/>
      <c r="S8"/>
      <c r="T8"/>
      <c r="U8"/>
      <c r="V8"/>
      <c r="W8"/>
    </row>
    <row r="9" spans="1:7" ht="12.75">
      <c r="A9" s="102" t="str">
        <f t="shared" si="0"/>
        <v>FLOOR R30 Blown</v>
      </c>
      <c r="B9" s="102" t="str">
        <f>UAOptimizer!$S34</f>
        <v>FLOOR R30 Blown</v>
      </c>
      <c r="C9" s="103">
        <f>UAOptimizer!$X34</f>
        <v>196.55161862934256</v>
      </c>
      <c r="D9" s="104">
        <v>25</v>
      </c>
      <c r="E9" s="105">
        <f>UAOptimizer!$U34</f>
        <v>142.53746663034602</v>
      </c>
      <c r="F9" s="103">
        <v>0</v>
      </c>
      <c r="G9" s="99" t="s">
        <v>166</v>
      </c>
    </row>
    <row r="10" spans="1:23" ht="12.75">
      <c r="A10" s="102" t="str">
        <f t="shared" si="0"/>
        <v>INFILTRATION @ O.40 ACH</v>
      </c>
      <c r="B10" s="102" t="str">
        <f>UAOptimizer!$S35</f>
        <v>INFILTRATION @ O.40 ACH</v>
      </c>
      <c r="C10" s="103">
        <f>UAOptimizer!$X35</f>
        <v>718.6496756696652</v>
      </c>
      <c r="D10" s="104">
        <v>25</v>
      </c>
      <c r="E10" s="105">
        <f>UAOptimizer!$U35</f>
        <v>530.376</v>
      </c>
      <c r="F10" s="103">
        <v>0</v>
      </c>
      <c r="G10" s="99" t="s">
        <v>166</v>
      </c>
      <c r="H10"/>
      <c r="I10"/>
      <c r="J10"/>
      <c r="K10"/>
      <c r="L10"/>
      <c r="M10"/>
      <c r="N10"/>
      <c r="O10"/>
      <c r="P10"/>
      <c r="Q10"/>
      <c r="R10"/>
      <c r="S10"/>
      <c r="T10"/>
      <c r="U10"/>
      <c r="V10"/>
      <c r="W10"/>
    </row>
    <row r="11" spans="1:23" ht="12.75">
      <c r="A11" s="102" t="str">
        <f t="shared" si="0"/>
        <v>ATTIC R38 Blown</v>
      </c>
      <c r="B11" s="102" t="str">
        <f>UAOptimizer!$S36</f>
        <v>ATTIC R38 Blown</v>
      </c>
      <c r="C11" s="103">
        <f>UAOptimizer!$X36</f>
        <v>949.4991992964806</v>
      </c>
      <c r="D11" s="104">
        <v>25</v>
      </c>
      <c r="E11" s="105">
        <f>UAOptimizer!$U36</f>
        <v>1006.6708580768181</v>
      </c>
      <c r="F11" s="103">
        <v>0</v>
      </c>
      <c r="G11" s="99" t="s">
        <v>166</v>
      </c>
      <c r="H11"/>
      <c r="I11"/>
      <c r="J11"/>
      <c r="K11"/>
      <c r="L11"/>
      <c r="M11"/>
      <c r="N11"/>
      <c r="O11"/>
      <c r="P11"/>
      <c r="Q11"/>
      <c r="R11"/>
      <c r="S11"/>
      <c r="T11"/>
      <c r="U11"/>
      <c r="V11"/>
      <c r="W11"/>
    </row>
    <row r="12" spans="1:7" ht="12.75">
      <c r="A12" s="102" t="str">
        <f t="shared" si="0"/>
        <v>DOOR R5</v>
      </c>
      <c r="B12" s="102" t="str">
        <f>UAOptimizer!$S37</f>
        <v>DOOR R5</v>
      </c>
      <c r="C12" s="103">
        <f>UAOptimizer!$X37</f>
        <v>382.4481026290141</v>
      </c>
      <c r="D12" s="104">
        <v>25</v>
      </c>
      <c r="E12" s="105">
        <f>UAOptimizer!$U37</f>
        <v>600</v>
      </c>
      <c r="F12" s="103">
        <v>0</v>
      </c>
      <c r="G12" s="99" t="s">
        <v>166</v>
      </c>
    </row>
    <row r="13" spans="1:41" ht="12.75" customHeight="1">
      <c r="A13"/>
      <c r="B13"/>
      <c r="C13"/>
      <c r="D13"/>
      <c r="E13"/>
      <c r="F13"/>
      <c r="G13"/>
      <c r="H13"/>
      <c r="I13"/>
      <c r="J13"/>
      <c r="K13"/>
      <c r="L13"/>
      <c r="M13"/>
      <c r="N13"/>
      <c r="O13"/>
      <c r="P13"/>
      <c r="Q13"/>
      <c r="R13"/>
      <c r="S13"/>
      <c r="T13"/>
      <c r="U13"/>
      <c r="V13"/>
      <c r="W13"/>
      <c r="Z13"/>
      <c r="AA13"/>
      <c r="AB13"/>
      <c r="AC13"/>
      <c r="AD13"/>
      <c r="AE13"/>
      <c r="AF13"/>
      <c r="AG13"/>
      <c r="AH13"/>
      <c r="AI13"/>
      <c r="AJ13"/>
      <c r="AK13"/>
      <c r="AL13"/>
      <c r="AM13"/>
      <c r="AN13"/>
      <c r="AO13"/>
    </row>
    <row r="14" spans="1:41" ht="12.75" customHeight="1" thickBot="1">
      <c r="A14"/>
      <c r="B14"/>
      <c r="C14"/>
      <c r="D14"/>
      <c r="E14"/>
      <c r="F14"/>
      <c r="G14"/>
      <c r="H14"/>
      <c r="I14"/>
      <c r="J14"/>
      <c r="K14"/>
      <c r="L14"/>
      <c r="M14"/>
      <c r="N14"/>
      <c r="O14"/>
      <c r="P14"/>
      <c r="Q14"/>
      <c r="R14"/>
      <c r="S14"/>
      <c r="T14"/>
      <c r="U14"/>
      <c r="V14"/>
      <c r="W14"/>
      <c r="Z14"/>
      <c r="AA14"/>
      <c r="AB14"/>
      <c r="AC14"/>
      <c r="AD14"/>
      <c r="AE14"/>
      <c r="AF14"/>
      <c r="AG14"/>
      <c r="AH14"/>
      <c r="AI14"/>
      <c r="AJ14"/>
      <c r="AK14"/>
      <c r="AL14"/>
      <c r="AM14"/>
      <c r="AN14"/>
      <c r="AO14"/>
    </row>
    <row r="15" spans="1:41" ht="12.75" customHeight="1" thickBot="1">
      <c r="A15" s="86" t="s">
        <v>326</v>
      </c>
      <c r="B15" s="50"/>
      <c r="C15" s="50"/>
      <c r="D15" s="51"/>
      <c r="E15"/>
      <c r="F15"/>
      <c r="G15"/>
      <c r="H15"/>
      <c r="I15"/>
      <c r="J15"/>
      <c r="K15"/>
      <c r="L15"/>
      <c r="M15"/>
      <c r="N15"/>
      <c r="O15"/>
      <c r="P15"/>
      <c r="Q15"/>
      <c r="R15"/>
      <c r="S15"/>
      <c r="T15"/>
      <c r="U15"/>
      <c r="V15"/>
      <c r="W15"/>
      <c r="Z15"/>
      <c r="AA15"/>
      <c r="AB15"/>
      <c r="AC15"/>
      <c r="AD15"/>
      <c r="AE15"/>
      <c r="AF15"/>
      <c r="AG15"/>
      <c r="AH15"/>
      <c r="AI15"/>
      <c r="AJ15"/>
      <c r="AK15"/>
      <c r="AL15"/>
      <c r="AM15"/>
      <c r="AN15"/>
      <c r="AO15"/>
    </row>
    <row r="16" spans="1:41" ht="12.75" customHeight="1" thickBot="1">
      <c r="A16" s="52" t="s">
        <v>131</v>
      </c>
      <c r="B16" s="53"/>
      <c r="C16" s="54" t="s">
        <v>78</v>
      </c>
      <c r="D16" s="56"/>
      <c r="E16" s="56"/>
      <c r="F16" s="56"/>
      <c r="G16" s="56"/>
      <c r="H16" s="56"/>
      <c r="I16" s="56"/>
      <c r="J16" s="55"/>
      <c r="K16" s="54" t="s">
        <v>45</v>
      </c>
      <c r="L16" s="56"/>
      <c r="M16" s="55"/>
      <c r="N16" s="54" t="s">
        <v>46</v>
      </c>
      <c r="O16" s="56"/>
      <c r="P16" s="56"/>
      <c r="Q16" s="55"/>
      <c r="R16" s="54" t="s">
        <v>47</v>
      </c>
      <c r="S16" s="55"/>
      <c r="T16" s="54" t="s">
        <v>48</v>
      </c>
      <c r="U16" s="56"/>
      <c r="V16" s="56"/>
      <c r="W16" s="56"/>
      <c r="X16" s="55"/>
      <c r="Y16" s="54" t="s">
        <v>49</v>
      </c>
      <c r="Z16" s="56"/>
      <c r="AA16" s="56"/>
      <c r="AB16" s="56"/>
      <c r="AC16" s="55"/>
      <c r="AD16" s="54" t="s">
        <v>79</v>
      </c>
      <c r="AE16" s="56"/>
      <c r="AF16" s="56"/>
      <c r="AG16" s="56"/>
      <c r="AH16" s="56"/>
      <c r="AI16" s="55"/>
      <c r="AJ16" s="54" t="s">
        <v>80</v>
      </c>
      <c r="AK16" s="56"/>
      <c r="AL16" s="56"/>
      <c r="AM16" s="56"/>
      <c r="AN16" s="56"/>
      <c r="AO16" s="55"/>
    </row>
    <row r="17" spans="1:41" ht="51">
      <c r="A17" s="57" t="s">
        <v>51</v>
      </c>
      <c r="B17" s="58" t="s">
        <v>52</v>
      </c>
      <c r="C17" s="59" t="s">
        <v>81</v>
      </c>
      <c r="D17" s="59" t="s">
        <v>82</v>
      </c>
      <c r="E17" s="59" t="s">
        <v>83</v>
      </c>
      <c r="F17" s="59" t="s">
        <v>84</v>
      </c>
      <c r="G17" s="59" t="s">
        <v>150</v>
      </c>
      <c r="H17" s="59" t="s">
        <v>86</v>
      </c>
      <c r="I17" s="59" t="s">
        <v>87</v>
      </c>
      <c r="J17" s="59" t="s">
        <v>88</v>
      </c>
      <c r="K17" s="59" t="s">
        <v>89</v>
      </c>
      <c r="L17" s="59" t="s">
        <v>90</v>
      </c>
      <c r="M17" s="59" t="s">
        <v>91</v>
      </c>
      <c r="N17" s="59" t="s">
        <v>20</v>
      </c>
      <c r="O17" s="59" t="s">
        <v>21</v>
      </c>
      <c r="P17" s="59" t="s">
        <v>22</v>
      </c>
      <c r="Q17" s="59" t="s">
        <v>4</v>
      </c>
      <c r="R17" s="59" t="s">
        <v>53</v>
      </c>
      <c r="S17" s="59" t="s">
        <v>4</v>
      </c>
      <c r="T17" s="59" t="s">
        <v>20</v>
      </c>
      <c r="U17" s="59" t="s">
        <v>21</v>
      </c>
      <c r="V17" s="59" t="s">
        <v>22</v>
      </c>
      <c r="W17" s="59" t="s">
        <v>4</v>
      </c>
      <c r="X17" s="59" t="s">
        <v>57</v>
      </c>
      <c r="Y17" s="59" t="s">
        <v>20</v>
      </c>
      <c r="Z17" s="59" t="s">
        <v>21</v>
      </c>
      <c r="AA17" s="59" t="s">
        <v>22</v>
      </c>
      <c r="AB17" s="59" t="s">
        <v>4</v>
      </c>
      <c r="AC17" s="59" t="s">
        <v>57</v>
      </c>
      <c r="AD17" s="59" t="s">
        <v>92</v>
      </c>
      <c r="AE17" s="59" t="s">
        <v>93</v>
      </c>
      <c r="AF17" s="59" t="s">
        <v>56</v>
      </c>
      <c r="AG17" s="59" t="s">
        <v>94</v>
      </c>
      <c r="AH17" s="59" t="s">
        <v>95</v>
      </c>
      <c r="AI17" s="59" t="s">
        <v>96</v>
      </c>
      <c r="AJ17" s="59" t="s">
        <v>97</v>
      </c>
      <c r="AK17" s="59" t="s">
        <v>54</v>
      </c>
      <c r="AL17" s="59" t="s">
        <v>55</v>
      </c>
      <c r="AM17" s="59" t="s">
        <v>98</v>
      </c>
      <c r="AN17" s="59" t="s">
        <v>99</v>
      </c>
      <c r="AO17" s="59" t="s">
        <v>100</v>
      </c>
    </row>
    <row r="18" spans="1:41" ht="12.75" customHeight="1">
      <c r="A18" t="s">
        <v>294</v>
      </c>
      <c r="B18" t="s">
        <v>294</v>
      </c>
      <c r="C18" s="49">
        <v>25</v>
      </c>
      <c r="D18" s="49">
        <v>3163.9931872389934</v>
      </c>
      <c r="E18" s="49">
        <v>1006.67</v>
      </c>
      <c r="F18" s="49">
        <v>0</v>
      </c>
      <c r="G18" s="49">
        <v>0</v>
      </c>
      <c r="H18" s="49" t="s">
        <v>166</v>
      </c>
      <c r="I18" s="49">
        <v>0.21</v>
      </c>
      <c r="J18" s="49">
        <v>0.4009999930858612</v>
      </c>
      <c r="K18" s="49">
        <v>3405.2476677659665</v>
      </c>
      <c r="L18" s="60">
        <v>0.7422832633343105</v>
      </c>
      <c r="M18" s="49">
        <v>1.851080489109571</v>
      </c>
      <c r="N18" s="49"/>
      <c r="O18" s="49"/>
      <c r="P18" s="49">
        <v>1006.6711148052531</v>
      </c>
      <c r="Q18" s="49">
        <v>0</v>
      </c>
      <c r="R18" s="49">
        <v>0</v>
      </c>
      <c r="S18" s="49">
        <v>0</v>
      </c>
      <c r="T18" s="49">
        <v>0</v>
      </c>
      <c r="U18" s="49">
        <v>0</v>
      </c>
      <c r="V18" s="49">
        <v>1006.6711148052531</v>
      </c>
      <c r="W18" s="49">
        <v>0</v>
      </c>
      <c r="X18" s="49">
        <v>1006.6711148052531</v>
      </c>
      <c r="Y18" s="49">
        <v>0</v>
      </c>
      <c r="Z18" s="49">
        <v>0</v>
      </c>
      <c r="AA18" s="49">
        <v>20.452747344970703</v>
      </c>
      <c r="AB18" s="49">
        <v>0</v>
      </c>
      <c r="AC18" s="49">
        <v>20.45274645177672</v>
      </c>
      <c r="AD18" s="49">
        <v>1202.0659837223727</v>
      </c>
      <c r="AE18" s="49">
        <v>32.18682916558465</v>
      </c>
      <c r="AF18" s="49">
        <v>174.36375427246094</v>
      </c>
      <c r="AG18" s="49">
        <v>1407.157020788177</v>
      </c>
      <c r="AH18" s="49">
        <v>1006.6711148052531</v>
      </c>
      <c r="AI18" s="48">
        <v>1.3978319235477423</v>
      </c>
      <c r="AJ18" s="49">
        <v>535.109375</v>
      </c>
      <c r="AK18" s="49">
        <v>0</v>
      </c>
      <c r="AL18" s="49">
        <v>0</v>
      </c>
      <c r="AM18" s="49">
        <v>1942.266357421875</v>
      </c>
      <c r="AN18" s="49">
        <v>1006.6711148052531</v>
      </c>
      <c r="AO18" s="48">
        <v>1.9293951988220215</v>
      </c>
    </row>
    <row r="19" spans="1:41" ht="12.75" customHeight="1">
      <c r="A19" t="s">
        <v>291</v>
      </c>
      <c r="B19" t="s">
        <v>291</v>
      </c>
      <c r="C19" s="49">
        <v>25</v>
      </c>
      <c r="D19" s="49">
        <v>3493.2136223043126</v>
      </c>
      <c r="E19" s="49">
        <v>1229.39</v>
      </c>
      <c r="F19" s="49">
        <v>0</v>
      </c>
      <c r="G19" s="49">
        <v>0</v>
      </c>
      <c r="H19" s="49" t="s">
        <v>166</v>
      </c>
      <c r="I19" s="49">
        <v>0.21</v>
      </c>
      <c r="J19" s="49">
        <v>0.4009999930858612</v>
      </c>
      <c r="K19" s="49">
        <v>3759.5711610050166</v>
      </c>
      <c r="L19" s="60">
        <v>0.8195194659539112</v>
      </c>
      <c r="M19" s="49">
        <v>2.0436894765193614</v>
      </c>
      <c r="N19" s="49"/>
      <c r="O19" s="49"/>
      <c r="P19" s="49">
        <v>1229.3858623285178</v>
      </c>
      <c r="Q19" s="49">
        <v>0</v>
      </c>
      <c r="R19" s="49">
        <v>0</v>
      </c>
      <c r="S19" s="49">
        <v>0</v>
      </c>
      <c r="T19" s="49">
        <v>0</v>
      </c>
      <c r="U19" s="49">
        <v>0</v>
      </c>
      <c r="V19" s="49">
        <v>1229.3858623285178</v>
      </c>
      <c r="W19" s="49">
        <v>0</v>
      </c>
      <c r="X19" s="49">
        <v>1229.3858623285178</v>
      </c>
      <c r="Y19" s="49">
        <v>0</v>
      </c>
      <c r="Z19" s="49">
        <v>0</v>
      </c>
      <c r="AA19" s="49">
        <v>22.623647689819336</v>
      </c>
      <c r="AB19" s="49">
        <v>0</v>
      </c>
      <c r="AC19" s="49">
        <v>22.623648073735083</v>
      </c>
      <c r="AD19" s="49">
        <v>1327.1435874714623</v>
      </c>
      <c r="AE19" s="49">
        <v>35.53593937985594</v>
      </c>
      <c r="AF19" s="49">
        <v>192.50668334960938</v>
      </c>
      <c r="AG19" s="49">
        <v>1553.5747948254266</v>
      </c>
      <c r="AH19" s="49">
        <v>1229.3858623285178</v>
      </c>
      <c r="AI19" s="48">
        <v>1.2636999028790512</v>
      </c>
      <c r="AJ19" s="49">
        <v>590.7887573242188</v>
      </c>
      <c r="AK19" s="49">
        <v>0</v>
      </c>
      <c r="AL19" s="49">
        <v>0</v>
      </c>
      <c r="AM19" s="49">
        <v>2144.363525390625</v>
      </c>
      <c r="AN19" s="49">
        <v>1229.3858623285178</v>
      </c>
      <c r="AO19" s="48">
        <v>1.7442559003829956</v>
      </c>
    </row>
    <row r="20" spans="1:41" ht="12.75" customHeight="1">
      <c r="A20" t="s">
        <v>232</v>
      </c>
      <c r="B20" t="s">
        <v>232</v>
      </c>
      <c r="C20" s="49">
        <v>25</v>
      </c>
      <c r="D20" s="49">
        <v>4851.5630736724415</v>
      </c>
      <c r="E20" s="49">
        <v>1857.16</v>
      </c>
      <c r="F20" s="49">
        <v>0</v>
      </c>
      <c r="G20" s="49">
        <v>0</v>
      </c>
      <c r="H20" s="49" t="s">
        <v>166</v>
      </c>
      <c r="I20" s="49">
        <v>0.21</v>
      </c>
      <c r="J20" s="49">
        <v>0.4009999930858612</v>
      </c>
      <c r="K20" s="49">
        <v>5221.494758039965</v>
      </c>
      <c r="L20" s="60">
        <v>1.1381927385691926</v>
      </c>
      <c r="M20" s="49">
        <v>2.83838593065882</v>
      </c>
      <c r="N20" s="49"/>
      <c r="O20" s="49"/>
      <c r="P20" s="49">
        <v>1857.160396284152</v>
      </c>
      <c r="Q20" s="49">
        <v>0</v>
      </c>
      <c r="R20" s="49">
        <v>0</v>
      </c>
      <c r="S20" s="49">
        <v>0</v>
      </c>
      <c r="T20" s="49">
        <v>0</v>
      </c>
      <c r="U20" s="49">
        <v>0</v>
      </c>
      <c r="V20" s="49">
        <v>1857.160396284152</v>
      </c>
      <c r="W20" s="49">
        <v>0</v>
      </c>
      <c r="X20" s="49">
        <v>1857.160396284152</v>
      </c>
      <c r="Y20" s="49">
        <v>0</v>
      </c>
      <c r="Z20" s="49">
        <v>0</v>
      </c>
      <c r="AA20" s="49">
        <v>24.60748863220215</v>
      </c>
      <c r="AB20" s="49">
        <v>0</v>
      </c>
      <c r="AC20" s="49">
        <v>24.60748895931437</v>
      </c>
      <c r="AD20" s="49">
        <v>1843.2084374474646</v>
      </c>
      <c r="AE20" s="49">
        <v>49.35422505590821</v>
      </c>
      <c r="AF20" s="49">
        <v>267.3636474609375</v>
      </c>
      <c r="AG20" s="49">
        <v>2157.6882895689323</v>
      </c>
      <c r="AH20" s="49">
        <v>1857.160396284152</v>
      </c>
      <c r="AI20" s="48">
        <v>1.1618211835047114</v>
      </c>
      <c r="AJ20" s="49">
        <v>820.5191650390625</v>
      </c>
      <c r="AK20" s="49">
        <v>0</v>
      </c>
      <c r="AL20" s="49">
        <v>0</v>
      </c>
      <c r="AM20" s="49">
        <v>2978.20751953125</v>
      </c>
      <c r="AN20" s="49">
        <v>1857.160396284152</v>
      </c>
      <c r="AO20" s="48">
        <v>1.6036350727081299</v>
      </c>
    </row>
    <row r="21" spans="1:41" ht="12.75" customHeight="1">
      <c r="A21" t="s">
        <v>245</v>
      </c>
      <c r="B21" t="s">
        <v>245</v>
      </c>
      <c r="C21" s="49">
        <v>25</v>
      </c>
      <c r="D21" s="49">
        <v>196.55161862934256</v>
      </c>
      <c r="E21" s="49">
        <v>142.54</v>
      </c>
      <c r="F21" s="49">
        <v>0</v>
      </c>
      <c r="G21" s="49">
        <v>0</v>
      </c>
      <c r="H21" s="49" t="s">
        <v>166</v>
      </c>
      <c r="I21" s="49">
        <v>0.21</v>
      </c>
      <c r="J21" s="49">
        <v>0.4009999930858612</v>
      </c>
      <c r="K21" s="49">
        <v>211.5386795498299</v>
      </c>
      <c r="L21" s="60">
        <v>0.0461116596199576</v>
      </c>
      <c r="M21" s="49">
        <v>0.11499167185792014</v>
      </c>
      <c r="N21" s="49"/>
      <c r="O21" s="49"/>
      <c r="P21" s="49">
        <v>142.53753041490896</v>
      </c>
      <c r="Q21" s="49">
        <v>0</v>
      </c>
      <c r="R21" s="49">
        <v>0</v>
      </c>
      <c r="S21" s="49">
        <v>0</v>
      </c>
      <c r="T21" s="49">
        <v>0</v>
      </c>
      <c r="U21" s="49">
        <v>0</v>
      </c>
      <c r="V21" s="49">
        <v>142.53753041490896</v>
      </c>
      <c r="W21" s="49">
        <v>0</v>
      </c>
      <c r="X21" s="49">
        <v>142.53753041490896</v>
      </c>
      <c r="Y21" s="49">
        <v>0</v>
      </c>
      <c r="Z21" s="49">
        <v>0</v>
      </c>
      <c r="AA21" s="49">
        <v>46.61784362792969</v>
      </c>
      <c r="AB21" s="49">
        <v>0</v>
      </c>
      <c r="AC21" s="49">
        <v>46.61784272402337</v>
      </c>
      <c r="AD21" s="49">
        <v>74.67399606068078</v>
      </c>
      <c r="AE21" s="49">
        <v>1.9994902000918646</v>
      </c>
      <c r="AF21" s="49">
        <v>10.831716537475586</v>
      </c>
      <c r="AG21" s="49">
        <v>87.4145337654938</v>
      </c>
      <c r="AH21" s="49">
        <v>142.53753041490896</v>
      </c>
      <c r="AI21" s="69">
        <v>0.6132738059305574</v>
      </c>
      <c r="AJ21" s="49">
        <v>33.24173355102539</v>
      </c>
      <c r="AK21" s="49">
        <v>0</v>
      </c>
      <c r="AL21" s="49">
        <v>0</v>
      </c>
      <c r="AM21" s="49">
        <v>120.65626525878906</v>
      </c>
      <c r="AN21" s="49">
        <v>142.53753041490896</v>
      </c>
      <c r="AO21" s="69">
        <v>0.8464877009391785</v>
      </c>
    </row>
    <row r="22" spans="1:41" ht="12.75" customHeight="1">
      <c r="A22" t="s">
        <v>216</v>
      </c>
      <c r="B22" t="s">
        <v>216</v>
      </c>
      <c r="C22" s="49">
        <v>25</v>
      </c>
      <c r="D22" s="49">
        <v>718.6496756696652</v>
      </c>
      <c r="E22" s="49">
        <v>530.38</v>
      </c>
      <c r="F22" s="49">
        <v>0</v>
      </c>
      <c r="G22" s="49">
        <v>0</v>
      </c>
      <c r="H22" s="49" t="s">
        <v>166</v>
      </c>
      <c r="I22" s="49">
        <v>0.21</v>
      </c>
      <c r="J22" s="49">
        <v>0.4009999930858612</v>
      </c>
      <c r="K22" s="49">
        <v>773.446713439477</v>
      </c>
      <c r="L22" s="60">
        <v>0.16859759009649508</v>
      </c>
      <c r="M22" s="49">
        <v>0.4204428753204376</v>
      </c>
      <c r="N22" s="49"/>
      <c r="O22" s="49"/>
      <c r="P22" s="49">
        <v>530.3761131725879</v>
      </c>
      <c r="Q22" s="49">
        <v>0</v>
      </c>
      <c r="R22" s="49">
        <v>0</v>
      </c>
      <c r="S22" s="49">
        <v>0</v>
      </c>
      <c r="T22" s="49">
        <v>0</v>
      </c>
      <c r="U22" s="49">
        <v>0</v>
      </c>
      <c r="V22" s="49">
        <v>530.3761131725879</v>
      </c>
      <c r="W22" s="49">
        <v>0</v>
      </c>
      <c r="X22" s="49">
        <v>530.3761131725879</v>
      </c>
      <c r="Y22" s="49">
        <v>0</v>
      </c>
      <c r="Z22" s="49">
        <v>0</v>
      </c>
      <c r="AA22" s="49">
        <v>47.442359924316406</v>
      </c>
      <c r="AB22" s="49">
        <v>0</v>
      </c>
      <c r="AC22" s="49">
        <v>47.44236051054556</v>
      </c>
      <c r="AD22" s="49">
        <v>273.02976909677164</v>
      </c>
      <c r="AE22" s="49">
        <v>7.310715596346543</v>
      </c>
      <c r="AF22" s="49">
        <v>39.60389709472656</v>
      </c>
      <c r="AG22" s="49">
        <v>319.6128695294536</v>
      </c>
      <c r="AH22" s="49">
        <v>530.3761131725879</v>
      </c>
      <c r="AI22" s="69">
        <v>0.6026155054713963</v>
      </c>
      <c r="AJ22" s="49">
        <v>121.54141998291016</v>
      </c>
      <c r="AK22" s="49">
        <v>0</v>
      </c>
      <c r="AL22" s="49">
        <v>0</v>
      </c>
      <c r="AM22" s="49">
        <v>441.154296875</v>
      </c>
      <c r="AN22" s="49">
        <v>530.3761131725879</v>
      </c>
      <c r="AO22" s="69">
        <v>0.8317763209342957</v>
      </c>
    </row>
    <row r="23" spans="1:41" ht="12.75" customHeight="1">
      <c r="A23" t="s">
        <v>247</v>
      </c>
      <c r="B23" t="s">
        <v>247</v>
      </c>
      <c r="C23" s="49">
        <v>25</v>
      </c>
      <c r="D23" s="49">
        <v>949.4991992964806</v>
      </c>
      <c r="E23" s="49">
        <v>1006.67</v>
      </c>
      <c r="F23" s="49">
        <v>0</v>
      </c>
      <c r="G23" s="49">
        <v>0</v>
      </c>
      <c r="H23" s="49" t="s">
        <v>166</v>
      </c>
      <c r="I23" s="49">
        <v>0.21</v>
      </c>
      <c r="J23" s="49">
        <v>0.4009999930858612</v>
      </c>
      <c r="K23" s="49">
        <v>1021.8985132428371</v>
      </c>
      <c r="L23" s="60">
        <v>0.22275565163341463</v>
      </c>
      <c r="M23" s="49">
        <v>0.5555003877162629</v>
      </c>
      <c r="N23" s="49"/>
      <c r="O23" s="49"/>
      <c r="P23" s="49">
        <v>1006.6711148052531</v>
      </c>
      <c r="Q23" s="49">
        <v>0</v>
      </c>
      <c r="R23" s="49">
        <v>0</v>
      </c>
      <c r="S23" s="49">
        <v>0</v>
      </c>
      <c r="T23" s="49">
        <v>0</v>
      </c>
      <c r="U23" s="49">
        <v>0</v>
      </c>
      <c r="V23" s="49">
        <v>1006.6711148052531</v>
      </c>
      <c r="W23" s="49">
        <v>0</v>
      </c>
      <c r="X23" s="49">
        <v>1006.6711148052531</v>
      </c>
      <c r="Y23" s="49">
        <v>0</v>
      </c>
      <c r="Z23" s="49">
        <v>0</v>
      </c>
      <c r="AA23" s="49">
        <v>68.15419006347656</v>
      </c>
      <c r="AB23" s="49">
        <v>0</v>
      </c>
      <c r="AC23" s="49">
        <v>68.15419168514921</v>
      </c>
      <c r="AD23" s="49">
        <v>360.7342435657774</v>
      </c>
      <c r="AE23" s="49">
        <v>9.659113250899287</v>
      </c>
      <c r="AF23" s="49">
        <v>52.32572937011719</v>
      </c>
      <c r="AG23" s="49">
        <v>422.2810833120189</v>
      </c>
      <c r="AH23" s="49">
        <v>1006.6711148052531</v>
      </c>
      <c r="AI23" s="69">
        <v>0.4194826662864086</v>
      </c>
      <c r="AJ23" s="49">
        <v>160.58377075195312</v>
      </c>
      <c r="AK23" s="49">
        <v>0</v>
      </c>
      <c r="AL23" s="49">
        <v>0</v>
      </c>
      <c r="AM23" s="49">
        <v>582.8648681640625</v>
      </c>
      <c r="AN23" s="49">
        <v>1006.6711148052531</v>
      </c>
      <c r="AO23" s="69">
        <v>0.5790022611618042</v>
      </c>
    </row>
    <row r="24" spans="1:41" ht="12.75" customHeight="1">
      <c r="A24" t="s">
        <v>167</v>
      </c>
      <c r="B24" t="s">
        <v>167</v>
      </c>
      <c r="C24" s="49">
        <v>25</v>
      </c>
      <c r="D24" s="49">
        <v>382.4481026290141</v>
      </c>
      <c r="E24" s="49">
        <v>600</v>
      </c>
      <c r="F24" s="49">
        <v>0</v>
      </c>
      <c r="G24" s="49">
        <v>0</v>
      </c>
      <c r="H24" s="49" t="s">
        <v>166</v>
      </c>
      <c r="I24" s="49">
        <v>0.21</v>
      </c>
      <c r="J24" s="49">
        <v>0.4009999930858612</v>
      </c>
      <c r="K24" s="49">
        <v>411.6097704544764</v>
      </c>
      <c r="L24" s="60">
        <v>0.08972358942504782</v>
      </c>
      <c r="M24" s="49">
        <v>0.22374960342165495</v>
      </c>
      <c r="N24" s="49"/>
      <c r="O24" s="49"/>
      <c r="P24" s="49">
        <v>600.0001280290827</v>
      </c>
      <c r="Q24" s="49">
        <v>0</v>
      </c>
      <c r="R24" s="49">
        <v>0</v>
      </c>
      <c r="S24" s="49">
        <v>0</v>
      </c>
      <c r="T24" s="49">
        <v>0</v>
      </c>
      <c r="U24" s="49">
        <v>0</v>
      </c>
      <c r="V24" s="49">
        <v>600.0001280290827</v>
      </c>
      <c r="W24" s="49">
        <v>0</v>
      </c>
      <c r="X24" s="49">
        <v>600.0001280290827</v>
      </c>
      <c r="Y24" s="49">
        <v>0</v>
      </c>
      <c r="Z24" s="49">
        <v>0</v>
      </c>
      <c r="AA24" s="49">
        <v>100.85057830810547</v>
      </c>
      <c r="AB24" s="49">
        <v>0</v>
      </c>
      <c r="AC24" s="49">
        <v>100.85057980156178</v>
      </c>
      <c r="AD24" s="49">
        <v>145.29988767475044</v>
      </c>
      <c r="AE24" s="49">
        <v>3.8905873102602966</v>
      </c>
      <c r="AF24" s="49">
        <v>21.076242446899414</v>
      </c>
      <c r="AG24" s="49">
        <v>170.09029456759615</v>
      </c>
      <c r="AH24" s="49">
        <v>600.0001280290827</v>
      </c>
      <c r="AI24" s="69">
        <v>0.2834837637890498</v>
      </c>
      <c r="AJ24" s="49">
        <v>64.6814193725586</v>
      </c>
      <c r="AK24" s="49">
        <v>0</v>
      </c>
      <c r="AL24" s="49">
        <v>0</v>
      </c>
      <c r="AM24" s="49">
        <v>234.77171325683594</v>
      </c>
      <c r="AN24" s="49">
        <v>600.0001280290827</v>
      </c>
      <c r="AO24" s="69">
        <v>0.39128610491752625</v>
      </c>
    </row>
    <row r="25" spans="1:41" ht="12.75" customHeight="1">
      <c r="A25"/>
      <c r="B25"/>
      <c r="C25" s="49"/>
      <c r="D25" s="49"/>
      <c r="E25" s="49"/>
      <c r="F25" s="49"/>
      <c r="G25" s="49"/>
      <c r="H25" s="49"/>
      <c r="I25" s="49"/>
      <c r="J25" s="49"/>
      <c r="K25" s="49"/>
      <c r="L25" s="60"/>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61"/>
    </row>
    <row r="26" spans="1:41" ht="12.75" customHeight="1" thickBot="1">
      <c r="A26"/>
      <c r="B26"/>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row>
    <row r="27" spans="1:41" ht="12.75" customHeight="1" thickBot="1">
      <c r="A27" s="62" t="s">
        <v>132</v>
      </c>
      <c r="B27" s="71"/>
      <c r="C27" s="72" t="s">
        <v>101</v>
      </c>
      <c r="D27" s="63"/>
      <c r="E27" s="63"/>
      <c r="F27" s="63"/>
      <c r="G27" s="63"/>
      <c r="H27" s="63"/>
      <c r="I27" s="63"/>
      <c r="J27" s="64"/>
      <c r="K27" s="72" t="s">
        <v>45</v>
      </c>
      <c r="L27" s="63"/>
      <c r="M27" s="64"/>
      <c r="N27" s="72" t="s">
        <v>102</v>
      </c>
      <c r="O27" s="63"/>
      <c r="P27" s="63"/>
      <c r="Q27" s="63"/>
      <c r="R27" s="73" t="s">
        <v>103</v>
      </c>
      <c r="S27" s="72" t="s">
        <v>79</v>
      </c>
      <c r="T27" s="63"/>
      <c r="U27" s="63"/>
      <c r="V27" s="63"/>
      <c r="W27" s="63"/>
      <c r="X27" s="64"/>
      <c r="Y27" s="72" t="s">
        <v>80</v>
      </c>
      <c r="Z27" s="63"/>
      <c r="AA27" s="63"/>
      <c r="AB27" s="63"/>
      <c r="AC27" s="63"/>
      <c r="AD27" s="64"/>
      <c r="AE27" s="49"/>
      <c r="AF27" s="49"/>
      <c r="AG27" s="49"/>
      <c r="AH27" s="49"/>
      <c r="AI27" s="49"/>
      <c r="AJ27" s="49"/>
      <c r="AK27" s="49"/>
      <c r="AL27" s="49"/>
      <c r="AM27" s="49"/>
      <c r="AN27" s="49"/>
      <c r="AO27" s="49"/>
    </row>
    <row r="28" spans="1:41" ht="51">
      <c r="A28" s="57"/>
      <c r="B28" s="58" t="s">
        <v>51</v>
      </c>
      <c r="C28" s="59" t="s">
        <v>104</v>
      </c>
      <c r="D28" s="59" t="s">
        <v>82</v>
      </c>
      <c r="E28" s="59" t="s">
        <v>83</v>
      </c>
      <c r="F28" s="59" t="s">
        <v>84</v>
      </c>
      <c r="G28" s="59" t="s">
        <v>85</v>
      </c>
      <c r="H28" s="59" t="s">
        <v>86</v>
      </c>
      <c r="I28" s="59" t="s">
        <v>105</v>
      </c>
      <c r="J28" s="59" t="s">
        <v>106</v>
      </c>
      <c r="K28" s="59" t="s">
        <v>89</v>
      </c>
      <c r="L28" s="59" t="s">
        <v>90</v>
      </c>
      <c r="M28" s="59" t="s">
        <v>91</v>
      </c>
      <c r="N28" s="59" t="s">
        <v>46</v>
      </c>
      <c r="O28" s="59" t="s">
        <v>107</v>
      </c>
      <c r="P28" s="59" t="s">
        <v>108</v>
      </c>
      <c r="Q28" s="59" t="s">
        <v>109</v>
      </c>
      <c r="R28" s="59" t="s">
        <v>110</v>
      </c>
      <c r="S28" s="59" t="s">
        <v>92</v>
      </c>
      <c r="T28" s="59" t="s">
        <v>93</v>
      </c>
      <c r="U28" s="59" t="s">
        <v>56</v>
      </c>
      <c r="V28" s="59" t="s">
        <v>94</v>
      </c>
      <c r="W28" s="59" t="s">
        <v>95</v>
      </c>
      <c r="X28" s="59" t="s">
        <v>96</v>
      </c>
      <c r="Y28" s="59" t="s">
        <v>97</v>
      </c>
      <c r="Z28" s="59" t="s">
        <v>54</v>
      </c>
      <c r="AA28" s="59" t="s">
        <v>55</v>
      </c>
      <c r="AB28" s="59" t="s">
        <v>98</v>
      </c>
      <c r="AC28" s="59" t="s">
        <v>99</v>
      </c>
      <c r="AD28" s="59" t="s">
        <v>100</v>
      </c>
      <c r="AE28" s="49"/>
      <c r="AF28" s="49"/>
      <c r="AG28" s="49"/>
      <c r="AH28" s="49"/>
      <c r="AI28" s="49"/>
      <c r="AJ28" s="49"/>
      <c r="AK28" s="49"/>
      <c r="AL28" s="49"/>
      <c r="AM28" s="49"/>
      <c r="AN28" s="49"/>
      <c r="AO28" s="49"/>
    </row>
    <row r="29" spans="1:41" ht="12.75" customHeight="1">
      <c r="A29"/>
      <c r="B29" t="s">
        <v>294</v>
      </c>
      <c r="C29" s="49">
        <v>25</v>
      </c>
      <c r="D29" s="49">
        <v>3163.9931872389934</v>
      </c>
      <c r="E29" s="49">
        <v>1006.67</v>
      </c>
      <c r="F29" s="49">
        <v>0</v>
      </c>
      <c r="G29" s="49">
        <v>0</v>
      </c>
      <c r="H29" s="49"/>
      <c r="I29" s="49">
        <v>0.21</v>
      </c>
      <c r="J29" s="49">
        <v>0.4009999930858612</v>
      </c>
      <c r="K29" s="49">
        <v>3405.2476677659665</v>
      </c>
      <c r="L29" s="49">
        <v>0.7422832633343105</v>
      </c>
      <c r="M29" s="49">
        <v>1.8510805368423462</v>
      </c>
      <c r="N29" s="49">
        <v>1006.6711148052531</v>
      </c>
      <c r="O29" s="49">
        <v>0</v>
      </c>
      <c r="P29" s="49">
        <v>0</v>
      </c>
      <c r="Q29" s="49">
        <v>1006.671142578125</v>
      </c>
      <c r="R29" s="49">
        <v>20.45274665890551</v>
      </c>
      <c r="S29" s="49">
        <v>1202.0659837223727</v>
      </c>
      <c r="T29" s="49">
        <v>32.18682861328125</v>
      </c>
      <c r="U29" s="49">
        <v>174.36375427246094</v>
      </c>
      <c r="V29" s="49">
        <v>1407.157020788177</v>
      </c>
      <c r="W29" s="49">
        <v>1006.6711148052531</v>
      </c>
      <c r="X29" s="48">
        <v>1.3978319235477423</v>
      </c>
      <c r="Y29" s="60">
        <v>535.109375</v>
      </c>
      <c r="Z29" s="60">
        <v>0</v>
      </c>
      <c r="AA29" s="60">
        <v>0</v>
      </c>
      <c r="AB29" s="60">
        <v>1942.266357421875</v>
      </c>
      <c r="AC29" s="60">
        <v>1006.671142578125</v>
      </c>
      <c r="AD29" s="48">
        <v>1.929395079612732</v>
      </c>
      <c r="AE29" s="60"/>
      <c r="AF29" s="60"/>
      <c r="AG29" s="60"/>
      <c r="AH29" s="60"/>
      <c r="AI29" s="60"/>
      <c r="AJ29" s="60"/>
      <c r="AK29" s="60"/>
      <c r="AL29" s="49"/>
      <c r="AM29" s="49"/>
      <c r="AN29" s="49"/>
      <c r="AO29" s="49"/>
    </row>
    <row r="30" spans="1:41" ht="12.75" customHeight="1">
      <c r="A30"/>
      <c r="B30" t="s">
        <v>291</v>
      </c>
      <c r="C30" s="49">
        <v>25</v>
      </c>
      <c r="D30" s="49">
        <v>3493.2136223043126</v>
      </c>
      <c r="E30" s="49">
        <v>1229.39</v>
      </c>
      <c r="F30" s="49">
        <v>0</v>
      </c>
      <c r="G30" s="49">
        <v>0</v>
      </c>
      <c r="H30" s="49"/>
      <c r="I30" s="49">
        <v>0.21</v>
      </c>
      <c r="J30" s="49">
        <v>0.4009999930858612</v>
      </c>
      <c r="K30" s="49">
        <v>3759.5711610050166</v>
      </c>
      <c r="L30" s="49">
        <v>0.8195194659539112</v>
      </c>
      <c r="M30" s="49">
        <v>2.043689489364624</v>
      </c>
      <c r="N30" s="49">
        <v>1229.3858623285178</v>
      </c>
      <c r="O30" s="49">
        <v>0</v>
      </c>
      <c r="P30" s="49">
        <v>0</v>
      </c>
      <c r="Q30" s="49">
        <v>1229.3858642578125</v>
      </c>
      <c r="R30" s="49">
        <v>22.623648306920742</v>
      </c>
      <c r="S30" s="49">
        <v>1327.1435874714623</v>
      </c>
      <c r="T30" s="49">
        <v>35.53593826293945</v>
      </c>
      <c r="U30" s="49">
        <v>192.50668334960938</v>
      </c>
      <c r="V30" s="49">
        <v>1553.5747948254266</v>
      </c>
      <c r="W30" s="49">
        <v>1229.3858623285178</v>
      </c>
      <c r="X30" s="48">
        <v>1.2636999028790512</v>
      </c>
      <c r="Y30" s="60">
        <v>590.7887573242188</v>
      </c>
      <c r="Z30" s="60">
        <v>0</v>
      </c>
      <c r="AA30" s="60">
        <v>0</v>
      </c>
      <c r="AB30" s="60">
        <v>2144.363525390625</v>
      </c>
      <c r="AC30" s="60">
        <v>1229.3858642578125</v>
      </c>
      <c r="AD30" s="48">
        <v>1.7442559003829956</v>
      </c>
      <c r="AE30" s="60"/>
      <c r="AF30" s="60"/>
      <c r="AG30" s="60"/>
      <c r="AH30" s="60"/>
      <c r="AI30" s="60"/>
      <c r="AJ30" s="60"/>
      <c r="AK30" s="60"/>
      <c r="AL30" s="49"/>
      <c r="AM30" s="49"/>
      <c r="AN30" s="49"/>
      <c r="AO30" s="49"/>
    </row>
    <row r="31" spans="1:41" ht="12.75" customHeight="1">
      <c r="A31"/>
      <c r="B31" t="s">
        <v>232</v>
      </c>
      <c r="C31" s="49">
        <v>25</v>
      </c>
      <c r="D31" s="49">
        <v>4851.5630736724415</v>
      </c>
      <c r="E31" s="49">
        <v>1857.16</v>
      </c>
      <c r="F31" s="49">
        <v>0</v>
      </c>
      <c r="G31" s="49">
        <v>0</v>
      </c>
      <c r="H31" s="49"/>
      <c r="I31" s="49">
        <v>0.21</v>
      </c>
      <c r="J31" s="49">
        <v>0.4009999930858612</v>
      </c>
      <c r="K31" s="49">
        <v>5221.494758039965</v>
      </c>
      <c r="L31" s="49">
        <v>1.1381927385691926</v>
      </c>
      <c r="M31" s="49">
        <v>2.838385820388794</v>
      </c>
      <c r="N31" s="49">
        <v>1857.160396284152</v>
      </c>
      <c r="O31" s="49">
        <v>0</v>
      </c>
      <c r="P31" s="49">
        <v>0</v>
      </c>
      <c r="Q31" s="49">
        <v>1857.160400390625</v>
      </c>
      <c r="R31" s="49">
        <v>24.60748867729805</v>
      </c>
      <c r="S31" s="49">
        <v>1843.2084374474646</v>
      </c>
      <c r="T31" s="49">
        <v>49.354225158691406</v>
      </c>
      <c r="U31" s="49">
        <v>267.3636474609375</v>
      </c>
      <c r="V31" s="49">
        <v>2157.6882895689323</v>
      </c>
      <c r="W31" s="49">
        <v>1857.160396284152</v>
      </c>
      <c r="X31" s="48">
        <v>1.1618211835047114</v>
      </c>
      <c r="Y31" s="60">
        <v>820.5191650390625</v>
      </c>
      <c r="Z31" s="60">
        <v>0</v>
      </c>
      <c r="AA31" s="60">
        <v>0</v>
      </c>
      <c r="AB31" s="60">
        <v>2978.20751953125</v>
      </c>
      <c r="AC31" s="60">
        <v>1857.160400390625</v>
      </c>
      <c r="AD31" s="48">
        <v>1.6036350727081299</v>
      </c>
      <c r="AE31" s="60"/>
      <c r="AF31" s="60"/>
      <c r="AG31" s="60"/>
      <c r="AH31" s="60"/>
      <c r="AI31" s="60"/>
      <c r="AJ31" s="60"/>
      <c r="AK31" s="60"/>
      <c r="AL31" s="49"/>
      <c r="AM31" s="49"/>
      <c r="AN31" s="49"/>
      <c r="AO31" s="49"/>
    </row>
    <row r="32" spans="1:41" ht="12.75" customHeight="1">
      <c r="A32"/>
      <c r="B32" t="s">
        <v>245</v>
      </c>
      <c r="C32" s="49">
        <v>25</v>
      </c>
      <c r="D32" s="49">
        <v>196.55161862934256</v>
      </c>
      <c r="E32" s="49">
        <v>142.54</v>
      </c>
      <c r="F32" s="49">
        <v>0</v>
      </c>
      <c r="G32" s="49">
        <v>0</v>
      </c>
      <c r="H32" s="49"/>
      <c r="I32" s="49">
        <v>0.21</v>
      </c>
      <c r="J32" s="49">
        <v>0.4009999930858612</v>
      </c>
      <c r="K32" s="49">
        <v>211.5386795498299</v>
      </c>
      <c r="L32" s="49">
        <v>0.0461116596199576</v>
      </c>
      <c r="M32" s="49">
        <v>0.1149916723370552</v>
      </c>
      <c r="N32" s="49">
        <v>142.53753041490896</v>
      </c>
      <c r="O32" s="49">
        <v>0</v>
      </c>
      <c r="P32" s="49">
        <v>0</v>
      </c>
      <c r="Q32" s="49">
        <v>142.53753662109375</v>
      </c>
      <c r="R32" s="49">
        <v>46.617842997145424</v>
      </c>
      <c r="S32" s="49">
        <v>74.67399606068078</v>
      </c>
      <c r="T32" s="49">
        <v>1.9994901418685913</v>
      </c>
      <c r="U32" s="49">
        <v>10.831716537475586</v>
      </c>
      <c r="V32" s="49">
        <v>87.4145337654938</v>
      </c>
      <c r="W32" s="49">
        <v>142.53753041490896</v>
      </c>
      <c r="X32" s="69">
        <v>0.6132738059305574</v>
      </c>
      <c r="Y32" s="60">
        <v>33.24173355102539</v>
      </c>
      <c r="Z32" s="60">
        <v>0</v>
      </c>
      <c r="AA32" s="60">
        <v>0</v>
      </c>
      <c r="AB32" s="60">
        <v>120.65626525878906</v>
      </c>
      <c r="AC32" s="60">
        <v>142.53753662109375</v>
      </c>
      <c r="AD32" s="69">
        <v>0.8464876413345337</v>
      </c>
      <c r="AE32" s="60"/>
      <c r="AF32" s="60"/>
      <c r="AG32" s="60"/>
      <c r="AH32" s="60"/>
      <c r="AI32" s="60"/>
      <c r="AJ32" s="60"/>
      <c r="AK32" s="60"/>
      <c r="AL32" s="49"/>
      <c r="AM32" s="49"/>
      <c r="AN32" s="49"/>
      <c r="AO32" s="49"/>
    </row>
    <row r="33" spans="1:41" ht="12.75" customHeight="1">
      <c r="A33"/>
      <c r="B33" t="s">
        <v>216</v>
      </c>
      <c r="C33" s="49">
        <v>25</v>
      </c>
      <c r="D33" s="49">
        <v>718.6496756696652</v>
      </c>
      <c r="E33" s="49">
        <v>530.38</v>
      </c>
      <c r="F33" s="49">
        <v>0</v>
      </c>
      <c r="G33" s="49">
        <v>0</v>
      </c>
      <c r="H33" s="49"/>
      <c r="I33" s="49">
        <v>0.21</v>
      </c>
      <c r="J33" s="49">
        <v>0.4010000228881836</v>
      </c>
      <c r="K33" s="49">
        <v>773.446713439477</v>
      </c>
      <c r="L33" s="49">
        <v>0.16859759009649508</v>
      </c>
      <c r="M33" s="49">
        <v>0.4204428791999817</v>
      </c>
      <c r="N33" s="49">
        <v>530.3761131725879</v>
      </c>
      <c r="O33" s="49">
        <v>0</v>
      </c>
      <c r="P33" s="49">
        <v>0</v>
      </c>
      <c r="Q33" s="49">
        <v>530.3760986328125</v>
      </c>
      <c r="R33" s="49">
        <v>47.44236156851241</v>
      </c>
      <c r="S33" s="49">
        <v>273.02976909677164</v>
      </c>
      <c r="T33" s="49">
        <v>7.310715675354004</v>
      </c>
      <c r="U33" s="49">
        <v>39.60389709472656</v>
      </c>
      <c r="V33" s="49">
        <v>319.6128695294536</v>
      </c>
      <c r="W33" s="49">
        <v>530.3761131725879</v>
      </c>
      <c r="X33" s="69">
        <v>0.6026155054713963</v>
      </c>
      <c r="Y33" s="60">
        <v>121.54141998291016</v>
      </c>
      <c r="Z33" s="60">
        <v>0</v>
      </c>
      <c r="AA33" s="60">
        <v>0</v>
      </c>
      <c r="AB33" s="60">
        <v>441.154296875</v>
      </c>
      <c r="AC33" s="60">
        <v>530.3760986328125</v>
      </c>
      <c r="AD33" s="69">
        <v>0.8317763805389404</v>
      </c>
      <c r="AE33" s="60"/>
      <c r="AF33" s="60"/>
      <c r="AG33" s="60"/>
      <c r="AH33" s="60"/>
      <c r="AI33" s="60"/>
      <c r="AJ33" s="60"/>
      <c r="AK33" s="60"/>
      <c r="AL33" s="49"/>
      <c r="AM33" s="49"/>
      <c r="AN33" s="49"/>
      <c r="AO33" s="49"/>
    </row>
    <row r="34" spans="1:41" ht="12.75" customHeight="1">
      <c r="A34"/>
      <c r="B34" t="s">
        <v>247</v>
      </c>
      <c r="C34" s="49">
        <v>25</v>
      </c>
      <c r="D34" s="49">
        <v>949.4991992964806</v>
      </c>
      <c r="E34" s="49">
        <v>1006.67</v>
      </c>
      <c r="F34" s="49">
        <v>0</v>
      </c>
      <c r="G34" s="49">
        <v>0</v>
      </c>
      <c r="H34" s="49"/>
      <c r="I34" s="49">
        <v>0.21</v>
      </c>
      <c r="J34" s="49">
        <v>0.4009999930858612</v>
      </c>
      <c r="K34" s="49">
        <v>1021.8985132428371</v>
      </c>
      <c r="L34" s="49">
        <v>0.22275565163341463</v>
      </c>
      <c r="M34" s="49">
        <v>0.5555003881454468</v>
      </c>
      <c r="N34" s="49">
        <v>1006.6711148052531</v>
      </c>
      <c r="O34" s="49">
        <v>0</v>
      </c>
      <c r="P34" s="49">
        <v>0</v>
      </c>
      <c r="Q34" s="49">
        <v>1006.671142578125</v>
      </c>
      <c r="R34" s="49">
        <v>68.15419237535947</v>
      </c>
      <c r="S34" s="49">
        <v>360.7342435657774</v>
      </c>
      <c r="T34" s="49">
        <v>9.659112930297852</v>
      </c>
      <c r="U34" s="49">
        <v>52.32572937011719</v>
      </c>
      <c r="V34" s="49">
        <v>422.2810833120189</v>
      </c>
      <c r="W34" s="49">
        <v>1006.6711148052531</v>
      </c>
      <c r="X34" s="69">
        <v>0.4194826662864086</v>
      </c>
      <c r="Y34" s="60">
        <v>160.58377075195312</v>
      </c>
      <c r="Z34" s="60">
        <v>0</v>
      </c>
      <c r="AA34" s="60">
        <v>0</v>
      </c>
      <c r="AB34" s="60">
        <v>582.8648681640625</v>
      </c>
      <c r="AC34" s="60">
        <v>1006.671142578125</v>
      </c>
      <c r="AD34" s="69">
        <v>0.5790022611618042</v>
      </c>
      <c r="AE34" s="60"/>
      <c r="AF34" s="60"/>
      <c r="AG34" s="60"/>
      <c r="AH34" s="60"/>
      <c r="AI34" s="60"/>
      <c r="AJ34" s="60"/>
      <c r="AK34" s="60"/>
      <c r="AL34" s="49"/>
      <c r="AM34" s="49"/>
      <c r="AN34" s="49"/>
      <c r="AO34" s="49"/>
    </row>
    <row r="35" spans="1:41" ht="12.75" customHeight="1">
      <c r="A35"/>
      <c r="B35" t="s">
        <v>167</v>
      </c>
      <c r="C35" s="49">
        <v>25</v>
      </c>
      <c r="D35" s="49">
        <v>382.4481026290141</v>
      </c>
      <c r="E35" s="49">
        <v>600</v>
      </c>
      <c r="F35" s="49">
        <v>0</v>
      </c>
      <c r="G35" s="49">
        <v>0</v>
      </c>
      <c r="H35" s="49"/>
      <c r="I35" s="49">
        <v>0.21</v>
      </c>
      <c r="J35" s="49">
        <v>0.4009999632835388</v>
      </c>
      <c r="K35" s="49">
        <v>411.6097704544764</v>
      </c>
      <c r="L35" s="49">
        <v>0.08972358942504782</v>
      </c>
      <c r="M35" s="49">
        <v>0.22374960780143738</v>
      </c>
      <c r="N35" s="49">
        <v>600.0001280290827</v>
      </c>
      <c r="O35" s="49">
        <v>0</v>
      </c>
      <c r="P35" s="49">
        <v>0</v>
      </c>
      <c r="Q35" s="49">
        <v>600.0001220703125</v>
      </c>
      <c r="R35" s="49">
        <v>100.85057929242065</v>
      </c>
      <c r="S35" s="49">
        <v>145.29988767475044</v>
      </c>
      <c r="T35" s="49">
        <v>3.890587329864502</v>
      </c>
      <c r="U35" s="49">
        <v>21.076242446899414</v>
      </c>
      <c r="V35" s="49">
        <v>170.09029456759615</v>
      </c>
      <c r="W35" s="49">
        <v>600.0001280290827</v>
      </c>
      <c r="X35" s="69">
        <v>0.2834837637890498</v>
      </c>
      <c r="Y35" s="60">
        <v>64.6814193725586</v>
      </c>
      <c r="Z35" s="60">
        <v>0</v>
      </c>
      <c r="AA35" s="60">
        <v>0</v>
      </c>
      <c r="AB35" s="60">
        <v>234.77171325683594</v>
      </c>
      <c r="AC35" s="60">
        <v>600.0001220703125</v>
      </c>
      <c r="AD35" s="69">
        <v>0.39128610491752625</v>
      </c>
      <c r="AE35" s="60"/>
      <c r="AF35" s="60"/>
      <c r="AG35" s="60"/>
      <c r="AH35" s="60"/>
      <c r="AI35" s="60"/>
      <c r="AJ35" s="60"/>
      <c r="AK35" s="60"/>
      <c r="AL35" s="49"/>
      <c r="AM35" s="49"/>
      <c r="AN35" s="49"/>
      <c r="AO35" s="49"/>
    </row>
    <row r="36" spans="1:41" ht="12.75" customHeight="1">
      <c r="A36"/>
      <c r="B36"/>
      <c r="C36" s="49"/>
      <c r="D36" s="49"/>
      <c r="E36" s="49"/>
      <c r="F36" s="49"/>
      <c r="G36" s="49"/>
      <c r="H36" s="49"/>
      <c r="I36" s="49"/>
      <c r="J36" s="49"/>
      <c r="K36" s="49"/>
      <c r="L36" s="49"/>
      <c r="M36" s="49"/>
      <c r="N36" s="49"/>
      <c r="O36" s="49"/>
      <c r="P36" s="49"/>
      <c r="Q36" s="49"/>
      <c r="R36" s="49"/>
      <c r="S36" s="49"/>
      <c r="T36" s="49"/>
      <c r="U36" s="49"/>
      <c r="V36" s="49"/>
      <c r="W36" s="49"/>
      <c r="X36" s="60"/>
      <c r="Y36" s="60"/>
      <c r="Z36" s="60"/>
      <c r="AA36" s="60"/>
      <c r="AB36" s="60"/>
      <c r="AC36" s="60"/>
      <c r="AD36" s="60"/>
      <c r="AE36" s="60"/>
      <c r="AF36" s="60"/>
      <c r="AG36" s="60"/>
      <c r="AH36" s="60"/>
      <c r="AI36" s="60"/>
      <c r="AJ36" s="60"/>
      <c r="AK36" s="60"/>
      <c r="AL36" s="49"/>
      <c r="AM36" s="49"/>
      <c r="AN36" s="49"/>
      <c r="AO36" s="49"/>
    </row>
    <row r="37" spans="1:41" ht="12.75" customHeight="1" thickBot="1">
      <c r="A37"/>
      <c r="B37"/>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thickBot="1">
      <c r="A38" s="65" t="s">
        <v>62</v>
      </c>
      <c r="B38" s="66"/>
      <c r="C38" s="67"/>
      <c r="D38" s="67"/>
      <c r="E38" s="67"/>
      <c r="F38" s="67"/>
      <c r="G38" s="67"/>
      <c r="H38" s="67"/>
      <c r="I38" s="67"/>
      <c r="J38" s="67"/>
      <c r="K38" s="68"/>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25.5">
      <c r="A39" s="57"/>
      <c r="B39" s="58" t="s">
        <v>63</v>
      </c>
      <c r="C39" s="59" t="s">
        <v>59</v>
      </c>
      <c r="D39" s="59" t="s">
        <v>60</v>
      </c>
      <c r="E39" s="59" t="s">
        <v>64</v>
      </c>
      <c r="F39" s="59" t="s">
        <v>65</v>
      </c>
      <c r="G39" s="59" t="s">
        <v>66</v>
      </c>
      <c r="H39" s="59" t="s">
        <v>67</v>
      </c>
      <c r="I39" s="59" t="s">
        <v>61</v>
      </c>
      <c r="J39" s="59" t="s">
        <v>50</v>
      </c>
      <c r="K39" s="59" t="s">
        <v>58</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68</v>
      </c>
      <c r="C40" s="49">
        <v>7164.818828770984</v>
      </c>
      <c r="D40" s="49">
        <v>2236.056977133771</v>
      </c>
      <c r="E40" s="49">
        <v>2236.06</v>
      </c>
      <c r="F40" s="49">
        <v>447.21130000000005</v>
      </c>
      <c r="G40" s="49">
        <v>2683.268277133771</v>
      </c>
      <c r="H40" s="49">
        <v>3280.67333984375</v>
      </c>
      <c r="I40" s="49">
        <v>25.910250663045318</v>
      </c>
      <c r="J40" s="49">
        <v>2529.209571193835</v>
      </c>
      <c r="K40" s="69">
        <v>0.9425854256718231</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t="s">
        <v>69</v>
      </c>
      <c r="C41" s="49">
        <v>0</v>
      </c>
      <c r="D41" s="49">
        <v>0</v>
      </c>
      <c r="E41" s="49">
        <v>0</v>
      </c>
      <c r="F41" s="49">
        <v>0</v>
      </c>
      <c r="G41" s="49">
        <v>0</v>
      </c>
      <c r="H41" s="49">
        <v>0</v>
      </c>
      <c r="I41" s="49">
        <v>0</v>
      </c>
      <c r="J41" s="49">
        <v>5226.155905039281</v>
      </c>
      <c r="K41" s="69">
        <v>0</v>
      </c>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t="s">
        <v>70</v>
      </c>
      <c r="C42" s="49">
        <v>7589.385776314417</v>
      </c>
      <c r="D42" s="49">
        <v>4098.2275390625</v>
      </c>
      <c r="E42" s="49">
        <v>4098.227118524377</v>
      </c>
      <c r="F42" s="49">
        <v>819.6454237048755</v>
      </c>
      <c r="G42" s="49">
        <v>4917.872962767376</v>
      </c>
      <c r="H42" s="49">
        <v>5676.42333984375</v>
      </c>
      <c r="I42" s="49">
        <v>44.83151428543276</v>
      </c>
      <c r="J42" s="49">
        <v>2679.083393966213</v>
      </c>
      <c r="K42" s="69">
        <v>0.5447646603011568</v>
      </c>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t="s">
        <v>71</v>
      </c>
      <c r="C43" s="49">
        <v>0</v>
      </c>
      <c r="D43" s="49">
        <v>0</v>
      </c>
      <c r="E43" s="49">
        <v>0</v>
      </c>
      <c r="F43" s="49">
        <v>0</v>
      </c>
      <c r="G43" s="49">
        <v>0</v>
      </c>
      <c r="H43" s="49">
        <v>0</v>
      </c>
      <c r="I43" s="49">
        <v>0</v>
      </c>
      <c r="J43" s="49">
        <v>0</v>
      </c>
      <c r="K43" s="69">
        <v>0</v>
      </c>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t="s">
        <v>72</v>
      </c>
      <c r="C44" s="49">
        <v>0</v>
      </c>
      <c r="D44" s="49">
        <v>0</v>
      </c>
      <c r="E44" s="49">
        <v>0</v>
      </c>
      <c r="F44" s="49">
        <v>0</v>
      </c>
      <c r="G44" s="49">
        <v>0</v>
      </c>
      <c r="H44" s="49">
        <v>0</v>
      </c>
      <c r="I44" s="49">
        <v>0</v>
      </c>
      <c r="J44" s="49">
        <v>0</v>
      </c>
      <c r="K44" s="70">
        <v>0</v>
      </c>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t="s">
        <v>73</v>
      </c>
      <c r="C45" s="49">
        <v>12386.31358681095</v>
      </c>
      <c r="D45" s="49">
        <v>4093.217373417923</v>
      </c>
      <c r="E45" s="49">
        <v>4093.22</v>
      </c>
      <c r="F45" s="49">
        <v>818.6433000000001</v>
      </c>
      <c r="G45" s="49">
        <v>4911.860673417923</v>
      </c>
      <c r="H45" s="49">
        <v>3473.826171875</v>
      </c>
      <c r="I45" s="49">
        <v>27.435741350737654</v>
      </c>
      <c r="J45" s="49">
        <v>4372.4180086413</v>
      </c>
      <c r="K45" s="70">
        <v>0.8901754954703853</v>
      </c>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t="s">
        <v>74</v>
      </c>
      <c r="C46" s="49">
        <v>0</v>
      </c>
      <c r="D46" s="49">
        <v>0</v>
      </c>
      <c r="E46" s="49">
        <v>0</v>
      </c>
      <c r="F46" s="49">
        <v>0</v>
      </c>
      <c r="G46" s="49">
        <v>0</v>
      </c>
      <c r="H46" s="49">
        <v>0</v>
      </c>
      <c r="I46" s="49">
        <v>0</v>
      </c>
      <c r="J46" s="49">
        <v>0</v>
      </c>
      <c r="K46" s="70">
        <v>0</v>
      </c>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t="s">
        <v>75</v>
      </c>
      <c r="C47" s="49">
        <v>0</v>
      </c>
      <c r="D47" s="49">
        <v>0</v>
      </c>
      <c r="E47" s="49">
        <v>0</v>
      </c>
      <c r="F47" s="49">
        <v>0</v>
      </c>
      <c r="G47" s="49">
        <v>0</v>
      </c>
      <c r="H47" s="49">
        <v>0</v>
      </c>
      <c r="I47" s="49">
        <v>0</v>
      </c>
      <c r="J47" s="49">
        <v>0</v>
      </c>
      <c r="K47" s="70">
        <v>0</v>
      </c>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t="s">
        <v>76</v>
      </c>
      <c r="C48" s="49">
        <v>984.9853929893069</v>
      </c>
      <c r="D48" s="49">
        <v>672.9136435874968</v>
      </c>
      <c r="E48" s="49">
        <v>672.91</v>
      </c>
      <c r="F48" s="49">
        <v>134.58270000000002</v>
      </c>
      <c r="G48" s="49">
        <v>807.4963435874969</v>
      </c>
      <c r="H48" s="49">
        <v>7181.4951171875</v>
      </c>
      <c r="I48" s="49">
        <v>56.71833923670715</v>
      </c>
      <c r="J48" s="49">
        <v>347.70376515745244</v>
      </c>
      <c r="K48" s="70">
        <v>0.43059484778927265</v>
      </c>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t="s">
        <v>77</v>
      </c>
      <c r="C49" s="49">
        <v>1433.5082836973136</v>
      </c>
      <c r="D49" s="49">
        <v>1606.6712428343358</v>
      </c>
      <c r="E49" s="49">
        <v>1606.67</v>
      </c>
      <c r="F49" s="49">
        <v>321.33418</v>
      </c>
      <c r="G49" s="49">
        <v>1928.0054228343358</v>
      </c>
      <c r="H49" s="49">
        <v>11781.8134765625</v>
      </c>
      <c r="I49" s="49">
        <v>93.0509423357679</v>
      </c>
      <c r="J49" s="49">
        <v>506.0341312405278</v>
      </c>
      <c r="K49" s="70">
        <v>0.26246509747706703</v>
      </c>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39"/>
      <c r="AF513" s="39"/>
      <c r="AG513" s="39"/>
      <c r="AH513" s="39"/>
      <c r="AI513" s="39"/>
      <c r="AJ513" s="39"/>
      <c r="AK513" s="39"/>
      <c r="AL513" s="39"/>
      <c r="AM513" s="39"/>
      <c r="AN513" s="39"/>
      <c r="AO513" s="39"/>
    </row>
    <row r="514" spans="1:41" ht="12.75">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39"/>
      <c r="AF514" s="39"/>
      <c r="AG514" s="39"/>
      <c r="AH514" s="39"/>
      <c r="AI514" s="39"/>
      <c r="AJ514" s="39"/>
      <c r="AK514" s="39"/>
      <c r="AL514" s="39"/>
      <c r="AM514" s="39"/>
      <c r="AN514" s="39"/>
      <c r="AO514" s="39"/>
    </row>
    <row r="515" spans="3:41" ht="12.75">
      <c r="C515" s="39"/>
      <c r="D515" s="39"/>
      <c r="E515" s="39"/>
      <c r="F515" s="39"/>
      <c r="G515" s="39"/>
      <c r="H515" s="39"/>
      <c r="I515" s="100"/>
      <c r="J515" s="100"/>
      <c r="K515" s="100"/>
      <c r="L515" s="100"/>
      <c r="M515" s="100"/>
      <c r="S515" s="39"/>
      <c r="T515" s="39"/>
      <c r="U515" s="39"/>
      <c r="X515" s="49"/>
      <c r="Y515" s="49"/>
      <c r="Z515" s="39"/>
      <c r="AA515" s="39"/>
      <c r="AB515" s="39"/>
      <c r="AC515" s="39"/>
      <c r="AD515" s="39"/>
      <c r="AE515" s="39"/>
      <c r="AF515" s="39"/>
      <c r="AG515" s="39"/>
      <c r="AH515" s="39"/>
      <c r="AI515" s="39"/>
      <c r="AJ515" s="39"/>
      <c r="AK515" s="39"/>
      <c r="AL515" s="39"/>
      <c r="AM515" s="39"/>
      <c r="AN515" s="39"/>
      <c r="AO515" s="39"/>
    </row>
    <row r="516" spans="3:41" ht="12.75">
      <c r="C516" s="39"/>
      <c r="D516" s="39"/>
      <c r="E516" s="39"/>
      <c r="F516" s="39"/>
      <c r="G516" s="39"/>
      <c r="H516" s="39"/>
      <c r="I516" s="100"/>
      <c r="J516" s="100"/>
      <c r="K516" s="100"/>
      <c r="L516" s="100"/>
      <c r="M516" s="100"/>
      <c r="S516" s="39"/>
      <c r="T516" s="39"/>
      <c r="U516" s="39"/>
      <c r="X516" s="49"/>
      <c r="Y516" s="49"/>
      <c r="Z516" s="39"/>
      <c r="AA516" s="39"/>
      <c r="AB516" s="39"/>
      <c r="AC516" s="39"/>
      <c r="AD516" s="39"/>
      <c r="AE516" s="39"/>
      <c r="AF516" s="39"/>
      <c r="AG516" s="39"/>
      <c r="AH516" s="39"/>
      <c r="AI516" s="39"/>
      <c r="AJ516" s="39"/>
      <c r="AK516" s="39"/>
      <c r="AL516" s="39"/>
      <c r="AM516" s="39"/>
      <c r="AN516" s="39"/>
      <c r="AO516" s="39"/>
    </row>
    <row r="517" spans="3:30" ht="12.75">
      <c r="C517" s="39"/>
      <c r="D517" s="39"/>
      <c r="E517" s="39"/>
      <c r="F517" s="39"/>
      <c r="G517" s="39"/>
      <c r="H517" s="39"/>
      <c r="I517" s="100"/>
      <c r="J517" s="100"/>
      <c r="K517" s="100"/>
      <c r="L517" s="100"/>
      <c r="M517" s="100"/>
      <c r="S517" s="39"/>
      <c r="T517" s="39"/>
      <c r="U517" s="39"/>
      <c r="X517" s="49"/>
      <c r="Y517" s="49"/>
      <c r="Z517" s="39"/>
      <c r="AA517" s="39"/>
      <c r="AB517" s="39"/>
      <c r="AC517" s="39"/>
      <c r="AD517" s="39"/>
    </row>
    <row r="518" spans="3:30" ht="12.75">
      <c r="C518" s="39"/>
      <c r="D518" s="39"/>
      <c r="E518" s="39"/>
      <c r="F518" s="39"/>
      <c r="G518" s="39"/>
      <c r="H518" s="39"/>
      <c r="I518" s="100"/>
      <c r="J518" s="100"/>
      <c r="K518" s="100"/>
      <c r="L518" s="100"/>
      <c r="M518" s="100"/>
      <c r="S518" s="39"/>
      <c r="T518" s="39"/>
      <c r="U518" s="39"/>
      <c r="X518" s="49"/>
      <c r="Y518" s="49"/>
      <c r="Z518" s="39"/>
      <c r="AA518" s="39"/>
      <c r="AB518" s="39"/>
      <c r="AC518" s="39"/>
      <c r="AD518" s="39"/>
    </row>
  </sheetData>
  <printOptions gridLines="1" headings="1"/>
  <pageMargins left="0.25" right="0.23" top="1" bottom="1" header="0.5" footer="0.5"/>
  <pageSetup blackAndWhite="1"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AO518"/>
  <sheetViews>
    <sheetView workbookViewId="0" topLeftCell="A21">
      <selection activeCell="K50" sqref="K50"/>
    </sheetView>
  </sheetViews>
  <sheetFormatPr defaultColWidth="9.140625" defaultRowHeight="12.75"/>
  <cols>
    <col min="1" max="1" width="37.57421875" style="0" customWidth="1"/>
    <col min="2" max="2" width="37.7109375" style="0" customWidth="1"/>
    <col min="3" max="3" width="8.7109375" style="0" customWidth="1"/>
    <col min="4" max="4" width="9.28125" style="0" customWidth="1"/>
    <col min="5" max="6" width="8.7109375" style="0" customWidth="1"/>
    <col min="7" max="7" width="12.140625" style="0" customWidth="1"/>
    <col min="8" max="8" width="12.00390625" style="0" customWidth="1"/>
    <col min="9" max="13" width="8.7109375" style="106" customWidth="1"/>
    <col min="14" max="18" width="8.7109375" style="49" customWidth="1"/>
    <col min="19" max="21" width="8.7109375" style="0" customWidth="1"/>
    <col min="22" max="22" width="8.7109375" style="49" customWidth="1"/>
  </cols>
  <sheetData>
    <row r="1" spans="1:7" ht="14.25">
      <c r="A1" s="36" t="s">
        <v>127</v>
      </c>
      <c r="B1" s="37"/>
      <c r="C1" s="37"/>
      <c r="D1" s="37"/>
      <c r="E1" s="37"/>
      <c r="F1" s="37"/>
      <c r="G1" s="37"/>
    </row>
    <row r="2" spans="1:7" ht="12.75">
      <c r="A2" s="101">
        <v>1568</v>
      </c>
      <c r="B2" s="37"/>
      <c r="C2" s="37"/>
      <c r="D2" s="37"/>
      <c r="E2" s="37"/>
      <c r="F2" s="37"/>
      <c r="G2" s="37"/>
    </row>
    <row r="3" spans="1:7" ht="12.75">
      <c r="A3" s="37"/>
      <c r="B3" s="37"/>
      <c r="C3" s="37"/>
      <c r="D3" s="37"/>
      <c r="E3" s="37"/>
      <c r="F3" s="37"/>
      <c r="G3" s="37"/>
    </row>
    <row r="4" spans="1:22" ht="12.75">
      <c r="A4" s="107" t="s">
        <v>32</v>
      </c>
      <c r="B4" s="108"/>
      <c r="C4" s="108"/>
      <c r="D4" s="108"/>
      <c r="E4" s="108"/>
      <c r="F4" s="108"/>
      <c r="G4" s="109"/>
      <c r="H4" s="43"/>
      <c r="I4" s="44" t="s">
        <v>33</v>
      </c>
      <c r="J4" s="45"/>
      <c r="K4" s="45"/>
      <c r="L4" s="45"/>
      <c r="M4" s="45"/>
      <c r="N4" s="45"/>
      <c r="O4"/>
      <c r="P4"/>
      <c r="Q4"/>
      <c r="R4"/>
      <c r="V4"/>
    </row>
    <row r="5" spans="1:22" ht="25.5">
      <c r="A5" s="46" t="s">
        <v>34</v>
      </c>
      <c r="B5" s="46" t="s">
        <v>35</v>
      </c>
      <c r="C5" s="46" t="s">
        <v>128</v>
      </c>
      <c r="D5" s="46" t="s">
        <v>168</v>
      </c>
      <c r="E5" s="46" t="s">
        <v>169</v>
      </c>
      <c r="F5" s="46" t="s">
        <v>170</v>
      </c>
      <c r="G5" s="47" t="s">
        <v>38</v>
      </c>
      <c r="H5" s="47" t="s">
        <v>130</v>
      </c>
      <c r="I5" s="47" t="s">
        <v>39</v>
      </c>
      <c r="J5" s="47" t="s">
        <v>40</v>
      </c>
      <c r="K5" s="47" t="s">
        <v>41</v>
      </c>
      <c r="L5" s="47" t="s">
        <v>42</v>
      </c>
      <c r="M5" s="47" t="s">
        <v>43</v>
      </c>
      <c r="N5" s="47" t="s">
        <v>44</v>
      </c>
      <c r="O5"/>
      <c r="P5"/>
      <c r="Q5"/>
      <c r="R5"/>
      <c r="V5"/>
    </row>
    <row r="6" spans="1:22" ht="12.75">
      <c r="A6" s="102" t="str">
        <f>B6</f>
        <v>ATTIC R22 Blown</v>
      </c>
      <c r="B6" s="102" t="str">
        <f>UAOptimizer!$Z31</f>
        <v>ATTIC R22 Blown</v>
      </c>
      <c r="C6" s="104">
        <f>UAOptimizer!$AE31</f>
        <v>6053.5008161282385</v>
      </c>
      <c r="D6" s="103">
        <v>25</v>
      </c>
      <c r="E6" s="105">
        <f>UAOptimizer!$AB31</f>
        <v>1708.2899409788429</v>
      </c>
      <c r="F6" s="103">
        <v>0</v>
      </c>
      <c r="G6" s="99" t="s">
        <v>166</v>
      </c>
      <c r="H6" s="49"/>
      <c r="I6" s="49"/>
      <c r="J6" s="49"/>
      <c r="K6" s="49"/>
      <c r="L6" s="49"/>
      <c r="M6" s="49"/>
      <c r="O6"/>
      <c r="P6"/>
      <c r="Q6"/>
      <c r="R6"/>
      <c r="V6"/>
    </row>
    <row r="7" spans="1:26" ht="12.75" customHeight="1">
      <c r="A7" s="102" t="str">
        <f aca="true" t="shared" si="0" ref="A7:A12">B7</f>
        <v>FLOOR R22 Blown</v>
      </c>
      <c r="B7" s="102" t="str">
        <f>UAOptimizer!$Z32</f>
        <v>FLOOR R22 Blown</v>
      </c>
      <c r="C7" s="104">
        <f>UAOptimizer!$AE32</f>
        <v>6717.159205488948</v>
      </c>
      <c r="D7" s="103">
        <v>25</v>
      </c>
      <c r="E7" s="105">
        <f>UAOptimizer!$AB32</f>
        <v>2086.230193407791</v>
      </c>
      <c r="F7" s="103">
        <v>0</v>
      </c>
      <c r="G7" s="99" t="s">
        <v>166</v>
      </c>
      <c r="H7" s="49"/>
      <c r="I7" s="49"/>
      <c r="J7" s="49"/>
      <c r="K7" s="49"/>
      <c r="L7" s="49"/>
      <c r="M7" s="49"/>
      <c r="S7" s="49"/>
      <c r="T7" s="49"/>
      <c r="U7" s="49"/>
      <c r="W7" s="49"/>
      <c r="X7" s="49"/>
      <c r="Y7" s="49"/>
      <c r="Z7" s="49"/>
    </row>
    <row r="8" spans="1:26" ht="12.75" customHeight="1">
      <c r="A8" s="102" t="str">
        <f t="shared" si="0"/>
        <v>CLASS 35 PRIME WINDOW (Energy Star)</v>
      </c>
      <c r="B8" s="102" t="str">
        <f>UAOptimizer!$Z33</f>
        <v>CLASS 35 PRIME WINDOW (Energy Star)</v>
      </c>
      <c r="C8" s="104">
        <f>UAOptimizer!$AE33</f>
        <v>9405.773620358093</v>
      </c>
      <c r="D8" s="103">
        <v>25</v>
      </c>
      <c r="E8" s="105">
        <f>UAOptimizer!$AB33</f>
        <v>3137.96</v>
      </c>
      <c r="F8" s="103">
        <v>0</v>
      </c>
      <c r="G8" s="99" t="s">
        <v>166</v>
      </c>
      <c r="H8" s="49"/>
      <c r="I8" s="49"/>
      <c r="J8" s="49"/>
      <c r="K8" s="49"/>
      <c r="L8" s="49"/>
      <c r="M8" s="49"/>
      <c r="S8" s="49"/>
      <c r="T8" s="49"/>
      <c r="U8" s="49"/>
      <c r="W8" s="49"/>
      <c r="X8" s="49"/>
      <c r="Y8" s="49"/>
      <c r="Z8" s="49"/>
    </row>
    <row r="9" spans="1:26" ht="12.75" customHeight="1">
      <c r="A9" s="102" t="str">
        <f t="shared" si="0"/>
        <v>FLOOR R30 Blown</v>
      </c>
      <c r="B9" s="102" t="str">
        <f>UAOptimizer!$Z34</f>
        <v>FLOOR R30 Blown</v>
      </c>
      <c r="C9" s="104">
        <f>UAOptimizer!$AE34</f>
        <v>388.6323508063724</v>
      </c>
      <c r="D9" s="103">
        <v>25</v>
      </c>
      <c r="E9" s="105">
        <f>UAOptimizer!$AB34</f>
        <v>241.88176155452655</v>
      </c>
      <c r="F9" s="103">
        <v>0</v>
      </c>
      <c r="G9" s="99" t="s">
        <v>166</v>
      </c>
      <c r="H9" s="49"/>
      <c r="I9" s="49"/>
      <c r="J9" s="49"/>
      <c r="K9" s="49"/>
      <c r="L9" s="49"/>
      <c r="M9" s="49"/>
      <c r="S9" s="49"/>
      <c r="T9" s="49"/>
      <c r="U9" s="49"/>
      <c r="W9" s="49"/>
      <c r="X9" s="49"/>
      <c r="Y9" s="49"/>
      <c r="Z9" s="49"/>
    </row>
    <row r="10" spans="1:26" ht="12.75" customHeight="1">
      <c r="A10" s="102" t="str">
        <f t="shared" si="0"/>
        <v>INFILTRATION @ O.40 ACH</v>
      </c>
      <c r="B10" s="102" t="str">
        <f>UAOptimizer!$Z35</f>
        <v>INFILTRATION @ O.40 ACH</v>
      </c>
      <c r="C10" s="104">
        <f>UAOptimizer!$AE35</f>
        <v>1420.1838553277667</v>
      </c>
      <c r="D10" s="103">
        <v>25</v>
      </c>
      <c r="E10" s="105">
        <f>UAOptimizer!$AB35</f>
        <v>900.032</v>
      </c>
      <c r="F10" s="103">
        <v>0</v>
      </c>
      <c r="G10" s="99" t="s">
        <v>166</v>
      </c>
      <c r="H10" s="49"/>
      <c r="I10" s="49"/>
      <c r="J10" s="49"/>
      <c r="K10" s="49"/>
      <c r="L10" s="49"/>
      <c r="M10" s="49"/>
      <c r="S10" s="49"/>
      <c r="T10" s="49"/>
      <c r="U10" s="49"/>
      <c r="W10" s="49"/>
      <c r="X10" s="49"/>
      <c r="Y10" s="49"/>
      <c r="Z10" s="49"/>
    </row>
    <row r="11" spans="1:26" ht="12.75" customHeight="1">
      <c r="A11" s="102" t="str">
        <f t="shared" si="0"/>
        <v>ATTIC R38 Blown</v>
      </c>
      <c r="B11" s="102" t="str">
        <f>UAOptimizer!$Z36</f>
        <v>ATTIC R38 Blown</v>
      </c>
      <c r="C11" s="104">
        <f>UAOptimizer!$AE36</f>
        <v>1881.3031300555303</v>
      </c>
      <c r="D11" s="103">
        <v>25</v>
      </c>
      <c r="E11" s="105">
        <f>UAOptimizer!$AB36</f>
        <v>1708.2899409788429</v>
      </c>
      <c r="F11" s="103">
        <v>0</v>
      </c>
      <c r="G11" s="99" t="s">
        <v>166</v>
      </c>
      <c r="H11" s="49"/>
      <c r="I11" s="49"/>
      <c r="J11" s="49"/>
      <c r="K11" s="49"/>
      <c r="L11" s="49"/>
      <c r="M11" s="49"/>
      <c r="S11" s="49"/>
      <c r="T11" s="49"/>
      <c r="U11" s="49"/>
      <c r="W11" s="49"/>
      <c r="X11" s="49"/>
      <c r="Y11" s="49"/>
      <c r="Z11" s="49"/>
    </row>
    <row r="12" spans="1:26" ht="12.75" customHeight="1">
      <c r="A12" s="102" t="str">
        <f t="shared" si="0"/>
        <v>DOOR R5</v>
      </c>
      <c r="B12" s="102" t="str">
        <f>UAOptimizer!$Z37</f>
        <v>DOOR R5</v>
      </c>
      <c r="C12" s="104">
        <f>UAOptimizer!$AE37</f>
        <v>446.35705395194964</v>
      </c>
      <c r="D12" s="103">
        <v>25</v>
      </c>
      <c r="E12" s="105">
        <f>UAOptimizer!$AB37</f>
        <v>600</v>
      </c>
      <c r="F12" s="103">
        <v>0</v>
      </c>
      <c r="G12" s="99" t="s">
        <v>166</v>
      </c>
      <c r="H12" s="49"/>
      <c r="I12" s="49"/>
      <c r="J12" s="49"/>
      <c r="K12" s="49"/>
      <c r="L12" s="49"/>
      <c r="M12" s="49"/>
      <c r="S12" s="49"/>
      <c r="T12" s="49"/>
      <c r="U12" s="49"/>
      <c r="W12" s="49"/>
      <c r="X12" s="49"/>
      <c r="Y12" s="49"/>
      <c r="Z12" s="49"/>
    </row>
    <row r="13" spans="9:22" ht="12.75" customHeight="1">
      <c r="I13"/>
      <c r="J13"/>
      <c r="K13"/>
      <c r="L13"/>
      <c r="M13"/>
      <c r="N13"/>
      <c r="O13"/>
      <c r="P13"/>
      <c r="Q13"/>
      <c r="R13"/>
      <c r="V13"/>
    </row>
    <row r="14" spans="9:22" ht="12.75" customHeight="1" thickBot="1">
      <c r="I14"/>
      <c r="J14"/>
      <c r="K14"/>
      <c r="L14"/>
      <c r="M14"/>
      <c r="N14"/>
      <c r="O14"/>
      <c r="P14"/>
      <c r="Q14"/>
      <c r="R14"/>
      <c r="V14"/>
    </row>
    <row r="15" spans="1:22" ht="12.75" customHeight="1" thickBot="1">
      <c r="A15" s="86" t="s">
        <v>326</v>
      </c>
      <c r="B15" s="50"/>
      <c r="C15" s="50"/>
      <c r="D15" s="51"/>
      <c r="I15"/>
      <c r="J15"/>
      <c r="K15"/>
      <c r="L15"/>
      <c r="M15"/>
      <c r="N15"/>
      <c r="O15"/>
      <c r="P15"/>
      <c r="Q15"/>
      <c r="R15"/>
      <c r="V15"/>
    </row>
    <row r="16" spans="1:41" ht="12.75" customHeight="1" thickBot="1">
      <c r="A16" s="52" t="s">
        <v>131</v>
      </c>
      <c r="B16" s="53"/>
      <c r="C16" s="54" t="s">
        <v>78</v>
      </c>
      <c r="D16" s="56"/>
      <c r="E16" s="56"/>
      <c r="F16" s="56"/>
      <c r="G16" s="56"/>
      <c r="H16" s="56"/>
      <c r="I16" s="56"/>
      <c r="J16" s="55"/>
      <c r="K16" s="54" t="s">
        <v>45</v>
      </c>
      <c r="L16" s="56"/>
      <c r="M16" s="55"/>
      <c r="N16" s="54" t="s">
        <v>46</v>
      </c>
      <c r="O16" s="56"/>
      <c r="P16" s="56"/>
      <c r="Q16" s="55"/>
      <c r="R16" s="54" t="s">
        <v>47</v>
      </c>
      <c r="S16" s="55"/>
      <c r="T16" s="54" t="s">
        <v>48</v>
      </c>
      <c r="U16" s="56"/>
      <c r="V16" s="56"/>
      <c r="W16" s="56"/>
      <c r="X16" s="55"/>
      <c r="Y16" s="54" t="s">
        <v>49</v>
      </c>
      <c r="Z16" s="56"/>
      <c r="AA16" s="56"/>
      <c r="AB16" s="56"/>
      <c r="AC16" s="55"/>
      <c r="AD16" s="54" t="s">
        <v>79</v>
      </c>
      <c r="AE16" s="56"/>
      <c r="AF16" s="56"/>
      <c r="AG16" s="56"/>
      <c r="AH16" s="56"/>
      <c r="AI16" s="55"/>
      <c r="AJ16" s="54" t="s">
        <v>80</v>
      </c>
      <c r="AK16" s="56"/>
      <c r="AL16" s="56"/>
      <c r="AM16" s="56"/>
      <c r="AN16" s="56"/>
      <c r="AO16" s="55"/>
    </row>
    <row r="17" spans="1:41" ht="51">
      <c r="A17" s="57" t="s">
        <v>51</v>
      </c>
      <c r="B17" s="58" t="s">
        <v>52</v>
      </c>
      <c r="C17" s="59" t="s">
        <v>81</v>
      </c>
      <c r="D17" s="59" t="s">
        <v>82</v>
      </c>
      <c r="E17" s="59" t="s">
        <v>83</v>
      </c>
      <c r="F17" s="59" t="s">
        <v>84</v>
      </c>
      <c r="G17" s="59" t="s">
        <v>150</v>
      </c>
      <c r="H17" s="59" t="s">
        <v>86</v>
      </c>
      <c r="I17" s="59" t="s">
        <v>87</v>
      </c>
      <c r="J17" s="59" t="s">
        <v>88</v>
      </c>
      <c r="K17" s="59" t="s">
        <v>89</v>
      </c>
      <c r="L17" s="59" t="s">
        <v>90</v>
      </c>
      <c r="M17" s="59" t="s">
        <v>91</v>
      </c>
      <c r="N17" s="59" t="s">
        <v>20</v>
      </c>
      <c r="O17" s="59" t="s">
        <v>21</v>
      </c>
      <c r="P17" s="59" t="s">
        <v>22</v>
      </c>
      <c r="Q17" s="59" t="s">
        <v>4</v>
      </c>
      <c r="R17" s="59" t="s">
        <v>53</v>
      </c>
      <c r="S17" s="59" t="s">
        <v>4</v>
      </c>
      <c r="T17" s="59" t="s">
        <v>20</v>
      </c>
      <c r="U17" s="59" t="s">
        <v>21</v>
      </c>
      <c r="V17" s="59" t="s">
        <v>22</v>
      </c>
      <c r="W17" s="59" t="s">
        <v>4</v>
      </c>
      <c r="X17" s="59" t="s">
        <v>57</v>
      </c>
      <c r="Y17" s="59" t="s">
        <v>20</v>
      </c>
      <c r="Z17" s="59" t="s">
        <v>21</v>
      </c>
      <c r="AA17" s="59" t="s">
        <v>22</v>
      </c>
      <c r="AB17" s="59" t="s">
        <v>4</v>
      </c>
      <c r="AC17" s="59" t="s">
        <v>57</v>
      </c>
      <c r="AD17" s="59" t="s">
        <v>92</v>
      </c>
      <c r="AE17" s="59" t="s">
        <v>93</v>
      </c>
      <c r="AF17" s="59" t="s">
        <v>56</v>
      </c>
      <c r="AG17" s="59" t="s">
        <v>94</v>
      </c>
      <c r="AH17" s="59" t="s">
        <v>95</v>
      </c>
      <c r="AI17" s="59" t="s">
        <v>96</v>
      </c>
      <c r="AJ17" s="59" t="s">
        <v>97</v>
      </c>
      <c r="AK17" s="59" t="s">
        <v>54</v>
      </c>
      <c r="AL17" s="59" t="s">
        <v>55</v>
      </c>
      <c r="AM17" s="59" t="s">
        <v>98</v>
      </c>
      <c r="AN17" s="59" t="s">
        <v>99</v>
      </c>
      <c r="AO17" s="59" t="s">
        <v>100</v>
      </c>
    </row>
    <row r="18" spans="1:41" ht="12.75" customHeight="1">
      <c r="A18" t="s">
        <v>294</v>
      </c>
      <c r="B18" t="s">
        <v>294</v>
      </c>
      <c r="C18" s="49">
        <v>25</v>
      </c>
      <c r="D18" s="49">
        <v>6053.5008161282385</v>
      </c>
      <c r="E18" s="49">
        <v>1708.29</v>
      </c>
      <c r="F18" s="49">
        <v>0</v>
      </c>
      <c r="G18" s="49">
        <v>0</v>
      </c>
      <c r="H18" s="49" t="s">
        <v>166</v>
      </c>
      <c r="I18" s="49">
        <v>0.21</v>
      </c>
      <c r="J18" s="49">
        <v>0.4009999930858612</v>
      </c>
      <c r="K18" s="49">
        <v>6515.080253358016</v>
      </c>
      <c r="L18" s="60">
        <v>1.4201713071050204</v>
      </c>
      <c r="M18" s="49">
        <v>3.5415743929973997</v>
      </c>
      <c r="P18" s="49">
        <v>1708.2902645179813</v>
      </c>
      <c r="Q18" s="49">
        <v>0</v>
      </c>
      <c r="R18" s="49">
        <v>0</v>
      </c>
      <c r="S18" s="49">
        <v>0</v>
      </c>
      <c r="T18" s="49">
        <v>0</v>
      </c>
      <c r="U18" s="49">
        <v>0</v>
      </c>
      <c r="V18" s="49">
        <v>1708.2902645179813</v>
      </c>
      <c r="W18" s="49">
        <v>0</v>
      </c>
      <c r="X18" s="49">
        <v>1708.2902645179813</v>
      </c>
      <c r="Y18" s="49">
        <v>0</v>
      </c>
      <c r="Z18" s="49">
        <v>0</v>
      </c>
      <c r="AA18" s="49">
        <v>18.140724182128906</v>
      </c>
      <c r="AB18" s="49">
        <v>0</v>
      </c>
      <c r="AC18" s="49">
        <v>18.140724488816446</v>
      </c>
      <c r="AD18" s="49">
        <v>2299.849267328313</v>
      </c>
      <c r="AE18" s="49">
        <v>61.581357826017744</v>
      </c>
      <c r="AF18" s="49">
        <v>333.6009521484375</v>
      </c>
      <c r="AG18" s="49">
        <v>2692.2391044266656</v>
      </c>
      <c r="AH18" s="49">
        <v>1708.2902645179813</v>
      </c>
      <c r="AI18" s="48">
        <v>1.5759845737845493</v>
      </c>
      <c r="AJ18" s="49">
        <v>1023.7964477539062</v>
      </c>
      <c r="AK18" s="49">
        <v>0</v>
      </c>
      <c r="AL18" s="49">
        <v>0</v>
      </c>
      <c r="AM18" s="49">
        <v>3716.03564453125</v>
      </c>
      <c r="AN18" s="49">
        <v>1708.2902645179813</v>
      </c>
      <c r="AO18" s="48">
        <v>2.175295114517212</v>
      </c>
    </row>
    <row r="19" spans="1:41" ht="12.75" customHeight="1">
      <c r="A19" t="s">
        <v>291</v>
      </c>
      <c r="B19" t="s">
        <v>291</v>
      </c>
      <c r="C19" s="49">
        <v>25</v>
      </c>
      <c r="D19" s="49">
        <v>6717.159205488948</v>
      </c>
      <c r="E19" s="49">
        <v>2086.23</v>
      </c>
      <c r="F19" s="49">
        <v>0</v>
      </c>
      <c r="G19" s="49">
        <v>0</v>
      </c>
      <c r="H19" s="49" t="s">
        <v>166</v>
      </c>
      <c r="I19" s="49">
        <v>0.21</v>
      </c>
      <c r="J19" s="49">
        <v>0.4009999930858612</v>
      </c>
      <c r="K19" s="49">
        <v>7229.34259490748</v>
      </c>
      <c r="L19" s="60">
        <v>1.5758677596071</v>
      </c>
      <c r="M19" s="49">
        <v>3.9298448548094584</v>
      </c>
      <c r="P19" s="49">
        <v>2086.2306451635645</v>
      </c>
      <c r="Q19" s="49">
        <v>0</v>
      </c>
      <c r="R19" s="49">
        <v>0</v>
      </c>
      <c r="S19" s="49">
        <v>0</v>
      </c>
      <c r="T19" s="49">
        <v>0</v>
      </c>
      <c r="U19" s="49">
        <v>0</v>
      </c>
      <c r="V19" s="49">
        <v>2086.2306451635645</v>
      </c>
      <c r="W19" s="49">
        <v>0</v>
      </c>
      <c r="X19" s="49">
        <v>2086.2306451635645</v>
      </c>
      <c r="Y19" s="49">
        <v>0</v>
      </c>
      <c r="Z19" s="49">
        <v>0</v>
      </c>
      <c r="AA19" s="49">
        <v>19.96531867980957</v>
      </c>
      <c r="AB19" s="49">
        <v>0</v>
      </c>
      <c r="AC19" s="49">
        <v>19.965318640311008</v>
      </c>
      <c r="AD19" s="49">
        <v>2551.9867175225863</v>
      </c>
      <c r="AE19" s="49">
        <v>68.33265529682569</v>
      </c>
      <c r="AF19" s="49">
        <v>370.1743469238281</v>
      </c>
      <c r="AG19" s="49">
        <v>2987.3951020250734</v>
      </c>
      <c r="AH19" s="49">
        <v>2086.2306451635645</v>
      </c>
      <c r="AI19" s="48">
        <v>1.431958210829012</v>
      </c>
      <c r="AJ19" s="49">
        <v>1136.0377197265625</v>
      </c>
      <c r="AK19" s="49">
        <v>0</v>
      </c>
      <c r="AL19" s="49">
        <v>0</v>
      </c>
      <c r="AM19" s="49">
        <v>4123.4326171875</v>
      </c>
      <c r="AN19" s="49">
        <v>2086.2306451635645</v>
      </c>
      <c r="AO19" s="48">
        <v>1.9764989614486694</v>
      </c>
    </row>
    <row r="20" spans="1:41" ht="12.75" customHeight="1">
      <c r="A20" t="s">
        <v>232</v>
      </c>
      <c r="B20" t="s">
        <v>232</v>
      </c>
      <c r="C20" s="49">
        <v>25</v>
      </c>
      <c r="D20" s="49">
        <v>9405.773620358093</v>
      </c>
      <c r="E20" s="49">
        <v>3137.96</v>
      </c>
      <c r="F20" s="49">
        <v>0</v>
      </c>
      <c r="G20" s="49">
        <v>0</v>
      </c>
      <c r="H20" s="49" t="s">
        <v>166</v>
      </c>
      <c r="I20" s="49">
        <v>0.21</v>
      </c>
      <c r="J20" s="49">
        <v>0.4009999930858612</v>
      </c>
      <c r="K20" s="49">
        <v>10122.963858910396</v>
      </c>
      <c r="L20" s="60">
        <v>2.2066255911238812</v>
      </c>
      <c r="M20" s="49">
        <v>5.502807055289409</v>
      </c>
      <c r="P20" s="49">
        <v>3137.9606695835673</v>
      </c>
      <c r="Q20" s="49">
        <v>0</v>
      </c>
      <c r="R20" s="49">
        <v>0</v>
      </c>
      <c r="S20" s="49">
        <v>0</v>
      </c>
      <c r="T20" s="49">
        <v>0</v>
      </c>
      <c r="U20" s="49">
        <v>0</v>
      </c>
      <c r="V20" s="49">
        <v>3137.9606695835673</v>
      </c>
      <c r="W20" s="49">
        <v>0</v>
      </c>
      <c r="X20" s="49">
        <v>3137.9606695835673</v>
      </c>
      <c r="Y20" s="49">
        <v>0</v>
      </c>
      <c r="Z20" s="49">
        <v>0</v>
      </c>
      <c r="AA20" s="49">
        <v>21.446308135986328</v>
      </c>
      <c r="AB20" s="49">
        <v>0</v>
      </c>
      <c r="AC20" s="49">
        <v>21.44630811216887</v>
      </c>
      <c r="AD20" s="49">
        <v>3573.4465438252114</v>
      </c>
      <c r="AE20" s="49">
        <v>95.68352735702673</v>
      </c>
      <c r="AF20" s="49">
        <v>518.340576171875</v>
      </c>
      <c r="AG20" s="49">
        <v>4183.131774937736</v>
      </c>
      <c r="AH20" s="49">
        <v>3137.9606695835673</v>
      </c>
      <c r="AI20" s="48">
        <v>1.3330733605060994</v>
      </c>
      <c r="AJ20" s="49">
        <v>1590.74853515625</v>
      </c>
      <c r="AK20" s="49">
        <v>0</v>
      </c>
      <c r="AL20" s="49">
        <v>0</v>
      </c>
      <c r="AM20" s="49">
        <v>5773.88037109375</v>
      </c>
      <c r="AN20" s="49">
        <v>3137.9606695835673</v>
      </c>
      <c r="AO20" s="48">
        <v>1.840010404586792</v>
      </c>
    </row>
    <row r="21" spans="1:41" ht="12.75" customHeight="1">
      <c r="A21" t="s">
        <v>245</v>
      </c>
      <c r="B21" t="s">
        <v>245</v>
      </c>
      <c r="C21" s="49">
        <v>25</v>
      </c>
      <c r="D21" s="49">
        <v>388.6323508063724</v>
      </c>
      <c r="E21" s="49">
        <v>241.88</v>
      </c>
      <c r="F21" s="49">
        <v>0</v>
      </c>
      <c r="G21" s="49">
        <v>0</v>
      </c>
      <c r="H21" s="49" t="s">
        <v>166</v>
      </c>
      <c r="I21" s="49">
        <v>0.21</v>
      </c>
      <c r="J21" s="49">
        <v>0.4009999930858612</v>
      </c>
      <c r="K21" s="49">
        <v>418.2655675553583</v>
      </c>
      <c r="L21" s="60">
        <v>0.09117443449540796</v>
      </c>
      <c r="M21" s="49">
        <v>0.22736767099117108</v>
      </c>
      <c r="P21" s="49">
        <v>241.88185161317497</v>
      </c>
      <c r="Q21" s="49">
        <v>0</v>
      </c>
      <c r="R21" s="49">
        <v>0</v>
      </c>
      <c r="S21" s="49">
        <v>0</v>
      </c>
      <c r="T21" s="49">
        <v>0</v>
      </c>
      <c r="U21" s="49">
        <v>0</v>
      </c>
      <c r="V21" s="49">
        <v>241.88185161317497</v>
      </c>
      <c r="W21" s="49">
        <v>0</v>
      </c>
      <c r="X21" s="49">
        <v>241.88185161317497</v>
      </c>
      <c r="Y21" s="49">
        <v>0</v>
      </c>
      <c r="Z21" s="49">
        <v>0</v>
      </c>
      <c r="AA21" s="49">
        <v>40.00957107543945</v>
      </c>
      <c r="AB21" s="49">
        <v>0</v>
      </c>
      <c r="AC21" s="49">
        <v>40.00957165849685</v>
      </c>
      <c r="AD21" s="49">
        <v>147.6494105494777</v>
      </c>
      <c r="AE21" s="49">
        <v>3.953498741424253</v>
      </c>
      <c r="AF21" s="49">
        <v>21.41704750061035</v>
      </c>
      <c r="AG21" s="49">
        <v>172.84068114071675</v>
      </c>
      <c r="AH21" s="49">
        <v>241.88185161317497</v>
      </c>
      <c r="AI21" s="69">
        <v>0.7145665538278125</v>
      </c>
      <c r="AJ21" s="49">
        <v>65.72732543945312</v>
      </c>
      <c r="AK21" s="49">
        <v>0</v>
      </c>
      <c r="AL21" s="49">
        <v>0</v>
      </c>
      <c r="AM21" s="49">
        <v>238.56800842285156</v>
      </c>
      <c r="AN21" s="49">
        <v>241.88185161317497</v>
      </c>
      <c r="AO21" s="69">
        <v>0.9862997531890869</v>
      </c>
    </row>
    <row r="22" spans="1:41" ht="12.75" customHeight="1">
      <c r="A22" t="s">
        <v>216</v>
      </c>
      <c r="B22" t="s">
        <v>216</v>
      </c>
      <c r="C22" s="49">
        <v>25</v>
      </c>
      <c r="D22" s="49">
        <v>1420.1838553277667</v>
      </c>
      <c r="E22" s="49">
        <v>900.03</v>
      </c>
      <c r="F22" s="49">
        <v>0</v>
      </c>
      <c r="G22" s="49">
        <v>0</v>
      </c>
      <c r="H22" s="49" t="s">
        <v>166</v>
      </c>
      <c r="I22" s="49">
        <v>0.21</v>
      </c>
      <c r="J22" s="49">
        <v>0.4009999930858612</v>
      </c>
      <c r="K22" s="49">
        <v>1528.4728742965087</v>
      </c>
      <c r="L22" s="60">
        <v>0.3331798282370224</v>
      </c>
      <c r="M22" s="49">
        <v>0.8308724039446123</v>
      </c>
      <c r="P22" s="49">
        <v>900.0321920504523</v>
      </c>
      <c r="Q22" s="49">
        <v>0</v>
      </c>
      <c r="R22" s="49">
        <v>0</v>
      </c>
      <c r="S22" s="49">
        <v>0</v>
      </c>
      <c r="T22" s="49">
        <v>0</v>
      </c>
      <c r="U22" s="49">
        <v>0</v>
      </c>
      <c r="V22" s="49">
        <v>900.0321920504523</v>
      </c>
      <c r="W22" s="49">
        <v>0</v>
      </c>
      <c r="X22" s="49">
        <v>900.0321920504523</v>
      </c>
      <c r="Y22" s="49">
        <v>0</v>
      </c>
      <c r="Z22" s="49">
        <v>0</v>
      </c>
      <c r="AA22" s="49">
        <v>40.73925018310547</v>
      </c>
      <c r="AB22" s="49">
        <v>0</v>
      </c>
      <c r="AC22" s="49">
        <v>40.73925090533412</v>
      </c>
      <c r="AD22" s="49">
        <v>539.5570097958793</v>
      </c>
      <c r="AE22" s="49">
        <v>14.447317813299504</v>
      </c>
      <c r="AF22" s="49">
        <v>78.26457977294922</v>
      </c>
      <c r="AG22" s="49">
        <v>631.6137782237217</v>
      </c>
      <c r="AH22" s="49">
        <v>900.0321920504523</v>
      </c>
      <c r="AI22" s="69">
        <v>0.7017679854148106</v>
      </c>
      <c r="AJ22" s="49">
        <v>240.1881561279297</v>
      </c>
      <c r="AK22" s="49">
        <v>0</v>
      </c>
      <c r="AL22" s="49">
        <v>0</v>
      </c>
      <c r="AM22" s="49">
        <v>871.8019409179688</v>
      </c>
      <c r="AN22" s="49">
        <v>900.0321920504523</v>
      </c>
      <c r="AO22" s="69">
        <v>0.9686341881752014</v>
      </c>
    </row>
    <row r="23" spans="1:41" ht="12.75" customHeight="1">
      <c r="A23" t="s">
        <v>247</v>
      </c>
      <c r="B23" t="s">
        <v>247</v>
      </c>
      <c r="C23" s="49">
        <v>25</v>
      </c>
      <c r="D23" s="49">
        <v>1881.3031300555303</v>
      </c>
      <c r="E23" s="49">
        <v>1708.29</v>
      </c>
      <c r="F23" s="49">
        <v>0</v>
      </c>
      <c r="G23" s="49">
        <v>0</v>
      </c>
      <c r="H23" s="49" t="s">
        <v>166</v>
      </c>
      <c r="I23" s="49">
        <v>0.21</v>
      </c>
      <c r="J23" s="49">
        <v>0.4009999930858612</v>
      </c>
      <c r="K23" s="49">
        <v>2024.7524937222643</v>
      </c>
      <c r="L23" s="60">
        <v>0.44135993475929997</v>
      </c>
      <c r="M23" s="49">
        <v>1.1006482353349991</v>
      </c>
      <c r="P23" s="49">
        <v>1708.2902645179813</v>
      </c>
      <c r="Q23" s="49">
        <v>0</v>
      </c>
      <c r="R23" s="49">
        <v>0</v>
      </c>
      <c r="S23" s="49">
        <v>0</v>
      </c>
      <c r="T23" s="49">
        <v>0</v>
      </c>
      <c r="U23" s="49">
        <v>0</v>
      </c>
      <c r="V23" s="49">
        <v>1708.2902645179813</v>
      </c>
      <c r="W23" s="49">
        <v>0</v>
      </c>
      <c r="X23" s="49">
        <v>1708.2902645179813</v>
      </c>
      <c r="Y23" s="49">
        <v>0</v>
      </c>
      <c r="Z23" s="49">
        <v>0</v>
      </c>
      <c r="AA23" s="49">
        <v>58.3717155456543</v>
      </c>
      <c r="AB23" s="49">
        <v>0</v>
      </c>
      <c r="AC23" s="49">
        <v>58.37171519241904</v>
      </c>
      <c r="AD23" s="49">
        <v>714.7456912458135</v>
      </c>
      <c r="AE23" s="49">
        <v>19.13821518326901</v>
      </c>
      <c r="AF23" s="49">
        <v>103.6762924194336</v>
      </c>
      <c r="AG23" s="49">
        <v>836.6923559057333</v>
      </c>
      <c r="AH23" s="49">
        <v>1708.2902645179813</v>
      </c>
      <c r="AI23" s="69">
        <v>0.48978348310251485</v>
      </c>
      <c r="AJ23" s="49">
        <v>318.1748352050781</v>
      </c>
      <c r="AK23" s="49">
        <v>0</v>
      </c>
      <c r="AL23" s="49">
        <v>0</v>
      </c>
      <c r="AM23" s="49">
        <v>1154.8671875</v>
      </c>
      <c r="AN23" s="49">
        <v>1708.2902645179813</v>
      </c>
      <c r="AO23" s="69">
        <v>0.6760368347167969</v>
      </c>
    </row>
    <row r="24" spans="1:41" ht="12.75" customHeight="1">
      <c r="A24" t="s">
        <v>167</v>
      </c>
      <c r="B24" t="s">
        <v>167</v>
      </c>
      <c r="C24" s="49">
        <v>25</v>
      </c>
      <c r="D24" s="49">
        <v>446.35705395194964</v>
      </c>
      <c r="E24" s="49">
        <v>600</v>
      </c>
      <c r="F24" s="49">
        <v>0</v>
      </c>
      <c r="G24" s="49">
        <v>0</v>
      </c>
      <c r="H24" s="49" t="s">
        <v>166</v>
      </c>
      <c r="I24" s="49">
        <v>0.21</v>
      </c>
      <c r="J24" s="49">
        <v>0.4009999930858612</v>
      </c>
      <c r="K24" s="49">
        <v>480.3917793157858</v>
      </c>
      <c r="L24" s="60">
        <v>0.10471684071762051</v>
      </c>
      <c r="M24" s="49">
        <v>0.26113925816252764</v>
      </c>
      <c r="P24" s="49">
        <v>600.0001280290827</v>
      </c>
      <c r="Q24" s="49">
        <v>0</v>
      </c>
      <c r="R24" s="49">
        <v>0</v>
      </c>
      <c r="S24" s="49">
        <v>0</v>
      </c>
      <c r="T24" s="49">
        <v>0</v>
      </c>
      <c r="U24" s="49">
        <v>0</v>
      </c>
      <c r="V24" s="49">
        <v>600.0001280290827</v>
      </c>
      <c r="W24" s="49">
        <v>0</v>
      </c>
      <c r="X24" s="49">
        <v>600.0001280290827</v>
      </c>
      <c r="Y24" s="49">
        <v>0</v>
      </c>
      <c r="Z24" s="49">
        <v>0</v>
      </c>
      <c r="AA24" s="49">
        <v>86.41089630126953</v>
      </c>
      <c r="AB24" s="49">
        <v>0</v>
      </c>
      <c r="AC24" s="49">
        <v>86.41089583473985</v>
      </c>
      <c r="AD24" s="49">
        <v>169.58021063831148</v>
      </c>
      <c r="AE24" s="49">
        <v>4.540723507354333</v>
      </c>
      <c r="AF24" s="49">
        <v>24.59818458557129</v>
      </c>
      <c r="AG24" s="49">
        <v>198.51321474211116</v>
      </c>
      <c r="AH24" s="49">
        <v>600.0001280290827</v>
      </c>
      <c r="AI24" s="69">
        <v>0.33085528730502034</v>
      </c>
      <c r="AJ24" s="49">
        <v>75.489990234375</v>
      </c>
      <c r="AK24" s="49">
        <v>0</v>
      </c>
      <c r="AL24" s="49">
        <v>0</v>
      </c>
      <c r="AM24" s="49">
        <v>274.0032043457031</v>
      </c>
      <c r="AN24" s="49">
        <v>600.0001280290827</v>
      </c>
      <c r="AO24" s="69">
        <v>0.45667192339897156</v>
      </c>
    </row>
    <row r="25" spans="3:41" ht="12.75" customHeight="1">
      <c r="C25" s="49"/>
      <c r="D25" s="49"/>
      <c r="E25" s="49"/>
      <c r="F25" s="49"/>
      <c r="G25" s="49"/>
      <c r="H25" s="49"/>
      <c r="I25" s="49"/>
      <c r="J25" s="49"/>
      <c r="K25" s="49"/>
      <c r="L25" s="60"/>
      <c r="M25" s="49"/>
      <c r="S25" s="49"/>
      <c r="T25" s="49"/>
      <c r="U25" s="49"/>
      <c r="W25" s="49"/>
      <c r="X25" s="49"/>
      <c r="Y25" s="49"/>
      <c r="Z25" s="49"/>
      <c r="AA25" s="49"/>
      <c r="AB25" s="49"/>
      <c r="AC25" s="49"/>
      <c r="AD25" s="49"/>
      <c r="AE25" s="49"/>
      <c r="AF25" s="49"/>
      <c r="AG25" s="49"/>
      <c r="AH25" s="49"/>
      <c r="AI25" s="49"/>
      <c r="AJ25" s="49"/>
      <c r="AK25" s="49"/>
      <c r="AL25" s="49"/>
      <c r="AM25" s="49"/>
      <c r="AN25" s="49"/>
      <c r="AO25" s="61"/>
    </row>
    <row r="26" spans="3:41" ht="12.75" customHeight="1" thickBot="1">
      <c r="C26" s="49"/>
      <c r="D26" s="49"/>
      <c r="E26" s="49"/>
      <c r="F26" s="49"/>
      <c r="G26" s="49"/>
      <c r="H26" s="49"/>
      <c r="I26" s="49"/>
      <c r="J26" s="49"/>
      <c r="K26" s="49"/>
      <c r="L26" s="49"/>
      <c r="M26" s="49"/>
      <c r="S26" s="49"/>
      <c r="T26" s="49"/>
      <c r="U26" s="49"/>
      <c r="W26" s="49"/>
      <c r="X26" s="49"/>
      <c r="Y26" s="49"/>
      <c r="Z26" s="49"/>
      <c r="AA26" s="49"/>
      <c r="AB26" s="49"/>
      <c r="AC26" s="49"/>
      <c r="AD26" s="49"/>
      <c r="AE26" s="49"/>
      <c r="AF26" s="49"/>
      <c r="AG26" s="49"/>
      <c r="AH26" s="49"/>
      <c r="AI26" s="49"/>
      <c r="AJ26" s="49"/>
      <c r="AK26" s="49"/>
      <c r="AL26" s="49"/>
      <c r="AM26" s="49"/>
      <c r="AN26" s="49"/>
      <c r="AO26" s="49"/>
    </row>
    <row r="27" spans="1:41" ht="12.75" customHeight="1" thickBot="1">
      <c r="A27" s="62" t="s">
        <v>132</v>
      </c>
      <c r="B27" s="71"/>
      <c r="C27" s="72" t="s">
        <v>101</v>
      </c>
      <c r="D27" s="63"/>
      <c r="E27" s="63"/>
      <c r="F27" s="63"/>
      <c r="G27" s="63"/>
      <c r="H27" s="63"/>
      <c r="I27" s="63"/>
      <c r="J27" s="64"/>
      <c r="K27" s="72" t="s">
        <v>45</v>
      </c>
      <c r="L27" s="63"/>
      <c r="M27" s="64"/>
      <c r="N27" s="72" t="s">
        <v>102</v>
      </c>
      <c r="O27" s="63"/>
      <c r="P27" s="63"/>
      <c r="Q27" s="63"/>
      <c r="R27" s="73" t="s">
        <v>103</v>
      </c>
      <c r="S27" s="72" t="s">
        <v>79</v>
      </c>
      <c r="T27" s="63"/>
      <c r="U27" s="63"/>
      <c r="V27" s="63"/>
      <c r="W27" s="63"/>
      <c r="X27" s="64"/>
      <c r="Y27" s="72" t="s">
        <v>80</v>
      </c>
      <c r="Z27" s="63"/>
      <c r="AA27" s="63"/>
      <c r="AB27" s="63"/>
      <c r="AC27" s="63"/>
      <c r="AD27" s="64"/>
      <c r="AE27" s="49"/>
      <c r="AF27" s="49"/>
      <c r="AG27" s="49"/>
      <c r="AH27" s="49"/>
      <c r="AI27" s="49"/>
      <c r="AJ27" s="49"/>
      <c r="AK27" s="49"/>
      <c r="AL27" s="49"/>
      <c r="AM27" s="49"/>
      <c r="AN27" s="49"/>
      <c r="AO27" s="49"/>
    </row>
    <row r="28" spans="1:41" ht="51">
      <c r="A28" s="57"/>
      <c r="B28" s="58" t="s">
        <v>51</v>
      </c>
      <c r="C28" s="59" t="s">
        <v>104</v>
      </c>
      <c r="D28" s="59" t="s">
        <v>82</v>
      </c>
      <c r="E28" s="59" t="s">
        <v>83</v>
      </c>
      <c r="F28" s="59" t="s">
        <v>84</v>
      </c>
      <c r="G28" s="59" t="s">
        <v>85</v>
      </c>
      <c r="H28" s="59" t="s">
        <v>86</v>
      </c>
      <c r="I28" s="59" t="s">
        <v>105</v>
      </c>
      <c r="J28" s="59" t="s">
        <v>106</v>
      </c>
      <c r="K28" s="59" t="s">
        <v>89</v>
      </c>
      <c r="L28" s="59" t="s">
        <v>90</v>
      </c>
      <c r="M28" s="59" t="s">
        <v>91</v>
      </c>
      <c r="N28" s="59" t="s">
        <v>46</v>
      </c>
      <c r="O28" s="59" t="s">
        <v>107</v>
      </c>
      <c r="P28" s="59" t="s">
        <v>108</v>
      </c>
      <c r="Q28" s="59" t="s">
        <v>109</v>
      </c>
      <c r="R28" s="59" t="s">
        <v>110</v>
      </c>
      <c r="S28" s="59" t="s">
        <v>92</v>
      </c>
      <c r="T28" s="59" t="s">
        <v>93</v>
      </c>
      <c r="U28" s="59" t="s">
        <v>56</v>
      </c>
      <c r="V28" s="59" t="s">
        <v>94</v>
      </c>
      <c r="W28" s="59" t="s">
        <v>95</v>
      </c>
      <c r="X28" s="59" t="s">
        <v>96</v>
      </c>
      <c r="Y28" s="59" t="s">
        <v>97</v>
      </c>
      <c r="Z28" s="59" t="s">
        <v>54</v>
      </c>
      <c r="AA28" s="59" t="s">
        <v>55</v>
      </c>
      <c r="AB28" s="59" t="s">
        <v>98</v>
      </c>
      <c r="AC28" s="59" t="s">
        <v>99</v>
      </c>
      <c r="AD28" s="59" t="s">
        <v>100</v>
      </c>
      <c r="AE28" s="49"/>
      <c r="AF28" s="49"/>
      <c r="AG28" s="49"/>
      <c r="AH28" s="49"/>
      <c r="AI28" s="49"/>
      <c r="AJ28" s="49"/>
      <c r="AK28" s="49"/>
      <c r="AL28" s="49"/>
      <c r="AM28" s="49"/>
      <c r="AN28" s="49"/>
      <c r="AO28" s="49"/>
    </row>
    <row r="29" spans="2:41" ht="12.75" customHeight="1">
      <c r="B29" t="s">
        <v>294</v>
      </c>
      <c r="C29" s="49">
        <v>25</v>
      </c>
      <c r="D29" s="49">
        <v>6053.5008161282385</v>
      </c>
      <c r="E29" s="49">
        <v>1708.29</v>
      </c>
      <c r="F29" s="49">
        <v>0</v>
      </c>
      <c r="G29" s="49">
        <v>0</v>
      </c>
      <c r="H29" s="49"/>
      <c r="I29" s="49">
        <v>0.21</v>
      </c>
      <c r="J29" s="49">
        <v>0.4009999930858612</v>
      </c>
      <c r="K29" s="49">
        <v>6515.080253358016</v>
      </c>
      <c r="L29" s="49">
        <v>1.4201713071050204</v>
      </c>
      <c r="M29" s="49">
        <v>3.541574478149414</v>
      </c>
      <c r="N29" s="49">
        <v>1708.2902645179813</v>
      </c>
      <c r="O29" s="49">
        <v>0</v>
      </c>
      <c r="P29" s="49">
        <v>0</v>
      </c>
      <c r="Q29" s="49">
        <v>1708.290283203125</v>
      </c>
      <c r="R29" s="49">
        <v>18.140724334646688</v>
      </c>
      <c r="S29" s="49">
        <v>2299.849267328313</v>
      </c>
      <c r="T29" s="49">
        <v>61.581356048583984</v>
      </c>
      <c r="U29" s="49">
        <v>333.6009521484375</v>
      </c>
      <c r="V29" s="49">
        <v>2692.2391044266656</v>
      </c>
      <c r="W29" s="49">
        <v>1708.2902645179813</v>
      </c>
      <c r="X29" s="48">
        <v>1.5759845737845493</v>
      </c>
      <c r="Y29" s="60">
        <v>1023.7964477539062</v>
      </c>
      <c r="Z29" s="60">
        <v>0</v>
      </c>
      <c r="AA29" s="60">
        <v>0</v>
      </c>
      <c r="AB29" s="60">
        <v>3716.03564453125</v>
      </c>
      <c r="AC29" s="60">
        <v>1708.290283203125</v>
      </c>
      <c r="AD29" s="48">
        <v>2.175295114517212</v>
      </c>
      <c r="AE29" s="60"/>
      <c r="AF29" s="60"/>
      <c r="AG29" s="60"/>
      <c r="AH29" s="60"/>
      <c r="AI29" s="60"/>
      <c r="AJ29" s="60"/>
      <c r="AK29" s="60"/>
      <c r="AL29" s="49"/>
      <c r="AM29" s="49"/>
      <c r="AN29" s="49"/>
      <c r="AO29" s="49"/>
    </row>
    <row r="30" spans="2:41" ht="12.75" customHeight="1">
      <c r="B30" t="s">
        <v>291</v>
      </c>
      <c r="C30" s="49">
        <v>25</v>
      </c>
      <c r="D30" s="49">
        <v>6717.159205488948</v>
      </c>
      <c r="E30" s="49">
        <v>2086.23</v>
      </c>
      <c r="F30" s="49">
        <v>0</v>
      </c>
      <c r="G30" s="49">
        <v>0</v>
      </c>
      <c r="H30" s="49"/>
      <c r="I30" s="49">
        <v>0.21</v>
      </c>
      <c r="J30" s="49">
        <v>0.4009999930858612</v>
      </c>
      <c r="K30" s="49">
        <v>7229.34259490748</v>
      </c>
      <c r="L30" s="49">
        <v>1.5758677596071</v>
      </c>
      <c r="M30" s="49">
        <v>3.929844856262207</v>
      </c>
      <c r="N30" s="49">
        <v>2086.2306451635645</v>
      </c>
      <c r="O30" s="49">
        <v>0</v>
      </c>
      <c r="P30" s="49">
        <v>0</v>
      </c>
      <c r="Q30" s="49">
        <v>2086.230712890625</v>
      </c>
      <c r="R30" s="49">
        <v>19.96531964360029</v>
      </c>
      <c r="S30" s="49">
        <v>2551.9867175225863</v>
      </c>
      <c r="T30" s="49">
        <v>68.33265686035156</v>
      </c>
      <c r="U30" s="49">
        <v>370.1743469238281</v>
      </c>
      <c r="V30" s="49">
        <v>2987.3951020250734</v>
      </c>
      <c r="W30" s="49">
        <v>2086.2306451635645</v>
      </c>
      <c r="X30" s="48">
        <v>1.431958210829012</v>
      </c>
      <c r="Y30" s="60">
        <v>1136.0377197265625</v>
      </c>
      <c r="Z30" s="60">
        <v>0</v>
      </c>
      <c r="AA30" s="60">
        <v>0</v>
      </c>
      <c r="AB30" s="60">
        <v>4123.4326171875</v>
      </c>
      <c r="AC30" s="60">
        <v>2086.230712890625</v>
      </c>
      <c r="AD30" s="48">
        <v>1.9764988422393799</v>
      </c>
      <c r="AE30" s="60"/>
      <c r="AF30" s="60"/>
      <c r="AG30" s="60"/>
      <c r="AH30" s="60"/>
      <c r="AI30" s="60"/>
      <c r="AJ30" s="60"/>
      <c r="AK30" s="60"/>
      <c r="AL30" s="49"/>
      <c r="AM30" s="49"/>
      <c r="AN30" s="49"/>
      <c r="AO30" s="49"/>
    </row>
    <row r="31" spans="2:41" ht="12.75" customHeight="1">
      <c r="B31" t="s">
        <v>232</v>
      </c>
      <c r="C31" s="49">
        <v>25</v>
      </c>
      <c r="D31" s="49">
        <v>9405.773620358093</v>
      </c>
      <c r="E31" s="49">
        <v>3137.96</v>
      </c>
      <c r="F31" s="49">
        <v>0</v>
      </c>
      <c r="G31" s="49">
        <v>0</v>
      </c>
      <c r="H31" s="49"/>
      <c r="I31" s="49">
        <v>0.21</v>
      </c>
      <c r="J31" s="49">
        <v>0.4009999930858612</v>
      </c>
      <c r="K31" s="49">
        <v>10122.963858910396</v>
      </c>
      <c r="L31" s="49">
        <v>2.2066255911238812</v>
      </c>
      <c r="M31" s="49">
        <v>5.502807140350342</v>
      </c>
      <c r="N31" s="49">
        <v>3137.9606695835673</v>
      </c>
      <c r="O31" s="49">
        <v>0</v>
      </c>
      <c r="P31" s="49">
        <v>0</v>
      </c>
      <c r="Q31" s="49">
        <v>3137.960693359375</v>
      </c>
      <c r="R31" s="49">
        <v>21.446308661772825</v>
      </c>
      <c r="S31" s="49">
        <v>3573.4465438252114</v>
      </c>
      <c r="T31" s="49">
        <v>95.68352508544922</v>
      </c>
      <c r="U31" s="49">
        <v>518.340576171875</v>
      </c>
      <c r="V31" s="49">
        <v>4183.131774937736</v>
      </c>
      <c r="W31" s="49">
        <v>3137.9606695835673</v>
      </c>
      <c r="X31" s="48">
        <v>1.3330733605060994</v>
      </c>
      <c r="Y31" s="60">
        <v>1590.74853515625</v>
      </c>
      <c r="Z31" s="60">
        <v>0</v>
      </c>
      <c r="AA31" s="60">
        <v>0</v>
      </c>
      <c r="AB31" s="60">
        <v>5773.88037109375</v>
      </c>
      <c r="AC31" s="60">
        <v>3137.960693359375</v>
      </c>
      <c r="AD31" s="48">
        <v>1.840010404586792</v>
      </c>
      <c r="AE31" s="60"/>
      <c r="AF31" s="60"/>
      <c r="AG31" s="60"/>
      <c r="AH31" s="60"/>
      <c r="AI31" s="60"/>
      <c r="AJ31" s="60"/>
      <c r="AK31" s="60"/>
      <c r="AL31" s="49"/>
      <c r="AM31" s="49"/>
      <c r="AN31" s="49"/>
      <c r="AO31" s="49"/>
    </row>
    <row r="32" spans="2:41" ht="12.75" customHeight="1">
      <c r="B32" t="s">
        <v>245</v>
      </c>
      <c r="C32" s="49">
        <v>25</v>
      </c>
      <c r="D32" s="49">
        <v>388.6323508063724</v>
      </c>
      <c r="E32" s="49">
        <v>241.88</v>
      </c>
      <c r="F32" s="49">
        <v>0</v>
      </c>
      <c r="G32" s="49">
        <v>0</v>
      </c>
      <c r="H32" s="49"/>
      <c r="I32" s="49">
        <v>0.21</v>
      </c>
      <c r="J32" s="49">
        <v>0.4009999930858612</v>
      </c>
      <c r="K32" s="49">
        <v>418.2655675553583</v>
      </c>
      <c r="L32" s="49">
        <v>0.09117443449540796</v>
      </c>
      <c r="M32" s="49">
        <v>0.22736766934394836</v>
      </c>
      <c r="N32" s="49">
        <v>241.88185161317497</v>
      </c>
      <c r="O32" s="49">
        <v>0</v>
      </c>
      <c r="P32" s="49">
        <v>0</v>
      </c>
      <c r="Q32" s="49">
        <v>241.88185119628906</v>
      </c>
      <c r="R32" s="49">
        <v>40.0095703578525</v>
      </c>
      <c r="S32" s="49">
        <v>147.6494105494777</v>
      </c>
      <c r="T32" s="49">
        <v>3.9534988403320312</v>
      </c>
      <c r="U32" s="49">
        <v>21.41704750061035</v>
      </c>
      <c r="V32" s="49">
        <v>172.84068114071675</v>
      </c>
      <c r="W32" s="49">
        <v>241.88185161317497</v>
      </c>
      <c r="X32" s="69">
        <v>0.7145665538278125</v>
      </c>
      <c r="Y32" s="60">
        <v>65.72732543945312</v>
      </c>
      <c r="Z32" s="60">
        <v>0</v>
      </c>
      <c r="AA32" s="60">
        <v>0</v>
      </c>
      <c r="AB32" s="60">
        <v>238.56800842285156</v>
      </c>
      <c r="AC32" s="60">
        <v>241.88185119628906</v>
      </c>
      <c r="AD32" s="69">
        <v>0.9862997531890869</v>
      </c>
      <c r="AE32" s="60"/>
      <c r="AF32" s="60"/>
      <c r="AG32" s="60"/>
      <c r="AH32" s="60"/>
      <c r="AI32" s="60"/>
      <c r="AJ32" s="60"/>
      <c r="AK32" s="60"/>
      <c r="AL32" s="49"/>
      <c r="AM32" s="49"/>
      <c r="AN32" s="49"/>
      <c r="AO32" s="49"/>
    </row>
    <row r="33" spans="2:41" ht="12.75" customHeight="1">
      <c r="B33" t="s">
        <v>216</v>
      </c>
      <c r="C33" s="49">
        <v>25</v>
      </c>
      <c r="D33" s="49">
        <v>1420.1838553277667</v>
      </c>
      <c r="E33" s="49">
        <v>900.03</v>
      </c>
      <c r="F33" s="49">
        <v>0</v>
      </c>
      <c r="G33" s="49">
        <v>0</v>
      </c>
      <c r="H33" s="49"/>
      <c r="I33" s="49">
        <v>0.21</v>
      </c>
      <c r="J33" s="49">
        <v>0.4009999930858612</v>
      </c>
      <c r="K33" s="49">
        <v>1528.4728742965087</v>
      </c>
      <c r="L33" s="49">
        <v>0.3331798282370224</v>
      </c>
      <c r="M33" s="49">
        <v>0.8308724164962769</v>
      </c>
      <c r="N33" s="49">
        <v>900.0321920504523</v>
      </c>
      <c r="O33" s="49">
        <v>0</v>
      </c>
      <c r="P33" s="49">
        <v>0</v>
      </c>
      <c r="Q33" s="49">
        <v>900.0321655273438</v>
      </c>
      <c r="R33" s="49">
        <v>40.73925069936146</v>
      </c>
      <c r="S33" s="49">
        <v>539.5570097958793</v>
      </c>
      <c r="T33" s="49">
        <v>14.447318077087402</v>
      </c>
      <c r="U33" s="49">
        <v>78.26457977294922</v>
      </c>
      <c r="V33" s="49">
        <v>631.6137782237217</v>
      </c>
      <c r="W33" s="49">
        <v>900.0321920504523</v>
      </c>
      <c r="X33" s="69">
        <v>0.7017679854148106</v>
      </c>
      <c r="Y33" s="60">
        <v>240.1881561279297</v>
      </c>
      <c r="Z33" s="60">
        <v>0</v>
      </c>
      <c r="AA33" s="60">
        <v>0</v>
      </c>
      <c r="AB33" s="60">
        <v>871.8019409179688</v>
      </c>
      <c r="AC33" s="60">
        <v>900.0321655273438</v>
      </c>
      <c r="AD33" s="69">
        <v>0.9686341881752014</v>
      </c>
      <c r="AE33" s="60"/>
      <c r="AF33" s="60"/>
      <c r="AG33" s="60"/>
      <c r="AH33" s="60"/>
      <c r="AI33" s="60"/>
      <c r="AJ33" s="60"/>
      <c r="AK33" s="60"/>
      <c r="AL33" s="49"/>
      <c r="AM33" s="49"/>
      <c r="AN33" s="49"/>
      <c r="AO33" s="49"/>
    </row>
    <row r="34" spans="2:41" ht="12.75" customHeight="1">
      <c r="B34" t="s">
        <v>247</v>
      </c>
      <c r="C34" s="49">
        <v>25</v>
      </c>
      <c r="D34" s="49">
        <v>1881.3031300555303</v>
      </c>
      <c r="E34" s="49">
        <v>1708.29</v>
      </c>
      <c r="F34" s="49">
        <v>0</v>
      </c>
      <c r="G34" s="49">
        <v>0</v>
      </c>
      <c r="H34" s="49"/>
      <c r="I34" s="49">
        <v>0.21</v>
      </c>
      <c r="J34" s="49">
        <v>0.4009999930858612</v>
      </c>
      <c r="K34" s="49">
        <v>2024.7524937222643</v>
      </c>
      <c r="L34" s="49">
        <v>0.44135993475929997</v>
      </c>
      <c r="M34" s="49">
        <v>1.100648283958435</v>
      </c>
      <c r="N34" s="49">
        <v>1708.2902645179813</v>
      </c>
      <c r="O34" s="49">
        <v>0</v>
      </c>
      <c r="P34" s="49">
        <v>0</v>
      </c>
      <c r="Q34" s="49">
        <v>1708.290283203125</v>
      </c>
      <c r="R34" s="49">
        <v>58.371714696344405</v>
      </c>
      <c r="S34" s="49">
        <v>714.7456912458135</v>
      </c>
      <c r="T34" s="49">
        <v>19.138216018676758</v>
      </c>
      <c r="U34" s="49">
        <v>103.6762924194336</v>
      </c>
      <c r="V34" s="49">
        <v>836.6923559057333</v>
      </c>
      <c r="W34" s="49">
        <v>1708.2902645179813</v>
      </c>
      <c r="X34" s="69">
        <v>0.48978348310251485</v>
      </c>
      <c r="Y34" s="60">
        <v>318.1748352050781</v>
      </c>
      <c r="Z34" s="60">
        <v>0</v>
      </c>
      <c r="AA34" s="60">
        <v>0</v>
      </c>
      <c r="AB34" s="60">
        <v>1154.8671875</v>
      </c>
      <c r="AC34" s="60">
        <v>1708.290283203125</v>
      </c>
      <c r="AD34" s="69">
        <v>0.6760368347167969</v>
      </c>
      <c r="AE34" s="60"/>
      <c r="AF34" s="60"/>
      <c r="AG34" s="60"/>
      <c r="AH34" s="60"/>
      <c r="AI34" s="60"/>
      <c r="AJ34" s="60"/>
      <c r="AK34" s="60"/>
      <c r="AL34" s="49"/>
      <c r="AM34" s="49"/>
      <c r="AN34" s="49"/>
      <c r="AO34" s="49"/>
    </row>
    <row r="35" spans="2:41" ht="12.75" customHeight="1">
      <c r="B35" t="s">
        <v>167</v>
      </c>
      <c r="C35" s="49">
        <v>25</v>
      </c>
      <c r="D35" s="49">
        <v>446.35705395194964</v>
      </c>
      <c r="E35" s="49">
        <v>600</v>
      </c>
      <c r="F35" s="49">
        <v>0</v>
      </c>
      <c r="G35" s="49">
        <v>0</v>
      </c>
      <c r="H35" s="49"/>
      <c r="I35" s="49">
        <v>0.21</v>
      </c>
      <c r="J35" s="49">
        <v>0.4009999930858612</v>
      </c>
      <c r="K35" s="49">
        <v>480.3917793157858</v>
      </c>
      <c r="L35" s="49">
        <v>0.10471684071762051</v>
      </c>
      <c r="M35" s="49">
        <v>0.26113924384117126</v>
      </c>
      <c r="N35" s="49">
        <v>600.0001280290827</v>
      </c>
      <c r="O35" s="49">
        <v>0</v>
      </c>
      <c r="P35" s="49">
        <v>0</v>
      </c>
      <c r="Q35" s="49">
        <v>600.0001220703125</v>
      </c>
      <c r="R35" s="49">
        <v>86.41089539849703</v>
      </c>
      <c r="S35" s="49">
        <v>169.58021063831148</v>
      </c>
      <c r="T35" s="49">
        <v>4.5407233238220215</v>
      </c>
      <c r="U35" s="49">
        <v>24.59818458557129</v>
      </c>
      <c r="V35" s="49">
        <v>198.51321474211116</v>
      </c>
      <c r="W35" s="49">
        <v>600.0001280290827</v>
      </c>
      <c r="X35" s="69">
        <v>0.33085528730502034</v>
      </c>
      <c r="Y35" s="60">
        <v>75.489990234375</v>
      </c>
      <c r="Z35" s="60">
        <v>0</v>
      </c>
      <c r="AA35" s="60">
        <v>0</v>
      </c>
      <c r="AB35" s="60">
        <v>274.0032043457031</v>
      </c>
      <c r="AC35" s="60">
        <v>600.0001220703125</v>
      </c>
      <c r="AD35" s="69">
        <v>0.45667192339897156</v>
      </c>
      <c r="AE35" s="60"/>
      <c r="AF35" s="60"/>
      <c r="AG35" s="60"/>
      <c r="AH35" s="60"/>
      <c r="AI35" s="60"/>
      <c r="AJ35" s="60"/>
      <c r="AK35" s="60"/>
      <c r="AL35" s="49"/>
      <c r="AM35" s="49"/>
      <c r="AN35" s="49"/>
      <c r="AO35" s="49"/>
    </row>
    <row r="36" spans="3:41" ht="12.75" customHeight="1">
      <c r="C36" s="49"/>
      <c r="D36" s="49"/>
      <c r="E36" s="49"/>
      <c r="F36" s="49"/>
      <c r="G36" s="49"/>
      <c r="H36" s="49"/>
      <c r="I36" s="49"/>
      <c r="J36" s="49"/>
      <c r="K36" s="49"/>
      <c r="L36" s="49"/>
      <c r="M36" s="49"/>
      <c r="S36" s="49"/>
      <c r="T36" s="49"/>
      <c r="U36" s="49"/>
      <c r="W36" s="49"/>
      <c r="X36" s="60"/>
      <c r="Y36" s="60"/>
      <c r="Z36" s="60"/>
      <c r="AA36" s="60"/>
      <c r="AB36" s="60"/>
      <c r="AC36" s="60"/>
      <c r="AD36" s="60"/>
      <c r="AE36" s="60"/>
      <c r="AF36" s="60"/>
      <c r="AG36" s="60"/>
      <c r="AH36" s="60"/>
      <c r="AI36" s="60"/>
      <c r="AJ36" s="60"/>
      <c r="AK36" s="60"/>
      <c r="AL36" s="49"/>
      <c r="AM36" s="49"/>
      <c r="AN36" s="49"/>
      <c r="AO36" s="49"/>
    </row>
    <row r="37" spans="3:41" ht="12.75" customHeight="1" thickBot="1">
      <c r="C37" s="49"/>
      <c r="D37" s="49"/>
      <c r="E37" s="49"/>
      <c r="F37" s="49"/>
      <c r="G37" s="49"/>
      <c r="H37" s="49"/>
      <c r="I37" s="49"/>
      <c r="J37" s="49"/>
      <c r="K37" s="49"/>
      <c r="L37" s="49"/>
      <c r="M37" s="49"/>
      <c r="S37" s="49"/>
      <c r="T37" s="49"/>
      <c r="U37" s="49"/>
      <c r="W37" s="49"/>
      <c r="X37" s="49"/>
      <c r="Y37" s="49"/>
      <c r="Z37" s="49"/>
      <c r="AA37" s="49"/>
      <c r="AB37" s="49"/>
      <c r="AC37" s="49"/>
      <c r="AD37" s="49"/>
      <c r="AE37" s="49"/>
      <c r="AF37" s="49"/>
      <c r="AG37" s="49"/>
      <c r="AH37" s="49"/>
      <c r="AI37" s="49"/>
      <c r="AJ37" s="49"/>
      <c r="AK37" s="49"/>
      <c r="AL37" s="49"/>
      <c r="AM37" s="49"/>
      <c r="AN37" s="49"/>
      <c r="AO37" s="49"/>
    </row>
    <row r="38" spans="1:41" ht="12.75" customHeight="1" thickBot="1">
      <c r="A38" s="65" t="s">
        <v>62</v>
      </c>
      <c r="B38" s="66"/>
      <c r="C38" s="67"/>
      <c r="D38" s="67"/>
      <c r="E38" s="67"/>
      <c r="F38" s="67"/>
      <c r="G38" s="67"/>
      <c r="H38" s="67"/>
      <c r="I38" s="67"/>
      <c r="J38" s="67"/>
      <c r="K38" s="68"/>
      <c r="L38" s="49"/>
      <c r="M38" s="49"/>
      <c r="S38" s="49"/>
      <c r="T38" s="49"/>
      <c r="U38" s="49"/>
      <c r="W38" s="49"/>
      <c r="X38" s="49"/>
      <c r="Y38" s="49"/>
      <c r="Z38" s="49"/>
      <c r="AA38" s="49"/>
      <c r="AB38" s="49"/>
      <c r="AC38" s="49"/>
      <c r="AD38" s="49"/>
      <c r="AE38" s="49"/>
      <c r="AF38" s="49"/>
      <c r="AG38" s="49"/>
      <c r="AH38" s="49"/>
      <c r="AI38" s="49"/>
      <c r="AJ38" s="49"/>
      <c r="AK38" s="49"/>
      <c r="AL38" s="49"/>
      <c r="AM38" s="49"/>
      <c r="AN38" s="49"/>
      <c r="AO38" s="49"/>
    </row>
    <row r="39" spans="1:41" ht="25.5">
      <c r="A39" s="57"/>
      <c r="B39" s="58" t="s">
        <v>63</v>
      </c>
      <c r="C39" s="59" t="s">
        <v>59</v>
      </c>
      <c r="D39" s="59" t="s">
        <v>60</v>
      </c>
      <c r="E39" s="59" t="s">
        <v>64</v>
      </c>
      <c r="F39" s="59" t="s">
        <v>65</v>
      </c>
      <c r="G39" s="59" t="s">
        <v>66</v>
      </c>
      <c r="H39" s="59" t="s">
        <v>67</v>
      </c>
      <c r="I39" s="59" t="s">
        <v>61</v>
      </c>
      <c r="J39" s="59" t="s">
        <v>50</v>
      </c>
      <c r="K39" s="59" t="s">
        <v>58</v>
      </c>
      <c r="L39" s="49"/>
      <c r="M39" s="49"/>
      <c r="S39" s="49"/>
      <c r="T39" s="49"/>
      <c r="U39" s="49"/>
      <c r="W39" s="49"/>
      <c r="X39" s="49"/>
      <c r="Y39" s="49"/>
      <c r="Z39" s="49"/>
      <c r="AA39" s="49"/>
      <c r="AB39" s="49"/>
      <c r="AC39" s="49"/>
      <c r="AD39" s="49"/>
      <c r="AE39" s="49"/>
      <c r="AF39" s="49"/>
      <c r="AG39" s="49"/>
      <c r="AH39" s="49"/>
      <c r="AI39" s="49"/>
      <c r="AJ39" s="49"/>
      <c r="AK39" s="49"/>
      <c r="AL39" s="49"/>
      <c r="AM39" s="49"/>
      <c r="AN39" s="49"/>
      <c r="AO39" s="49"/>
    </row>
    <row r="40" spans="2:41" ht="12.75" customHeight="1">
      <c r="B40" t="s">
        <v>68</v>
      </c>
      <c r="C40" s="49">
        <v>23867.386707175894</v>
      </c>
      <c r="D40" s="49">
        <v>6932.481579265113</v>
      </c>
      <c r="E40" s="49">
        <v>6932.48</v>
      </c>
      <c r="F40" s="49">
        <v>1386.49602</v>
      </c>
      <c r="G40" s="49">
        <v>8318.977599265114</v>
      </c>
      <c r="H40" s="49">
        <v>3053.298095703125</v>
      </c>
      <c r="I40" s="49">
        <v>24.114475293995042</v>
      </c>
      <c r="J40" s="49">
        <v>8425.28252867611</v>
      </c>
      <c r="K40" s="48">
        <v>1.0127786050800747</v>
      </c>
      <c r="L40" s="49"/>
      <c r="M40" s="49"/>
      <c r="S40" s="49"/>
      <c r="T40" s="49"/>
      <c r="U40" s="49"/>
      <c r="W40" s="49"/>
      <c r="X40" s="49"/>
      <c r="Y40" s="49"/>
      <c r="Z40" s="49"/>
      <c r="AA40" s="49"/>
      <c r="AB40" s="49"/>
      <c r="AC40" s="49"/>
      <c r="AD40" s="49"/>
      <c r="AE40" s="49"/>
      <c r="AF40" s="49"/>
      <c r="AG40" s="49"/>
      <c r="AH40" s="49"/>
      <c r="AI40" s="49"/>
      <c r="AJ40" s="49"/>
      <c r="AK40" s="49"/>
      <c r="AL40" s="49"/>
      <c r="AM40" s="49"/>
      <c r="AN40" s="49"/>
      <c r="AO40" s="49"/>
    </row>
    <row r="41" spans="2:41" ht="12.75" customHeight="1">
      <c r="B41" t="s">
        <v>69</v>
      </c>
      <c r="C41" s="49">
        <v>0</v>
      </c>
      <c r="D41" s="49">
        <v>0</v>
      </c>
      <c r="E41" s="49">
        <v>0</v>
      </c>
      <c r="F41" s="49">
        <v>0</v>
      </c>
      <c r="G41" s="49">
        <v>0</v>
      </c>
      <c r="H41" s="49">
        <v>0</v>
      </c>
      <c r="I41" s="49">
        <v>0</v>
      </c>
      <c r="J41" s="49">
        <v>9996.814850905592</v>
      </c>
      <c r="K41" s="69">
        <v>0</v>
      </c>
      <c r="L41" s="49"/>
      <c r="M41" s="49"/>
      <c r="S41" s="49"/>
      <c r="T41" s="49"/>
      <c r="U41" s="49"/>
      <c r="W41" s="49"/>
      <c r="X41" s="49"/>
      <c r="Y41" s="49"/>
      <c r="Z41" s="49"/>
      <c r="AA41" s="49"/>
      <c r="AB41" s="49"/>
      <c r="AC41" s="49"/>
      <c r="AD41" s="49"/>
      <c r="AE41" s="49"/>
      <c r="AF41" s="49"/>
      <c r="AG41" s="49"/>
      <c r="AH41" s="49"/>
      <c r="AI41" s="49"/>
      <c r="AJ41" s="49"/>
      <c r="AK41" s="49"/>
      <c r="AL41" s="49"/>
      <c r="AM41" s="49"/>
      <c r="AN41" s="49"/>
      <c r="AO41" s="49"/>
    </row>
    <row r="42" spans="2:41" ht="12.75" customHeight="1">
      <c r="B42" t="s">
        <v>70</v>
      </c>
      <c r="C42" s="49">
        <v>19182.40210870642</v>
      </c>
      <c r="D42" s="49">
        <v>7570.37744140625</v>
      </c>
      <c r="E42" s="49">
        <v>7570.375749731867</v>
      </c>
      <c r="F42" s="49">
        <v>1514.0751499463734</v>
      </c>
      <c r="G42" s="49">
        <v>9084.452591352623</v>
      </c>
      <c r="H42" s="49">
        <v>4148.583984375</v>
      </c>
      <c r="I42" s="49">
        <v>32.7648741131122</v>
      </c>
      <c r="J42" s="49">
        <v>6771.464313515845</v>
      </c>
      <c r="K42" s="69">
        <v>0.7453904619373012</v>
      </c>
      <c r="L42" s="49"/>
      <c r="M42" s="49"/>
      <c r="S42" s="49"/>
      <c r="T42" s="49"/>
      <c r="U42" s="49"/>
      <c r="W42" s="49"/>
      <c r="X42" s="49"/>
      <c r="Y42" s="49"/>
      <c r="Z42" s="49"/>
      <c r="AA42" s="49"/>
      <c r="AB42" s="49"/>
      <c r="AC42" s="49"/>
      <c r="AD42" s="49"/>
      <c r="AE42" s="49"/>
      <c r="AF42" s="49"/>
      <c r="AG42" s="49"/>
      <c r="AH42" s="49"/>
      <c r="AI42" s="49"/>
      <c r="AJ42" s="49"/>
      <c r="AK42" s="49"/>
      <c r="AL42" s="49"/>
      <c r="AM42" s="49"/>
      <c r="AN42" s="49"/>
      <c r="AO42" s="49"/>
    </row>
    <row r="43" spans="2:41" ht="12.75" customHeight="1">
      <c r="B43" t="s">
        <v>71</v>
      </c>
      <c r="C43" s="49">
        <v>0</v>
      </c>
      <c r="D43" s="49">
        <v>0</v>
      </c>
      <c r="E43" s="49">
        <v>0</v>
      </c>
      <c r="F43" s="49">
        <v>0</v>
      </c>
      <c r="G43" s="49">
        <v>0</v>
      </c>
      <c r="H43" s="49">
        <v>0</v>
      </c>
      <c r="I43" s="49">
        <v>0</v>
      </c>
      <c r="J43" s="49">
        <v>0</v>
      </c>
      <c r="K43" s="69">
        <v>0</v>
      </c>
      <c r="L43" s="49"/>
      <c r="M43" s="49"/>
      <c r="S43" s="49"/>
      <c r="T43" s="49"/>
      <c r="U43" s="49"/>
      <c r="W43" s="49"/>
      <c r="X43" s="49"/>
      <c r="Y43" s="49"/>
      <c r="Z43" s="49"/>
      <c r="AA43" s="49"/>
      <c r="AB43" s="49"/>
      <c r="AC43" s="49"/>
      <c r="AD43" s="49"/>
      <c r="AE43" s="49"/>
      <c r="AF43" s="49"/>
      <c r="AG43" s="49"/>
      <c r="AH43" s="49"/>
      <c r="AI43" s="49"/>
      <c r="AJ43" s="49"/>
      <c r="AK43" s="49"/>
      <c r="AL43" s="49"/>
      <c r="AM43" s="49"/>
      <c r="AN43" s="49"/>
      <c r="AO43" s="49"/>
    </row>
    <row r="44" spans="2:41" ht="12.75" customHeight="1">
      <c r="B44" t="s">
        <v>72</v>
      </c>
      <c r="C44" s="49">
        <v>0</v>
      </c>
      <c r="D44" s="49">
        <v>0</v>
      </c>
      <c r="E44" s="49">
        <v>0</v>
      </c>
      <c r="F44" s="49">
        <v>0</v>
      </c>
      <c r="G44" s="49">
        <v>0</v>
      </c>
      <c r="H44" s="49">
        <v>0</v>
      </c>
      <c r="I44" s="49">
        <v>0</v>
      </c>
      <c r="J44" s="49">
        <v>0</v>
      </c>
      <c r="K44" s="70">
        <v>0</v>
      </c>
      <c r="L44" s="49"/>
      <c r="M44" s="49"/>
      <c r="S44" s="49"/>
      <c r="T44" s="49"/>
      <c r="U44" s="49"/>
      <c r="W44" s="49"/>
      <c r="X44" s="49"/>
      <c r="Y44" s="49"/>
      <c r="Z44" s="49"/>
      <c r="AA44" s="49"/>
      <c r="AB44" s="49"/>
      <c r="AC44" s="49"/>
      <c r="AD44" s="49"/>
      <c r="AE44" s="49"/>
      <c r="AF44" s="49"/>
      <c r="AG44" s="49"/>
      <c r="AH44" s="49"/>
      <c r="AI44" s="49"/>
      <c r="AJ44" s="49"/>
      <c r="AK44" s="49"/>
      <c r="AL44" s="49"/>
      <c r="AM44" s="49"/>
      <c r="AN44" s="49"/>
      <c r="AO44" s="49"/>
    </row>
    <row r="45" spans="2:41" ht="12.75" customHeight="1">
      <c r="B45" t="s">
        <v>73</v>
      </c>
      <c r="C45" s="49">
        <v>23867.386707175894</v>
      </c>
      <c r="D45" s="49">
        <v>6932.481579265113</v>
      </c>
      <c r="E45" s="49">
        <v>6932.48</v>
      </c>
      <c r="F45" s="49">
        <v>1386.49602</v>
      </c>
      <c r="G45" s="49">
        <v>8318.977599265114</v>
      </c>
      <c r="H45" s="49">
        <v>3053.298095703125</v>
      </c>
      <c r="I45" s="49">
        <v>24.114475293995042</v>
      </c>
      <c r="J45" s="49">
        <v>8425.28252867611</v>
      </c>
      <c r="K45" s="420">
        <v>1.0127786050800747</v>
      </c>
      <c r="L45" s="49"/>
      <c r="M45" s="49"/>
      <c r="S45" s="49"/>
      <c r="T45" s="49"/>
      <c r="U45" s="49"/>
      <c r="W45" s="49"/>
      <c r="X45" s="49"/>
      <c r="Y45" s="49"/>
      <c r="Z45" s="49"/>
      <c r="AA45" s="49"/>
      <c r="AB45" s="49"/>
      <c r="AC45" s="49"/>
      <c r="AD45" s="49"/>
      <c r="AE45" s="49"/>
      <c r="AF45" s="49"/>
      <c r="AG45" s="49"/>
      <c r="AH45" s="49"/>
      <c r="AI45" s="49"/>
      <c r="AJ45" s="49"/>
      <c r="AK45" s="49"/>
      <c r="AL45" s="49"/>
      <c r="AM45" s="49"/>
      <c r="AN45" s="49"/>
      <c r="AO45" s="49"/>
    </row>
    <row r="46" spans="2:41" ht="12.75" customHeight="1">
      <c r="B46" t="s">
        <v>74</v>
      </c>
      <c r="C46" s="49">
        <v>0</v>
      </c>
      <c r="D46" s="49">
        <v>0</v>
      </c>
      <c r="E46" s="49">
        <v>0</v>
      </c>
      <c r="F46" s="49">
        <v>0</v>
      </c>
      <c r="G46" s="49">
        <v>0</v>
      </c>
      <c r="H46" s="49">
        <v>0</v>
      </c>
      <c r="I46" s="49">
        <v>0</v>
      </c>
      <c r="J46" s="49">
        <v>0</v>
      </c>
      <c r="K46" s="70">
        <v>0</v>
      </c>
      <c r="L46" s="49"/>
      <c r="M46" s="49"/>
      <c r="S46" s="49"/>
      <c r="T46" s="49"/>
      <c r="U46" s="49"/>
      <c r="W46" s="49"/>
      <c r="X46" s="49"/>
      <c r="Y46" s="49"/>
      <c r="Z46" s="49"/>
      <c r="AA46" s="49"/>
      <c r="AB46" s="49"/>
      <c r="AC46" s="49"/>
      <c r="AD46" s="49"/>
      <c r="AE46" s="49"/>
      <c r="AF46" s="49"/>
      <c r="AG46" s="49"/>
      <c r="AH46" s="49"/>
      <c r="AI46" s="49"/>
      <c r="AJ46" s="49"/>
      <c r="AK46" s="49"/>
      <c r="AL46" s="49"/>
      <c r="AM46" s="49"/>
      <c r="AN46" s="49"/>
      <c r="AO46" s="49"/>
    </row>
    <row r="47" spans="2:41" ht="12.75" customHeight="1">
      <c r="B47" t="s">
        <v>75</v>
      </c>
      <c r="C47" s="49">
        <v>1946.738441851867</v>
      </c>
      <c r="D47" s="49">
        <v>1141.9140436636274</v>
      </c>
      <c r="E47" s="49">
        <v>1141.91</v>
      </c>
      <c r="F47" s="49">
        <v>228.38276000000002</v>
      </c>
      <c r="G47" s="49">
        <v>1370.2968036636273</v>
      </c>
      <c r="H47" s="49">
        <v>6166.1083984375</v>
      </c>
      <c r="I47" s="49">
        <v>48.69896948696253</v>
      </c>
      <c r="J47" s="49">
        <v>687.206420345357</v>
      </c>
      <c r="K47" s="70">
        <v>0.5015018779202002</v>
      </c>
      <c r="L47" s="49"/>
      <c r="M47" s="49"/>
      <c r="S47" s="49"/>
      <c r="T47" s="49"/>
      <c r="U47" s="49"/>
      <c r="W47" s="49"/>
      <c r="X47" s="49"/>
      <c r="Y47" s="49"/>
      <c r="Z47" s="49"/>
      <c r="AA47" s="49"/>
      <c r="AB47" s="49"/>
      <c r="AC47" s="49"/>
      <c r="AD47" s="49"/>
      <c r="AE47" s="49"/>
      <c r="AF47" s="49"/>
      <c r="AG47" s="49"/>
      <c r="AH47" s="49"/>
      <c r="AI47" s="49"/>
      <c r="AJ47" s="49"/>
      <c r="AK47" s="49"/>
      <c r="AL47" s="49"/>
      <c r="AM47" s="49"/>
      <c r="AN47" s="49"/>
      <c r="AO47" s="49"/>
    </row>
    <row r="48" spans="2:41" ht="12.75" customHeight="1">
      <c r="B48" t="s">
        <v>76</v>
      </c>
      <c r="C48" s="49">
        <v>0</v>
      </c>
      <c r="D48" s="49">
        <v>0</v>
      </c>
      <c r="E48" s="49">
        <v>0</v>
      </c>
      <c r="F48" s="49">
        <v>0</v>
      </c>
      <c r="G48" s="49">
        <v>0</v>
      </c>
      <c r="H48" s="49">
        <v>0</v>
      </c>
      <c r="I48" s="49">
        <v>0</v>
      </c>
      <c r="J48" s="49">
        <v>0</v>
      </c>
      <c r="K48" s="70">
        <v>0</v>
      </c>
      <c r="L48" s="49"/>
      <c r="M48" s="49"/>
      <c r="S48" s="49"/>
      <c r="T48" s="49"/>
      <c r="U48" s="49"/>
      <c r="W48" s="49"/>
      <c r="X48" s="49"/>
      <c r="Y48" s="49"/>
      <c r="Z48" s="49"/>
      <c r="AA48" s="49"/>
      <c r="AB48" s="49"/>
      <c r="AC48" s="49"/>
      <c r="AD48" s="49"/>
      <c r="AE48" s="49"/>
      <c r="AF48" s="49"/>
      <c r="AG48" s="49"/>
      <c r="AH48" s="49"/>
      <c r="AI48" s="49"/>
      <c r="AJ48" s="49"/>
      <c r="AK48" s="49"/>
      <c r="AL48" s="49"/>
      <c r="AM48" s="49"/>
      <c r="AN48" s="49"/>
      <c r="AO48" s="49"/>
    </row>
    <row r="49" spans="2:41" ht="12.75" customHeight="1">
      <c r="B49" t="s">
        <v>77</v>
      </c>
      <c r="C49" s="49">
        <v>2505.14427303805</v>
      </c>
      <c r="D49" s="49">
        <v>2308.290392547064</v>
      </c>
      <c r="E49" s="49">
        <v>2308.29</v>
      </c>
      <c r="F49" s="49">
        <v>461.65798</v>
      </c>
      <c r="G49" s="49">
        <v>2769.948372547064</v>
      </c>
      <c r="H49" s="49">
        <v>9685.9677734375</v>
      </c>
      <c r="I49" s="49">
        <v>76.49827881307205</v>
      </c>
      <c r="J49" s="49">
        <v>884.325901884125</v>
      </c>
      <c r="K49" s="70">
        <v>0.31925717845454155</v>
      </c>
      <c r="L49" s="49"/>
      <c r="M49" s="49"/>
      <c r="S49" s="49"/>
      <c r="T49" s="49"/>
      <c r="U49" s="49"/>
      <c r="W49" s="49"/>
      <c r="X49" s="49"/>
      <c r="Y49" s="49"/>
      <c r="Z49" s="49"/>
      <c r="AA49" s="49"/>
      <c r="AB49" s="49"/>
      <c r="AC49" s="49"/>
      <c r="AD49" s="49"/>
      <c r="AE49" s="49"/>
      <c r="AF49" s="49"/>
      <c r="AG49" s="49"/>
      <c r="AH49" s="49"/>
      <c r="AI49" s="49"/>
      <c r="AJ49" s="49"/>
      <c r="AK49" s="49"/>
      <c r="AL49" s="49"/>
      <c r="AM49" s="49"/>
      <c r="AN49" s="49"/>
      <c r="AO49" s="49"/>
    </row>
    <row r="50" spans="3:41" ht="12.75" customHeight="1">
      <c r="C50" s="49"/>
      <c r="D50" s="49"/>
      <c r="E50" s="49"/>
      <c r="F50" s="49"/>
      <c r="G50" s="49"/>
      <c r="H50" s="49"/>
      <c r="I50" s="49"/>
      <c r="J50" s="49"/>
      <c r="K50" s="49"/>
      <c r="L50" s="49"/>
      <c r="M50" s="49"/>
      <c r="S50" s="49"/>
      <c r="T50" s="49"/>
      <c r="U50" s="49"/>
      <c r="W50" s="49"/>
      <c r="X50" s="49"/>
      <c r="Y50" s="49"/>
      <c r="Z50" s="49"/>
      <c r="AA50" s="49"/>
      <c r="AB50" s="49"/>
      <c r="AC50" s="49"/>
      <c r="AD50" s="49"/>
      <c r="AE50" s="49"/>
      <c r="AF50" s="49"/>
      <c r="AG50" s="49"/>
      <c r="AH50" s="49"/>
      <c r="AI50" s="49"/>
      <c r="AJ50" s="49"/>
      <c r="AK50" s="49"/>
      <c r="AL50" s="49"/>
      <c r="AM50" s="49"/>
      <c r="AN50" s="49"/>
      <c r="AO50" s="49"/>
    </row>
    <row r="51" spans="3:41" ht="12.75" customHeight="1">
      <c r="C51" s="49"/>
      <c r="D51" s="49"/>
      <c r="E51" s="49"/>
      <c r="F51" s="49"/>
      <c r="G51" s="49"/>
      <c r="H51" s="49"/>
      <c r="I51" s="49"/>
      <c r="J51" s="49"/>
      <c r="K51" s="49"/>
      <c r="L51" s="49"/>
      <c r="M51" s="49"/>
      <c r="S51" s="49"/>
      <c r="T51" s="49"/>
      <c r="U51" s="49"/>
      <c r="W51" s="49"/>
      <c r="X51" s="49"/>
      <c r="Y51" s="49"/>
      <c r="Z51" s="49"/>
      <c r="AA51" s="49"/>
      <c r="AB51" s="49"/>
      <c r="AC51" s="49"/>
      <c r="AD51" s="49"/>
      <c r="AE51" s="49"/>
      <c r="AF51" s="49"/>
      <c r="AG51" s="49"/>
      <c r="AH51" s="49"/>
      <c r="AI51" s="49"/>
      <c r="AJ51" s="49"/>
      <c r="AK51" s="49"/>
      <c r="AL51" s="49"/>
      <c r="AM51" s="49"/>
      <c r="AN51" s="49"/>
      <c r="AO51" s="49"/>
    </row>
    <row r="52" spans="3:41" ht="12.75" customHeight="1">
      <c r="C52" s="49"/>
      <c r="D52" s="49"/>
      <c r="E52" s="49"/>
      <c r="F52" s="49"/>
      <c r="G52" s="49"/>
      <c r="H52" s="49"/>
      <c r="I52" s="49"/>
      <c r="J52" s="49"/>
      <c r="K52" s="49"/>
      <c r="L52" s="49"/>
      <c r="M52" s="49"/>
      <c r="S52" s="49"/>
      <c r="T52" s="49"/>
      <c r="U52" s="49"/>
      <c r="W52" s="49"/>
      <c r="X52" s="49"/>
      <c r="Y52" s="49"/>
      <c r="Z52" s="49"/>
      <c r="AA52" s="49"/>
      <c r="AB52" s="49"/>
      <c r="AC52" s="49"/>
      <c r="AD52" s="49"/>
      <c r="AE52" s="49"/>
      <c r="AF52" s="49"/>
      <c r="AG52" s="49"/>
      <c r="AH52" s="49"/>
      <c r="AI52" s="49"/>
      <c r="AJ52" s="49"/>
      <c r="AK52" s="49"/>
      <c r="AL52" s="49"/>
      <c r="AM52" s="49"/>
      <c r="AN52" s="49"/>
      <c r="AO52" s="49"/>
    </row>
    <row r="53" spans="3:41" ht="12.75" customHeight="1">
      <c r="C53" s="49"/>
      <c r="D53" s="49"/>
      <c r="E53" s="49"/>
      <c r="F53" s="49"/>
      <c r="G53" s="49"/>
      <c r="H53" s="49"/>
      <c r="I53" s="49"/>
      <c r="J53" s="49"/>
      <c r="K53" s="49"/>
      <c r="L53" s="49"/>
      <c r="M53" s="49"/>
      <c r="S53" s="49"/>
      <c r="T53" s="49"/>
      <c r="U53" s="49"/>
      <c r="W53" s="49"/>
      <c r="X53" s="49"/>
      <c r="Y53" s="49"/>
      <c r="Z53" s="49"/>
      <c r="AA53" s="49"/>
      <c r="AB53" s="49"/>
      <c r="AC53" s="49"/>
      <c r="AD53" s="49"/>
      <c r="AE53" s="49"/>
      <c r="AF53" s="49"/>
      <c r="AG53" s="49"/>
      <c r="AH53" s="49"/>
      <c r="AI53" s="49"/>
      <c r="AJ53" s="49"/>
      <c r="AK53" s="49"/>
      <c r="AL53" s="49"/>
      <c r="AM53" s="49"/>
      <c r="AN53" s="49"/>
      <c r="AO53" s="49"/>
    </row>
    <row r="54" spans="3:41" ht="12.75" customHeight="1">
      <c r="C54" s="49"/>
      <c r="D54" s="49"/>
      <c r="E54" s="49"/>
      <c r="F54" s="49"/>
      <c r="G54" s="49"/>
      <c r="H54" s="49"/>
      <c r="I54" s="49"/>
      <c r="J54" s="49"/>
      <c r="K54" s="49"/>
      <c r="L54" s="49"/>
      <c r="M54" s="49"/>
      <c r="S54" s="49"/>
      <c r="T54" s="49"/>
      <c r="U54" s="49"/>
      <c r="W54" s="49"/>
      <c r="X54" s="49"/>
      <c r="Y54" s="49"/>
      <c r="Z54" s="49"/>
      <c r="AA54" s="49"/>
      <c r="AB54" s="49"/>
      <c r="AC54" s="49"/>
      <c r="AD54" s="49"/>
      <c r="AE54" s="49"/>
      <c r="AF54" s="49"/>
      <c r="AG54" s="49"/>
      <c r="AH54" s="49"/>
      <c r="AI54" s="49"/>
      <c r="AJ54" s="49"/>
      <c r="AK54" s="49"/>
      <c r="AL54" s="49"/>
      <c r="AM54" s="49"/>
      <c r="AN54" s="49"/>
      <c r="AO54" s="49"/>
    </row>
    <row r="55" spans="3:41" ht="12.75" customHeight="1">
      <c r="C55" s="49"/>
      <c r="D55" s="49"/>
      <c r="E55" s="49"/>
      <c r="F55" s="49"/>
      <c r="G55" s="49"/>
      <c r="H55" s="49"/>
      <c r="I55" s="49"/>
      <c r="J55" s="49"/>
      <c r="K55" s="49"/>
      <c r="L55" s="49"/>
      <c r="M55" s="49"/>
      <c r="S55" s="49"/>
      <c r="T55" s="49"/>
      <c r="U55" s="49"/>
      <c r="W55" s="49"/>
      <c r="X55" s="49"/>
      <c r="Y55" s="49"/>
      <c r="Z55" s="49"/>
      <c r="AA55" s="49"/>
      <c r="AB55" s="49"/>
      <c r="AC55" s="49"/>
      <c r="AD55" s="49"/>
      <c r="AE55" s="49"/>
      <c r="AF55" s="49"/>
      <c r="AG55" s="49"/>
      <c r="AH55" s="49"/>
      <c r="AI55" s="49"/>
      <c r="AJ55" s="49"/>
      <c r="AK55" s="49"/>
      <c r="AL55" s="49"/>
      <c r="AM55" s="49"/>
      <c r="AN55" s="49"/>
      <c r="AO55" s="49"/>
    </row>
    <row r="56" spans="3:41" ht="12.75" customHeight="1">
      <c r="C56" s="49"/>
      <c r="D56" s="49"/>
      <c r="E56" s="49"/>
      <c r="F56" s="49"/>
      <c r="G56" s="49"/>
      <c r="H56" s="49"/>
      <c r="I56" s="49"/>
      <c r="J56" s="49"/>
      <c r="K56" s="49"/>
      <c r="L56" s="49"/>
      <c r="M56" s="49"/>
      <c r="S56" s="49"/>
      <c r="T56" s="49"/>
      <c r="U56" s="49"/>
      <c r="W56" s="49"/>
      <c r="X56" s="49"/>
      <c r="Y56" s="49"/>
      <c r="Z56" s="49"/>
      <c r="AA56" s="49"/>
      <c r="AB56" s="49"/>
      <c r="AC56" s="49"/>
      <c r="AD56" s="49"/>
      <c r="AE56" s="49"/>
      <c r="AF56" s="49"/>
      <c r="AG56" s="49"/>
      <c r="AH56" s="49"/>
      <c r="AI56" s="49"/>
      <c r="AJ56" s="49"/>
      <c r="AK56" s="49"/>
      <c r="AL56" s="49"/>
      <c r="AM56" s="49"/>
      <c r="AN56" s="49"/>
      <c r="AO56" s="49"/>
    </row>
    <row r="57" spans="3:41" ht="12.75" customHeight="1">
      <c r="C57" s="49"/>
      <c r="D57" s="49"/>
      <c r="E57" s="49"/>
      <c r="F57" s="49"/>
      <c r="G57" s="49"/>
      <c r="H57" s="49"/>
      <c r="I57" s="49"/>
      <c r="J57" s="49"/>
      <c r="K57" s="49"/>
      <c r="L57" s="49"/>
      <c r="M57" s="49"/>
      <c r="S57" s="49"/>
      <c r="T57" s="49"/>
      <c r="U57" s="49"/>
      <c r="W57" s="49"/>
      <c r="X57" s="49"/>
      <c r="Y57" s="49"/>
      <c r="Z57" s="49"/>
      <c r="AA57" s="49"/>
      <c r="AB57" s="49"/>
      <c r="AC57" s="49"/>
      <c r="AD57" s="49"/>
      <c r="AE57" s="49"/>
      <c r="AF57" s="49"/>
      <c r="AG57" s="49"/>
      <c r="AH57" s="49"/>
      <c r="AI57" s="49"/>
      <c r="AJ57" s="49"/>
      <c r="AK57" s="49"/>
      <c r="AL57" s="49"/>
      <c r="AM57" s="49"/>
      <c r="AN57" s="49"/>
      <c r="AO57" s="49"/>
    </row>
    <row r="58" spans="3:41" ht="12.75" customHeight="1">
      <c r="C58" s="49"/>
      <c r="D58" s="49"/>
      <c r="E58" s="49"/>
      <c r="F58" s="49"/>
      <c r="G58" s="49"/>
      <c r="H58" s="49"/>
      <c r="I58" s="49"/>
      <c r="J58" s="49"/>
      <c r="K58" s="49"/>
      <c r="L58" s="49"/>
      <c r="M58" s="49"/>
      <c r="S58" s="49"/>
      <c r="T58" s="49"/>
      <c r="U58" s="49"/>
      <c r="W58" s="49"/>
      <c r="X58" s="49"/>
      <c r="Y58" s="49"/>
      <c r="Z58" s="49"/>
      <c r="AA58" s="49"/>
      <c r="AB58" s="49"/>
      <c r="AC58" s="49"/>
      <c r="AD58" s="49"/>
      <c r="AE58" s="49"/>
      <c r="AF58" s="49"/>
      <c r="AG58" s="49"/>
      <c r="AH58" s="49"/>
      <c r="AI58" s="49"/>
      <c r="AJ58" s="49"/>
      <c r="AK58" s="49"/>
      <c r="AL58" s="49"/>
      <c r="AM58" s="49"/>
      <c r="AN58" s="49"/>
      <c r="AO58" s="49"/>
    </row>
    <row r="59" spans="3:41" ht="12.75" customHeight="1">
      <c r="C59" s="49"/>
      <c r="D59" s="49"/>
      <c r="E59" s="49"/>
      <c r="F59" s="49"/>
      <c r="G59" s="49"/>
      <c r="H59" s="49"/>
      <c r="I59" s="49"/>
      <c r="J59" s="49"/>
      <c r="K59" s="49"/>
      <c r="L59" s="49"/>
      <c r="M59" s="49"/>
      <c r="S59" s="49"/>
      <c r="T59" s="49"/>
      <c r="U59" s="49"/>
      <c r="W59" s="49"/>
      <c r="X59" s="49"/>
      <c r="Y59" s="49"/>
      <c r="Z59" s="49"/>
      <c r="AA59" s="49"/>
      <c r="AB59" s="49"/>
      <c r="AC59" s="49"/>
      <c r="AD59" s="49"/>
      <c r="AE59" s="49"/>
      <c r="AF59" s="49"/>
      <c r="AG59" s="49"/>
      <c r="AH59" s="49"/>
      <c r="AI59" s="49"/>
      <c r="AJ59" s="49"/>
      <c r="AK59" s="49"/>
      <c r="AL59" s="49"/>
      <c r="AM59" s="49"/>
      <c r="AN59" s="49"/>
      <c r="AO59" s="49"/>
    </row>
    <row r="60" spans="3:41" ht="12.75" customHeight="1">
      <c r="C60" s="49"/>
      <c r="D60" s="49"/>
      <c r="E60" s="49"/>
      <c r="F60" s="49"/>
      <c r="G60" s="49"/>
      <c r="H60" s="49"/>
      <c r="I60" s="49"/>
      <c r="J60" s="49"/>
      <c r="K60" s="49"/>
      <c r="L60" s="49"/>
      <c r="M60" s="49"/>
      <c r="S60" s="49"/>
      <c r="T60" s="49"/>
      <c r="U60" s="49"/>
      <c r="W60" s="49"/>
      <c r="X60" s="49"/>
      <c r="Y60" s="49"/>
      <c r="Z60" s="49"/>
      <c r="AA60" s="49"/>
      <c r="AB60" s="49"/>
      <c r="AC60" s="49"/>
      <c r="AD60" s="49"/>
      <c r="AE60" s="49"/>
      <c r="AF60" s="49"/>
      <c r="AG60" s="49"/>
      <c r="AH60" s="49"/>
      <c r="AI60" s="49"/>
      <c r="AJ60" s="49"/>
      <c r="AK60" s="49"/>
      <c r="AL60" s="49"/>
      <c r="AM60" s="49"/>
      <c r="AN60" s="49"/>
      <c r="AO60" s="49"/>
    </row>
    <row r="61" spans="3:41" ht="12.75" customHeight="1">
      <c r="C61" s="49"/>
      <c r="D61" s="49"/>
      <c r="E61" s="49"/>
      <c r="F61" s="49"/>
      <c r="G61" s="49"/>
      <c r="H61" s="49"/>
      <c r="I61" s="49"/>
      <c r="J61" s="49"/>
      <c r="K61" s="49"/>
      <c r="L61" s="49"/>
      <c r="M61" s="49"/>
      <c r="S61" s="49"/>
      <c r="T61" s="49"/>
      <c r="U61" s="49"/>
      <c r="W61" s="49"/>
      <c r="X61" s="49"/>
      <c r="Y61" s="49"/>
      <c r="Z61" s="49"/>
      <c r="AA61" s="49"/>
      <c r="AB61" s="49"/>
      <c r="AC61" s="49"/>
      <c r="AD61" s="49"/>
      <c r="AE61" s="49"/>
      <c r="AF61" s="49"/>
      <c r="AG61" s="49"/>
      <c r="AH61" s="49"/>
      <c r="AI61" s="49"/>
      <c r="AJ61" s="49"/>
      <c r="AK61" s="49"/>
      <c r="AL61" s="49"/>
      <c r="AM61" s="49"/>
      <c r="AN61" s="49"/>
      <c r="AO61" s="49"/>
    </row>
    <row r="62" spans="3:41" ht="12.75" customHeight="1">
      <c r="C62" s="49"/>
      <c r="D62" s="49"/>
      <c r="E62" s="49"/>
      <c r="F62" s="49"/>
      <c r="G62" s="49"/>
      <c r="H62" s="49"/>
      <c r="I62" s="49"/>
      <c r="J62" s="49"/>
      <c r="K62" s="49"/>
      <c r="L62" s="49"/>
      <c r="M62" s="49"/>
      <c r="S62" s="49"/>
      <c r="T62" s="49"/>
      <c r="U62" s="49"/>
      <c r="W62" s="49"/>
      <c r="X62" s="49"/>
      <c r="Y62" s="49"/>
      <c r="Z62" s="49"/>
      <c r="AA62" s="49"/>
      <c r="AB62" s="49"/>
      <c r="AC62" s="49"/>
      <c r="AD62" s="49"/>
      <c r="AE62" s="49"/>
      <c r="AF62" s="49"/>
      <c r="AG62" s="49"/>
      <c r="AH62" s="49"/>
      <c r="AI62" s="49"/>
      <c r="AJ62" s="49"/>
      <c r="AK62" s="49"/>
      <c r="AL62" s="49"/>
      <c r="AM62" s="49"/>
      <c r="AN62" s="49"/>
      <c r="AO62" s="49"/>
    </row>
    <row r="63" spans="3:41" ht="12.75" customHeight="1">
      <c r="C63" s="49"/>
      <c r="D63" s="49"/>
      <c r="E63" s="49"/>
      <c r="F63" s="49"/>
      <c r="G63" s="49"/>
      <c r="H63" s="49"/>
      <c r="I63" s="49"/>
      <c r="J63" s="49"/>
      <c r="K63" s="49"/>
      <c r="L63" s="49"/>
      <c r="M63" s="49"/>
      <c r="S63" s="49"/>
      <c r="T63" s="49"/>
      <c r="U63" s="49"/>
      <c r="W63" s="49"/>
      <c r="X63" s="49"/>
      <c r="Y63" s="49"/>
      <c r="Z63" s="49"/>
      <c r="AA63" s="49"/>
      <c r="AB63" s="49"/>
      <c r="AC63" s="49"/>
      <c r="AD63" s="49"/>
      <c r="AE63" s="49"/>
      <c r="AF63" s="49"/>
      <c r="AG63" s="49"/>
      <c r="AH63" s="49"/>
      <c r="AI63" s="49"/>
      <c r="AJ63" s="49"/>
      <c r="AK63" s="49"/>
      <c r="AL63" s="49"/>
      <c r="AM63" s="49"/>
      <c r="AN63" s="49"/>
      <c r="AO63" s="49"/>
    </row>
    <row r="64" spans="3:41" ht="12.75" customHeight="1">
      <c r="C64" s="49"/>
      <c r="D64" s="49"/>
      <c r="E64" s="49"/>
      <c r="F64" s="49"/>
      <c r="G64" s="49"/>
      <c r="H64" s="49"/>
      <c r="I64" s="49"/>
      <c r="J64" s="49"/>
      <c r="K64" s="49"/>
      <c r="L64" s="49"/>
      <c r="M64" s="49"/>
      <c r="S64" s="49"/>
      <c r="T64" s="49"/>
      <c r="U64" s="49"/>
      <c r="W64" s="49"/>
      <c r="X64" s="49"/>
      <c r="Y64" s="49"/>
      <c r="Z64" s="49"/>
      <c r="AA64" s="49"/>
      <c r="AB64" s="49"/>
      <c r="AC64" s="49"/>
      <c r="AD64" s="49"/>
      <c r="AE64" s="49"/>
      <c r="AF64" s="49"/>
      <c r="AG64" s="49"/>
      <c r="AH64" s="49"/>
      <c r="AI64" s="49"/>
      <c r="AJ64" s="49"/>
      <c r="AK64" s="49"/>
      <c r="AL64" s="49"/>
      <c r="AM64" s="49"/>
      <c r="AN64" s="49"/>
      <c r="AO64" s="49"/>
    </row>
    <row r="65" spans="3:41" ht="12.75" customHeight="1">
      <c r="C65" s="49"/>
      <c r="D65" s="49"/>
      <c r="E65" s="49"/>
      <c r="F65" s="49"/>
      <c r="G65" s="49"/>
      <c r="H65" s="49"/>
      <c r="I65" s="49"/>
      <c r="J65" s="49"/>
      <c r="K65" s="49"/>
      <c r="L65" s="49"/>
      <c r="M65" s="49"/>
      <c r="S65" s="49"/>
      <c r="T65" s="49"/>
      <c r="U65" s="49"/>
      <c r="W65" s="49"/>
      <c r="X65" s="49"/>
      <c r="Y65" s="49"/>
      <c r="Z65" s="49"/>
      <c r="AA65" s="49"/>
      <c r="AB65" s="49"/>
      <c r="AC65" s="49"/>
      <c r="AD65" s="49"/>
      <c r="AE65" s="49"/>
      <c r="AF65" s="49"/>
      <c r="AG65" s="49"/>
      <c r="AH65" s="49"/>
      <c r="AI65" s="49"/>
      <c r="AJ65" s="49"/>
      <c r="AK65" s="49"/>
      <c r="AL65" s="49"/>
      <c r="AM65" s="49"/>
      <c r="AN65" s="49"/>
      <c r="AO65" s="49"/>
    </row>
    <row r="66" spans="3:41" ht="12.75" customHeight="1">
      <c r="C66" s="49"/>
      <c r="D66" s="49"/>
      <c r="E66" s="49"/>
      <c r="F66" s="49"/>
      <c r="G66" s="49"/>
      <c r="H66" s="49"/>
      <c r="I66" s="49"/>
      <c r="J66" s="49"/>
      <c r="K66" s="49"/>
      <c r="L66" s="49"/>
      <c r="M66" s="49"/>
      <c r="S66" s="49"/>
      <c r="T66" s="49"/>
      <c r="U66" s="49"/>
      <c r="W66" s="49"/>
      <c r="X66" s="49"/>
      <c r="Y66" s="49"/>
      <c r="Z66" s="49"/>
      <c r="AA66" s="49"/>
      <c r="AB66" s="49"/>
      <c r="AC66" s="49"/>
      <c r="AD66" s="49"/>
      <c r="AE66" s="49"/>
      <c r="AF66" s="49"/>
      <c r="AG66" s="49"/>
      <c r="AH66" s="49"/>
      <c r="AI66" s="49"/>
      <c r="AJ66" s="49"/>
      <c r="AK66" s="49"/>
      <c r="AL66" s="49"/>
      <c r="AM66" s="49"/>
      <c r="AN66" s="49"/>
      <c r="AO66" s="49"/>
    </row>
    <row r="67" spans="3:41" ht="12.75" customHeight="1">
      <c r="C67" s="49"/>
      <c r="D67" s="49"/>
      <c r="E67" s="49"/>
      <c r="F67" s="49"/>
      <c r="G67" s="49"/>
      <c r="H67" s="49"/>
      <c r="I67" s="49"/>
      <c r="J67" s="49"/>
      <c r="K67" s="49"/>
      <c r="L67" s="49"/>
      <c r="M67" s="49"/>
      <c r="S67" s="49"/>
      <c r="T67" s="49"/>
      <c r="U67" s="49"/>
      <c r="W67" s="49"/>
      <c r="X67" s="49"/>
      <c r="Y67" s="49"/>
      <c r="Z67" s="49"/>
      <c r="AA67" s="49"/>
      <c r="AB67" s="49"/>
      <c r="AC67" s="49"/>
      <c r="AD67" s="49"/>
      <c r="AE67" s="49"/>
      <c r="AF67" s="49"/>
      <c r="AG67" s="49"/>
      <c r="AH67" s="49"/>
      <c r="AI67" s="49"/>
      <c r="AJ67" s="49"/>
      <c r="AK67" s="49"/>
      <c r="AL67" s="49"/>
      <c r="AM67" s="49"/>
      <c r="AN67" s="49"/>
      <c r="AO67" s="49"/>
    </row>
    <row r="68" spans="3:41" ht="12.75" customHeight="1">
      <c r="C68" s="49"/>
      <c r="D68" s="49"/>
      <c r="E68" s="49"/>
      <c r="F68" s="49"/>
      <c r="G68" s="49"/>
      <c r="H68" s="49"/>
      <c r="I68" s="49"/>
      <c r="J68" s="49"/>
      <c r="K68" s="49"/>
      <c r="L68" s="49"/>
      <c r="M68" s="49"/>
      <c r="S68" s="49"/>
      <c r="T68" s="49"/>
      <c r="U68" s="49"/>
      <c r="W68" s="49"/>
      <c r="X68" s="49"/>
      <c r="Y68" s="49"/>
      <c r="Z68" s="49"/>
      <c r="AA68" s="49"/>
      <c r="AB68" s="49"/>
      <c r="AC68" s="49"/>
      <c r="AD68" s="49"/>
      <c r="AE68" s="49"/>
      <c r="AF68" s="49"/>
      <c r="AG68" s="49"/>
      <c r="AH68" s="49"/>
      <c r="AI68" s="49"/>
      <c r="AJ68" s="49"/>
      <c r="AK68" s="49"/>
      <c r="AL68" s="49"/>
      <c r="AM68" s="49"/>
      <c r="AN68" s="49"/>
      <c r="AO68" s="49"/>
    </row>
    <row r="69" spans="3:41" ht="12.75" customHeight="1">
      <c r="C69" s="49"/>
      <c r="D69" s="49"/>
      <c r="E69" s="49"/>
      <c r="F69" s="49"/>
      <c r="G69" s="49"/>
      <c r="H69" s="49"/>
      <c r="I69" s="49"/>
      <c r="J69" s="49"/>
      <c r="K69" s="49"/>
      <c r="L69" s="49"/>
      <c r="M69" s="49"/>
      <c r="S69" s="49"/>
      <c r="T69" s="49"/>
      <c r="U69" s="49"/>
      <c r="W69" s="49"/>
      <c r="X69" s="49"/>
      <c r="Y69" s="49"/>
      <c r="Z69" s="49"/>
      <c r="AA69" s="49"/>
      <c r="AB69" s="49"/>
      <c r="AC69" s="49"/>
      <c r="AD69" s="49"/>
      <c r="AE69" s="49"/>
      <c r="AF69" s="49"/>
      <c r="AG69" s="49"/>
      <c r="AH69" s="49"/>
      <c r="AI69" s="49"/>
      <c r="AJ69" s="49"/>
      <c r="AK69" s="49"/>
      <c r="AL69" s="49"/>
      <c r="AM69" s="49"/>
      <c r="AN69" s="49"/>
      <c r="AO69" s="49"/>
    </row>
    <row r="70" spans="3:41" ht="12.75" customHeight="1">
      <c r="C70" s="49"/>
      <c r="D70" s="49"/>
      <c r="E70" s="49"/>
      <c r="F70" s="49"/>
      <c r="G70" s="49"/>
      <c r="H70" s="49"/>
      <c r="I70" s="49"/>
      <c r="J70" s="49"/>
      <c r="K70" s="49"/>
      <c r="L70" s="49"/>
      <c r="M70" s="49"/>
      <c r="S70" s="49"/>
      <c r="T70" s="49"/>
      <c r="U70" s="49"/>
      <c r="W70" s="49"/>
      <c r="X70" s="49"/>
      <c r="Y70" s="49"/>
      <c r="Z70" s="49"/>
      <c r="AA70" s="49"/>
      <c r="AB70" s="49"/>
      <c r="AC70" s="49"/>
      <c r="AD70" s="49"/>
      <c r="AE70" s="49"/>
      <c r="AF70" s="49"/>
      <c r="AG70" s="49"/>
      <c r="AH70" s="49"/>
      <c r="AI70" s="49"/>
      <c r="AJ70" s="49"/>
      <c r="AK70" s="49"/>
      <c r="AL70" s="49"/>
      <c r="AM70" s="49"/>
      <c r="AN70" s="49"/>
      <c r="AO70" s="49"/>
    </row>
    <row r="71" spans="3:41" ht="12.75" customHeight="1">
      <c r="C71" s="49"/>
      <c r="D71" s="49"/>
      <c r="E71" s="49"/>
      <c r="F71" s="49"/>
      <c r="G71" s="49"/>
      <c r="H71" s="49"/>
      <c r="I71" s="49"/>
      <c r="J71" s="49"/>
      <c r="K71" s="49"/>
      <c r="L71" s="49"/>
      <c r="M71" s="49"/>
      <c r="S71" s="49"/>
      <c r="T71" s="49"/>
      <c r="U71" s="49"/>
      <c r="W71" s="49"/>
      <c r="X71" s="49"/>
      <c r="Y71" s="49"/>
      <c r="Z71" s="49"/>
      <c r="AA71" s="49"/>
      <c r="AB71" s="49"/>
      <c r="AC71" s="49"/>
      <c r="AD71" s="49"/>
      <c r="AE71" s="49"/>
      <c r="AF71" s="49"/>
      <c r="AG71" s="49"/>
      <c r="AH71" s="49"/>
      <c r="AI71" s="49"/>
      <c r="AJ71" s="49"/>
      <c r="AK71" s="49"/>
      <c r="AL71" s="49"/>
      <c r="AM71" s="49"/>
      <c r="AN71" s="49"/>
      <c r="AO71" s="49"/>
    </row>
    <row r="72" spans="3:41" ht="12.75" customHeight="1">
      <c r="C72" s="49"/>
      <c r="D72" s="49"/>
      <c r="E72" s="49"/>
      <c r="F72" s="49"/>
      <c r="G72" s="49"/>
      <c r="H72" s="49"/>
      <c r="I72" s="49"/>
      <c r="J72" s="49"/>
      <c r="K72" s="49"/>
      <c r="L72" s="49"/>
      <c r="M72" s="49"/>
      <c r="S72" s="49"/>
      <c r="T72" s="49"/>
      <c r="U72" s="49"/>
      <c r="W72" s="49"/>
      <c r="X72" s="49"/>
      <c r="Y72" s="49"/>
      <c r="Z72" s="49"/>
      <c r="AA72" s="49"/>
      <c r="AB72" s="49"/>
      <c r="AC72" s="49"/>
      <c r="AD72" s="49"/>
      <c r="AE72" s="49"/>
      <c r="AF72" s="49"/>
      <c r="AG72" s="49"/>
      <c r="AH72" s="49"/>
      <c r="AI72" s="49"/>
      <c r="AJ72" s="49"/>
      <c r="AK72" s="49"/>
      <c r="AL72" s="49"/>
      <c r="AM72" s="49"/>
      <c r="AN72" s="49"/>
      <c r="AO72" s="49"/>
    </row>
    <row r="73" spans="3:41" ht="12.75" customHeight="1">
      <c r="C73" s="49"/>
      <c r="D73" s="49"/>
      <c r="E73" s="49"/>
      <c r="F73" s="49"/>
      <c r="G73" s="49"/>
      <c r="H73" s="49"/>
      <c r="I73" s="49"/>
      <c r="J73" s="49"/>
      <c r="K73" s="49"/>
      <c r="L73" s="49"/>
      <c r="M73" s="49"/>
      <c r="S73" s="49"/>
      <c r="T73" s="49"/>
      <c r="U73" s="49"/>
      <c r="W73" s="49"/>
      <c r="X73" s="49"/>
      <c r="Y73" s="49"/>
      <c r="Z73" s="49"/>
      <c r="AA73" s="49"/>
      <c r="AB73" s="49"/>
      <c r="AC73" s="49"/>
      <c r="AD73" s="49"/>
      <c r="AE73" s="49"/>
      <c r="AF73" s="49"/>
      <c r="AG73" s="49"/>
      <c r="AH73" s="49"/>
      <c r="AI73" s="49"/>
      <c r="AJ73" s="49"/>
      <c r="AK73" s="49"/>
      <c r="AL73" s="49"/>
      <c r="AM73" s="49"/>
      <c r="AN73" s="49"/>
      <c r="AO73" s="49"/>
    </row>
    <row r="74" spans="3:41" ht="12.75" customHeight="1">
      <c r="C74" s="49"/>
      <c r="D74" s="49"/>
      <c r="E74" s="49"/>
      <c r="F74" s="49"/>
      <c r="G74" s="49"/>
      <c r="H74" s="49"/>
      <c r="I74" s="49"/>
      <c r="J74" s="49"/>
      <c r="K74" s="49"/>
      <c r="L74" s="49"/>
      <c r="M74" s="49"/>
      <c r="S74" s="49"/>
      <c r="T74" s="49"/>
      <c r="U74" s="49"/>
      <c r="W74" s="49"/>
      <c r="X74" s="49"/>
      <c r="Y74" s="49"/>
      <c r="Z74" s="49"/>
      <c r="AA74" s="49"/>
      <c r="AB74" s="49"/>
      <c r="AC74" s="49"/>
      <c r="AD74" s="49"/>
      <c r="AE74" s="49"/>
      <c r="AF74" s="49"/>
      <c r="AG74" s="49"/>
      <c r="AH74" s="49"/>
      <c r="AI74" s="49"/>
      <c r="AJ74" s="49"/>
      <c r="AK74" s="49"/>
      <c r="AL74" s="49"/>
      <c r="AM74" s="49"/>
      <c r="AN74" s="49"/>
      <c r="AO74" s="49"/>
    </row>
    <row r="75" spans="3:41" ht="12.75" customHeight="1">
      <c r="C75" s="49"/>
      <c r="D75" s="49"/>
      <c r="E75" s="49"/>
      <c r="F75" s="49"/>
      <c r="G75" s="49"/>
      <c r="H75" s="49"/>
      <c r="I75" s="49"/>
      <c r="J75" s="49"/>
      <c r="K75" s="49"/>
      <c r="L75" s="49"/>
      <c r="M75" s="49"/>
      <c r="S75" s="49"/>
      <c r="T75" s="49"/>
      <c r="U75" s="49"/>
      <c r="W75" s="49"/>
      <c r="X75" s="49"/>
      <c r="Y75" s="49"/>
      <c r="Z75" s="49"/>
      <c r="AA75" s="49"/>
      <c r="AB75" s="49"/>
      <c r="AC75" s="49"/>
      <c r="AD75" s="49"/>
      <c r="AE75" s="49"/>
      <c r="AF75" s="49"/>
      <c r="AG75" s="49"/>
      <c r="AH75" s="49"/>
      <c r="AI75" s="49"/>
      <c r="AJ75" s="49"/>
      <c r="AK75" s="49"/>
      <c r="AL75" s="49"/>
      <c r="AM75" s="49"/>
      <c r="AN75" s="49"/>
      <c r="AO75" s="49"/>
    </row>
    <row r="76" spans="3:41" ht="12.75" customHeight="1">
      <c r="C76" s="49"/>
      <c r="D76" s="49"/>
      <c r="E76" s="49"/>
      <c r="F76" s="49"/>
      <c r="G76" s="49"/>
      <c r="H76" s="49"/>
      <c r="I76" s="49"/>
      <c r="J76" s="49"/>
      <c r="K76" s="49"/>
      <c r="L76" s="49"/>
      <c r="M76" s="49"/>
      <c r="S76" s="49"/>
      <c r="T76" s="49"/>
      <c r="U76" s="49"/>
      <c r="W76" s="49"/>
      <c r="X76" s="49"/>
      <c r="Y76" s="49"/>
      <c r="Z76" s="49"/>
      <c r="AA76" s="49"/>
      <c r="AB76" s="49"/>
      <c r="AC76" s="49"/>
      <c r="AD76" s="49"/>
      <c r="AE76" s="49"/>
      <c r="AF76" s="49"/>
      <c r="AG76" s="49"/>
      <c r="AH76" s="49"/>
      <c r="AI76" s="49"/>
      <c r="AJ76" s="49"/>
      <c r="AK76" s="49"/>
      <c r="AL76" s="49"/>
      <c r="AM76" s="49"/>
      <c r="AN76" s="49"/>
      <c r="AO76" s="49"/>
    </row>
    <row r="77" spans="3:41" ht="12.75" customHeight="1">
      <c r="C77" s="49"/>
      <c r="D77" s="49"/>
      <c r="E77" s="49"/>
      <c r="F77" s="49"/>
      <c r="G77" s="49"/>
      <c r="H77" s="49"/>
      <c r="I77" s="49"/>
      <c r="J77" s="49"/>
      <c r="K77" s="49"/>
      <c r="L77" s="49"/>
      <c r="M77" s="49"/>
      <c r="S77" s="49"/>
      <c r="T77" s="49"/>
      <c r="U77" s="49"/>
      <c r="W77" s="49"/>
      <c r="X77" s="49"/>
      <c r="Y77" s="49"/>
      <c r="Z77" s="49"/>
      <c r="AA77" s="49"/>
      <c r="AB77" s="49"/>
      <c r="AC77" s="49"/>
      <c r="AD77" s="49"/>
      <c r="AE77" s="49"/>
      <c r="AF77" s="49"/>
      <c r="AG77" s="49"/>
      <c r="AH77" s="49"/>
      <c r="AI77" s="49"/>
      <c r="AJ77" s="49"/>
      <c r="AK77" s="49"/>
      <c r="AL77" s="49"/>
      <c r="AM77" s="49"/>
      <c r="AN77" s="49"/>
      <c r="AO77" s="49"/>
    </row>
    <row r="78" spans="3:41" ht="12.75" customHeight="1">
      <c r="C78" s="49"/>
      <c r="D78" s="49"/>
      <c r="E78" s="49"/>
      <c r="F78" s="49"/>
      <c r="G78" s="49"/>
      <c r="H78" s="49"/>
      <c r="I78" s="49"/>
      <c r="J78" s="49"/>
      <c r="K78" s="49"/>
      <c r="L78" s="49"/>
      <c r="M78" s="49"/>
      <c r="S78" s="49"/>
      <c r="T78" s="49"/>
      <c r="U78" s="49"/>
      <c r="W78" s="49"/>
      <c r="X78" s="49"/>
      <c r="Y78" s="49"/>
      <c r="Z78" s="49"/>
      <c r="AA78" s="49"/>
      <c r="AB78" s="49"/>
      <c r="AC78" s="49"/>
      <c r="AD78" s="49"/>
      <c r="AE78" s="49"/>
      <c r="AF78" s="49"/>
      <c r="AG78" s="49"/>
      <c r="AH78" s="49"/>
      <c r="AI78" s="49"/>
      <c r="AJ78" s="49"/>
      <c r="AK78" s="49"/>
      <c r="AL78" s="49"/>
      <c r="AM78" s="49"/>
      <c r="AN78" s="49"/>
      <c r="AO78" s="49"/>
    </row>
    <row r="79" spans="3:41" ht="12.75" customHeight="1">
      <c r="C79" s="49"/>
      <c r="D79" s="49"/>
      <c r="E79" s="49"/>
      <c r="F79" s="49"/>
      <c r="G79" s="49"/>
      <c r="H79" s="49"/>
      <c r="I79" s="49"/>
      <c r="J79" s="49"/>
      <c r="K79" s="49"/>
      <c r="L79" s="49"/>
      <c r="M79" s="49"/>
      <c r="S79" s="49"/>
      <c r="T79" s="49"/>
      <c r="U79" s="49"/>
      <c r="W79" s="49"/>
      <c r="X79" s="49"/>
      <c r="Y79" s="49"/>
      <c r="Z79" s="49"/>
      <c r="AA79" s="49"/>
      <c r="AB79" s="49"/>
      <c r="AC79" s="49"/>
      <c r="AD79" s="49"/>
      <c r="AE79" s="49"/>
      <c r="AF79" s="49"/>
      <c r="AG79" s="49"/>
      <c r="AH79" s="49"/>
      <c r="AI79" s="49"/>
      <c r="AJ79" s="49"/>
      <c r="AK79" s="49"/>
      <c r="AL79" s="49"/>
      <c r="AM79" s="49"/>
      <c r="AN79" s="49"/>
      <c r="AO79" s="49"/>
    </row>
    <row r="80" spans="3:41" ht="12.75" customHeight="1">
      <c r="C80" s="49"/>
      <c r="D80" s="49"/>
      <c r="E80" s="49"/>
      <c r="F80" s="49"/>
      <c r="G80" s="49"/>
      <c r="H80" s="49"/>
      <c r="I80" s="49"/>
      <c r="J80" s="49"/>
      <c r="K80" s="49"/>
      <c r="L80" s="49"/>
      <c r="M80" s="49"/>
      <c r="S80" s="49"/>
      <c r="T80" s="49"/>
      <c r="U80" s="49"/>
      <c r="W80" s="49"/>
      <c r="X80" s="49"/>
      <c r="Y80" s="49"/>
      <c r="Z80" s="49"/>
      <c r="AA80" s="49"/>
      <c r="AB80" s="49"/>
      <c r="AC80" s="49"/>
      <c r="AD80" s="49"/>
      <c r="AE80" s="49"/>
      <c r="AF80" s="49"/>
      <c r="AG80" s="49"/>
      <c r="AH80" s="49"/>
      <c r="AI80" s="49"/>
      <c r="AJ80" s="49"/>
      <c r="AK80" s="49"/>
      <c r="AL80" s="49"/>
      <c r="AM80" s="49"/>
      <c r="AN80" s="49"/>
      <c r="AO80" s="49"/>
    </row>
    <row r="81" spans="3:41" ht="12.75" customHeight="1">
      <c r="C81" s="49"/>
      <c r="D81" s="49"/>
      <c r="E81" s="49"/>
      <c r="F81" s="49"/>
      <c r="G81" s="49"/>
      <c r="H81" s="49"/>
      <c r="I81" s="49"/>
      <c r="J81" s="49"/>
      <c r="K81" s="49"/>
      <c r="L81" s="49"/>
      <c r="M81" s="49"/>
      <c r="S81" s="49"/>
      <c r="T81" s="49"/>
      <c r="U81" s="49"/>
      <c r="W81" s="49"/>
      <c r="X81" s="49"/>
      <c r="Y81" s="49"/>
      <c r="Z81" s="49"/>
      <c r="AA81" s="49"/>
      <c r="AB81" s="49"/>
      <c r="AC81" s="49"/>
      <c r="AD81" s="49"/>
      <c r="AE81" s="49"/>
      <c r="AF81" s="49"/>
      <c r="AG81" s="49"/>
      <c r="AH81" s="49"/>
      <c r="AI81" s="49"/>
      <c r="AJ81" s="49"/>
      <c r="AK81" s="49"/>
      <c r="AL81" s="49"/>
      <c r="AM81" s="49"/>
      <c r="AN81" s="49"/>
      <c r="AO81" s="49"/>
    </row>
    <row r="82" spans="3:41" ht="12.75" customHeight="1">
      <c r="C82" s="49"/>
      <c r="D82" s="49"/>
      <c r="E82" s="49"/>
      <c r="F82" s="49"/>
      <c r="G82" s="49"/>
      <c r="H82" s="49"/>
      <c r="I82" s="49"/>
      <c r="J82" s="49"/>
      <c r="K82" s="49"/>
      <c r="L82" s="49"/>
      <c r="M82" s="49"/>
      <c r="S82" s="49"/>
      <c r="T82" s="49"/>
      <c r="U82" s="49"/>
      <c r="W82" s="49"/>
      <c r="X82" s="49"/>
      <c r="Y82" s="49"/>
      <c r="Z82" s="49"/>
      <c r="AA82" s="49"/>
      <c r="AB82" s="49"/>
      <c r="AC82" s="49"/>
      <c r="AD82" s="49"/>
      <c r="AE82" s="49"/>
      <c r="AF82" s="49"/>
      <c r="AG82" s="49"/>
      <c r="AH82" s="49"/>
      <c r="AI82" s="49"/>
      <c r="AJ82" s="49"/>
      <c r="AK82" s="49"/>
      <c r="AL82" s="49"/>
      <c r="AM82" s="49"/>
      <c r="AN82" s="49"/>
      <c r="AO82" s="49"/>
    </row>
    <row r="83" spans="3:41" ht="12.75" customHeight="1">
      <c r="C83" s="49"/>
      <c r="D83" s="49"/>
      <c r="E83" s="49"/>
      <c r="F83" s="49"/>
      <c r="G83" s="49"/>
      <c r="H83" s="49"/>
      <c r="I83" s="49"/>
      <c r="J83" s="49"/>
      <c r="K83" s="49"/>
      <c r="L83" s="49"/>
      <c r="M83" s="49"/>
      <c r="S83" s="49"/>
      <c r="T83" s="49"/>
      <c r="U83" s="49"/>
      <c r="W83" s="49"/>
      <c r="X83" s="49"/>
      <c r="Y83" s="49"/>
      <c r="Z83" s="49"/>
      <c r="AA83" s="49"/>
      <c r="AB83" s="49"/>
      <c r="AC83" s="49"/>
      <c r="AD83" s="49"/>
      <c r="AE83" s="49"/>
      <c r="AF83" s="49"/>
      <c r="AG83" s="49"/>
      <c r="AH83" s="49"/>
      <c r="AI83" s="49"/>
      <c r="AJ83" s="49"/>
      <c r="AK83" s="49"/>
      <c r="AL83" s="49"/>
      <c r="AM83" s="49"/>
      <c r="AN83" s="49"/>
      <c r="AO83" s="49"/>
    </row>
    <row r="84" spans="3:41" ht="12.75" customHeight="1">
      <c r="C84" s="49"/>
      <c r="D84" s="49"/>
      <c r="E84" s="49"/>
      <c r="F84" s="49"/>
      <c r="G84" s="49"/>
      <c r="H84" s="49"/>
      <c r="I84" s="49"/>
      <c r="J84" s="49"/>
      <c r="K84" s="49"/>
      <c r="L84" s="49"/>
      <c r="M84" s="49"/>
      <c r="S84" s="49"/>
      <c r="T84" s="49"/>
      <c r="U84" s="49"/>
      <c r="W84" s="49"/>
      <c r="X84" s="49"/>
      <c r="Y84" s="49"/>
      <c r="Z84" s="49"/>
      <c r="AA84" s="49"/>
      <c r="AB84" s="49"/>
      <c r="AC84" s="49"/>
      <c r="AD84" s="49"/>
      <c r="AE84" s="49"/>
      <c r="AF84" s="49"/>
      <c r="AG84" s="49"/>
      <c r="AH84" s="49"/>
      <c r="AI84" s="49"/>
      <c r="AJ84" s="49"/>
      <c r="AK84" s="49"/>
      <c r="AL84" s="49"/>
      <c r="AM84" s="49"/>
      <c r="AN84" s="49"/>
      <c r="AO84" s="49"/>
    </row>
    <row r="85" spans="3:41" ht="12.75" customHeight="1">
      <c r="C85" s="49"/>
      <c r="D85" s="49"/>
      <c r="E85" s="49"/>
      <c r="F85" s="49"/>
      <c r="G85" s="49"/>
      <c r="H85" s="49"/>
      <c r="I85" s="49"/>
      <c r="J85" s="49"/>
      <c r="K85" s="49"/>
      <c r="L85" s="49"/>
      <c r="M85" s="49"/>
      <c r="S85" s="49"/>
      <c r="T85" s="49"/>
      <c r="U85" s="49"/>
      <c r="W85" s="49"/>
      <c r="X85" s="49"/>
      <c r="Y85" s="49"/>
      <c r="Z85" s="49"/>
      <c r="AA85" s="49"/>
      <c r="AB85" s="49"/>
      <c r="AC85" s="49"/>
      <c r="AD85" s="49"/>
      <c r="AE85" s="49"/>
      <c r="AF85" s="49"/>
      <c r="AG85" s="49"/>
      <c r="AH85" s="49"/>
      <c r="AI85" s="49"/>
      <c r="AJ85" s="49"/>
      <c r="AK85" s="49"/>
      <c r="AL85" s="49"/>
      <c r="AM85" s="49"/>
      <c r="AN85" s="49"/>
      <c r="AO85" s="49"/>
    </row>
    <row r="86" spans="3:41" ht="12.75" customHeight="1">
      <c r="C86" s="49"/>
      <c r="D86" s="49"/>
      <c r="E86" s="49"/>
      <c r="F86" s="49"/>
      <c r="G86" s="49"/>
      <c r="H86" s="49"/>
      <c r="I86" s="49"/>
      <c r="J86" s="49"/>
      <c r="K86" s="49"/>
      <c r="L86" s="49"/>
      <c r="M86" s="49"/>
      <c r="S86" s="49"/>
      <c r="T86" s="49"/>
      <c r="U86" s="49"/>
      <c r="W86" s="49"/>
      <c r="X86" s="49"/>
      <c r="Y86" s="49"/>
      <c r="Z86" s="49"/>
      <c r="AA86" s="49"/>
      <c r="AB86" s="49"/>
      <c r="AC86" s="49"/>
      <c r="AD86" s="49"/>
      <c r="AE86" s="49"/>
      <c r="AF86" s="49"/>
      <c r="AG86" s="49"/>
      <c r="AH86" s="49"/>
      <c r="AI86" s="49"/>
      <c r="AJ86" s="49"/>
      <c r="AK86" s="49"/>
      <c r="AL86" s="49"/>
      <c r="AM86" s="49"/>
      <c r="AN86" s="49"/>
      <c r="AO86" s="49"/>
    </row>
    <row r="87" spans="3:41" ht="12.75" customHeight="1">
      <c r="C87" s="49"/>
      <c r="D87" s="49"/>
      <c r="E87" s="49"/>
      <c r="F87" s="49"/>
      <c r="G87" s="49"/>
      <c r="H87" s="49"/>
      <c r="I87" s="49"/>
      <c r="J87" s="49"/>
      <c r="K87" s="49"/>
      <c r="L87" s="49"/>
      <c r="M87" s="49"/>
      <c r="S87" s="49"/>
      <c r="T87" s="49"/>
      <c r="U87" s="49"/>
      <c r="W87" s="49"/>
      <c r="X87" s="49"/>
      <c r="Y87" s="49"/>
      <c r="Z87" s="49"/>
      <c r="AA87" s="49"/>
      <c r="AB87" s="49"/>
      <c r="AC87" s="49"/>
      <c r="AD87" s="49"/>
      <c r="AE87" s="49"/>
      <c r="AF87" s="49"/>
      <c r="AG87" s="49"/>
      <c r="AH87" s="49"/>
      <c r="AI87" s="49"/>
      <c r="AJ87" s="49"/>
      <c r="AK87" s="49"/>
      <c r="AL87" s="49"/>
      <c r="AM87" s="49"/>
      <c r="AN87" s="49"/>
      <c r="AO87" s="49"/>
    </row>
    <row r="88" spans="3:41" ht="12.75" customHeight="1">
      <c r="C88" s="49"/>
      <c r="D88" s="49"/>
      <c r="E88" s="49"/>
      <c r="F88" s="49"/>
      <c r="G88" s="49"/>
      <c r="H88" s="49"/>
      <c r="I88" s="49"/>
      <c r="J88" s="49"/>
      <c r="K88" s="49"/>
      <c r="L88" s="49"/>
      <c r="M88" s="49"/>
      <c r="S88" s="49"/>
      <c r="T88" s="49"/>
      <c r="U88" s="49"/>
      <c r="W88" s="49"/>
      <c r="X88" s="49"/>
      <c r="Y88" s="49"/>
      <c r="Z88" s="49"/>
      <c r="AA88" s="49"/>
      <c r="AB88" s="49"/>
      <c r="AC88" s="49"/>
      <c r="AD88" s="49"/>
      <c r="AE88" s="49"/>
      <c r="AF88" s="49"/>
      <c r="AG88" s="49"/>
      <c r="AH88" s="49"/>
      <c r="AI88" s="49"/>
      <c r="AJ88" s="49"/>
      <c r="AK88" s="49"/>
      <c r="AL88" s="49"/>
      <c r="AM88" s="49"/>
      <c r="AN88" s="49"/>
      <c r="AO88" s="49"/>
    </row>
    <row r="89" spans="3:41" ht="12.75" customHeight="1">
      <c r="C89" s="49"/>
      <c r="D89" s="49"/>
      <c r="E89" s="49"/>
      <c r="F89" s="49"/>
      <c r="G89" s="49"/>
      <c r="H89" s="49"/>
      <c r="I89" s="49"/>
      <c r="J89" s="49"/>
      <c r="K89" s="49"/>
      <c r="L89" s="49"/>
      <c r="M89" s="49"/>
      <c r="S89" s="49"/>
      <c r="T89" s="49"/>
      <c r="U89" s="49"/>
      <c r="W89" s="49"/>
      <c r="X89" s="49"/>
      <c r="Y89" s="49"/>
      <c r="Z89" s="49"/>
      <c r="AA89" s="49"/>
      <c r="AB89" s="49"/>
      <c r="AC89" s="49"/>
      <c r="AD89" s="49"/>
      <c r="AE89" s="49"/>
      <c r="AF89" s="49"/>
      <c r="AG89" s="49"/>
      <c r="AH89" s="49"/>
      <c r="AI89" s="49"/>
      <c r="AJ89" s="49"/>
      <c r="AK89" s="49"/>
      <c r="AL89" s="49"/>
      <c r="AM89" s="49"/>
      <c r="AN89" s="49"/>
      <c r="AO89" s="49"/>
    </row>
    <row r="90" spans="3:41" ht="12.75" customHeight="1">
      <c r="C90" s="49"/>
      <c r="D90" s="49"/>
      <c r="E90" s="49"/>
      <c r="F90" s="49"/>
      <c r="G90" s="49"/>
      <c r="H90" s="49"/>
      <c r="I90" s="49"/>
      <c r="J90" s="49"/>
      <c r="K90" s="49"/>
      <c r="L90" s="49"/>
      <c r="M90" s="49"/>
      <c r="S90" s="49"/>
      <c r="T90" s="49"/>
      <c r="U90" s="49"/>
      <c r="W90" s="49"/>
      <c r="X90" s="49"/>
      <c r="Y90" s="49"/>
      <c r="Z90" s="49"/>
      <c r="AA90" s="49"/>
      <c r="AB90" s="49"/>
      <c r="AC90" s="49"/>
      <c r="AD90" s="49"/>
      <c r="AE90" s="49"/>
      <c r="AF90" s="49"/>
      <c r="AG90" s="49"/>
      <c r="AH90" s="49"/>
      <c r="AI90" s="49"/>
      <c r="AJ90" s="49"/>
      <c r="AK90" s="49"/>
      <c r="AL90" s="49"/>
      <c r="AM90" s="49"/>
      <c r="AN90" s="49"/>
      <c r="AO90" s="49"/>
    </row>
    <row r="91" spans="3:41" ht="12.75" customHeight="1">
      <c r="C91" s="49"/>
      <c r="D91" s="49"/>
      <c r="E91" s="49"/>
      <c r="F91" s="49"/>
      <c r="G91" s="49"/>
      <c r="H91" s="49"/>
      <c r="I91" s="49"/>
      <c r="J91" s="49"/>
      <c r="K91" s="49"/>
      <c r="L91" s="49"/>
      <c r="M91" s="49"/>
      <c r="S91" s="49"/>
      <c r="T91" s="49"/>
      <c r="U91" s="49"/>
      <c r="W91" s="49"/>
      <c r="X91" s="49"/>
      <c r="Y91" s="49"/>
      <c r="Z91" s="49"/>
      <c r="AA91" s="49"/>
      <c r="AB91" s="49"/>
      <c r="AC91" s="49"/>
      <c r="AD91" s="49"/>
      <c r="AE91" s="49"/>
      <c r="AF91" s="49"/>
      <c r="AG91" s="49"/>
      <c r="AH91" s="49"/>
      <c r="AI91" s="49"/>
      <c r="AJ91" s="49"/>
      <c r="AK91" s="49"/>
      <c r="AL91" s="49"/>
      <c r="AM91" s="49"/>
      <c r="AN91" s="49"/>
      <c r="AO91" s="49"/>
    </row>
    <row r="92" spans="3:41" ht="12.75" customHeight="1">
      <c r="C92" s="49"/>
      <c r="D92" s="49"/>
      <c r="E92" s="49"/>
      <c r="F92" s="49"/>
      <c r="G92" s="49"/>
      <c r="H92" s="49"/>
      <c r="I92" s="49"/>
      <c r="J92" s="49"/>
      <c r="K92" s="49"/>
      <c r="L92" s="49"/>
      <c r="M92" s="49"/>
      <c r="S92" s="49"/>
      <c r="T92" s="49"/>
      <c r="U92" s="49"/>
      <c r="W92" s="49"/>
      <c r="X92" s="49"/>
      <c r="Y92" s="49"/>
      <c r="Z92" s="49"/>
      <c r="AA92" s="49"/>
      <c r="AB92" s="49"/>
      <c r="AC92" s="49"/>
      <c r="AD92" s="49"/>
      <c r="AE92" s="49"/>
      <c r="AF92" s="49"/>
      <c r="AG92" s="49"/>
      <c r="AH92" s="49"/>
      <c r="AI92" s="49"/>
      <c r="AJ92" s="49"/>
      <c r="AK92" s="49"/>
      <c r="AL92" s="49"/>
      <c r="AM92" s="49"/>
      <c r="AN92" s="49"/>
      <c r="AO92" s="49"/>
    </row>
    <row r="93" spans="3:41" ht="12.75" customHeight="1">
      <c r="C93" s="49"/>
      <c r="D93" s="49"/>
      <c r="E93" s="49"/>
      <c r="F93" s="49"/>
      <c r="G93" s="49"/>
      <c r="H93" s="49"/>
      <c r="I93" s="49"/>
      <c r="J93" s="49"/>
      <c r="K93" s="49"/>
      <c r="L93" s="49"/>
      <c r="M93" s="49"/>
      <c r="S93" s="49"/>
      <c r="T93" s="49"/>
      <c r="U93" s="49"/>
      <c r="W93" s="49"/>
      <c r="X93" s="49"/>
      <c r="Y93" s="49"/>
      <c r="Z93" s="49"/>
      <c r="AA93" s="49"/>
      <c r="AB93" s="49"/>
      <c r="AC93" s="49"/>
      <c r="AD93" s="49"/>
      <c r="AE93" s="49"/>
      <c r="AF93" s="49"/>
      <c r="AG93" s="49"/>
      <c r="AH93" s="49"/>
      <c r="AI93" s="49"/>
      <c r="AJ93" s="49"/>
      <c r="AK93" s="49"/>
      <c r="AL93" s="49"/>
      <c r="AM93" s="49"/>
      <c r="AN93" s="49"/>
      <c r="AO93" s="49"/>
    </row>
    <row r="94" spans="3:41" ht="12.75" customHeight="1">
      <c r="C94" s="49"/>
      <c r="D94" s="49"/>
      <c r="E94" s="49"/>
      <c r="F94" s="49"/>
      <c r="G94" s="49"/>
      <c r="H94" s="49"/>
      <c r="I94" s="49"/>
      <c r="J94" s="49"/>
      <c r="K94" s="49"/>
      <c r="L94" s="49"/>
      <c r="M94" s="49"/>
      <c r="S94" s="49"/>
      <c r="T94" s="49"/>
      <c r="U94" s="49"/>
      <c r="W94" s="49"/>
      <c r="X94" s="49"/>
      <c r="Y94" s="49"/>
      <c r="Z94" s="49"/>
      <c r="AA94" s="49"/>
      <c r="AB94" s="49"/>
      <c r="AC94" s="49"/>
      <c r="AD94" s="49"/>
      <c r="AE94" s="49"/>
      <c r="AF94" s="49"/>
      <c r="AG94" s="49"/>
      <c r="AH94" s="49"/>
      <c r="AI94" s="49"/>
      <c r="AJ94" s="49"/>
      <c r="AK94" s="49"/>
      <c r="AL94" s="49"/>
      <c r="AM94" s="49"/>
      <c r="AN94" s="49"/>
      <c r="AO94" s="49"/>
    </row>
    <row r="95" spans="3:41" ht="12.75" customHeight="1">
      <c r="C95" s="49"/>
      <c r="D95" s="49"/>
      <c r="E95" s="49"/>
      <c r="F95" s="49"/>
      <c r="G95" s="49"/>
      <c r="H95" s="49"/>
      <c r="I95" s="49"/>
      <c r="J95" s="49"/>
      <c r="K95" s="49"/>
      <c r="L95" s="49"/>
      <c r="M95" s="49"/>
      <c r="S95" s="49"/>
      <c r="T95" s="49"/>
      <c r="U95" s="49"/>
      <c r="W95" s="49"/>
      <c r="X95" s="49"/>
      <c r="Y95" s="49"/>
      <c r="Z95" s="49"/>
      <c r="AA95" s="49"/>
      <c r="AB95" s="49"/>
      <c r="AC95" s="49"/>
      <c r="AD95" s="49"/>
      <c r="AE95" s="49"/>
      <c r="AF95" s="49"/>
      <c r="AG95" s="49"/>
      <c r="AH95" s="49"/>
      <c r="AI95" s="49"/>
      <c r="AJ95" s="49"/>
      <c r="AK95" s="49"/>
      <c r="AL95" s="49"/>
      <c r="AM95" s="49"/>
      <c r="AN95" s="49"/>
      <c r="AO95" s="49"/>
    </row>
    <row r="96" spans="3:41" ht="12.75" customHeight="1">
      <c r="C96" s="49"/>
      <c r="D96" s="49"/>
      <c r="E96" s="49"/>
      <c r="F96" s="49"/>
      <c r="G96" s="49"/>
      <c r="H96" s="49"/>
      <c r="I96" s="49"/>
      <c r="J96" s="49"/>
      <c r="K96" s="49"/>
      <c r="L96" s="49"/>
      <c r="M96" s="49"/>
      <c r="S96" s="49"/>
      <c r="T96" s="49"/>
      <c r="U96" s="49"/>
      <c r="W96" s="49"/>
      <c r="X96" s="49"/>
      <c r="Y96" s="49"/>
      <c r="Z96" s="49"/>
      <c r="AA96" s="49"/>
      <c r="AB96" s="49"/>
      <c r="AC96" s="49"/>
      <c r="AD96" s="49"/>
      <c r="AE96" s="49"/>
      <c r="AF96" s="49"/>
      <c r="AG96" s="49"/>
      <c r="AH96" s="49"/>
      <c r="AI96" s="49"/>
      <c r="AJ96" s="49"/>
      <c r="AK96" s="49"/>
      <c r="AL96" s="49"/>
      <c r="AM96" s="49"/>
      <c r="AN96" s="49"/>
      <c r="AO96" s="49"/>
    </row>
    <row r="97" spans="3:41" ht="12.75" customHeight="1">
      <c r="C97" s="49"/>
      <c r="D97" s="49"/>
      <c r="E97" s="49"/>
      <c r="F97" s="49"/>
      <c r="G97" s="49"/>
      <c r="H97" s="49"/>
      <c r="I97" s="49"/>
      <c r="J97" s="49"/>
      <c r="K97" s="49"/>
      <c r="L97" s="49"/>
      <c r="M97" s="49"/>
      <c r="S97" s="49"/>
      <c r="T97" s="49"/>
      <c r="U97" s="49"/>
      <c r="W97" s="49"/>
      <c r="X97" s="49"/>
      <c r="Y97" s="49"/>
      <c r="Z97" s="49"/>
      <c r="AA97" s="49"/>
      <c r="AB97" s="49"/>
      <c r="AC97" s="49"/>
      <c r="AD97" s="49"/>
      <c r="AE97" s="49"/>
      <c r="AF97" s="49"/>
      <c r="AG97" s="49"/>
      <c r="AH97" s="49"/>
      <c r="AI97" s="49"/>
      <c r="AJ97" s="49"/>
      <c r="AK97" s="49"/>
      <c r="AL97" s="49"/>
      <c r="AM97" s="49"/>
      <c r="AN97" s="49"/>
      <c r="AO97" s="49"/>
    </row>
    <row r="98" spans="3:41" ht="12.75" customHeight="1">
      <c r="C98" s="49"/>
      <c r="D98" s="49"/>
      <c r="E98" s="49"/>
      <c r="F98" s="49"/>
      <c r="G98" s="49"/>
      <c r="H98" s="49"/>
      <c r="I98" s="49"/>
      <c r="J98" s="49"/>
      <c r="K98" s="49"/>
      <c r="L98" s="49"/>
      <c r="M98" s="49"/>
      <c r="S98" s="49"/>
      <c r="T98" s="49"/>
      <c r="U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S99" s="49"/>
      <c r="T99" s="49"/>
      <c r="U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S100" s="49"/>
      <c r="T100" s="49"/>
      <c r="U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S101" s="49"/>
      <c r="T101" s="49"/>
      <c r="U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S102" s="49"/>
      <c r="T102" s="49"/>
      <c r="U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S103" s="49"/>
      <c r="T103" s="49"/>
      <c r="U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S104" s="49"/>
      <c r="T104" s="49"/>
      <c r="U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S105" s="49"/>
      <c r="T105" s="49"/>
      <c r="U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S106" s="49"/>
      <c r="T106" s="49"/>
      <c r="U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S107" s="49"/>
      <c r="T107" s="49"/>
      <c r="U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S108" s="49"/>
      <c r="T108" s="49"/>
      <c r="U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S109" s="49"/>
      <c r="T109" s="49"/>
      <c r="U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S110" s="49"/>
      <c r="T110" s="49"/>
      <c r="U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S111" s="49"/>
      <c r="T111" s="49"/>
      <c r="U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S112" s="49"/>
      <c r="T112" s="49"/>
      <c r="U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S113" s="49"/>
      <c r="T113" s="49"/>
      <c r="U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S114" s="49"/>
      <c r="T114" s="49"/>
      <c r="U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S115" s="49"/>
      <c r="T115" s="49"/>
      <c r="U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S116" s="49"/>
      <c r="T116" s="49"/>
      <c r="U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S117" s="49"/>
      <c r="T117" s="49"/>
      <c r="U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S118" s="49"/>
      <c r="T118" s="49"/>
      <c r="U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S119" s="49"/>
      <c r="T119" s="49"/>
      <c r="U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S120" s="49"/>
      <c r="T120" s="49"/>
      <c r="U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S121" s="49"/>
      <c r="T121" s="49"/>
      <c r="U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S122" s="49"/>
      <c r="T122" s="49"/>
      <c r="U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S123" s="49"/>
      <c r="T123" s="49"/>
      <c r="U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S124" s="49"/>
      <c r="T124" s="49"/>
      <c r="U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S125" s="49"/>
      <c r="T125" s="49"/>
      <c r="U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S126" s="49"/>
      <c r="T126" s="49"/>
      <c r="U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S127" s="49"/>
      <c r="T127" s="49"/>
      <c r="U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S128" s="49"/>
      <c r="T128" s="49"/>
      <c r="U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S129" s="49"/>
      <c r="T129" s="49"/>
      <c r="U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S130" s="49"/>
      <c r="T130" s="49"/>
      <c r="U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S131" s="49"/>
      <c r="T131" s="49"/>
      <c r="U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S132" s="49"/>
      <c r="T132" s="49"/>
      <c r="U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S133" s="49"/>
      <c r="T133" s="49"/>
      <c r="U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S134" s="49"/>
      <c r="T134" s="49"/>
      <c r="U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S135" s="49"/>
      <c r="T135" s="49"/>
      <c r="U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S136" s="49"/>
      <c r="T136" s="49"/>
      <c r="U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S137" s="49"/>
      <c r="T137" s="49"/>
      <c r="U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S138" s="49"/>
      <c r="T138" s="49"/>
      <c r="U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S139" s="49"/>
      <c r="T139" s="49"/>
      <c r="U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S140" s="49"/>
      <c r="T140" s="49"/>
      <c r="U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S141" s="49"/>
      <c r="T141" s="49"/>
      <c r="U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S142" s="49"/>
      <c r="T142" s="49"/>
      <c r="U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S143" s="49"/>
      <c r="T143" s="49"/>
      <c r="U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S144" s="49"/>
      <c r="T144" s="49"/>
      <c r="U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S145" s="49"/>
      <c r="T145" s="49"/>
      <c r="U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S146" s="49"/>
      <c r="T146" s="49"/>
      <c r="U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S147" s="49"/>
      <c r="T147" s="49"/>
      <c r="U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S148" s="49"/>
      <c r="T148" s="49"/>
      <c r="U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S149" s="49"/>
      <c r="T149" s="49"/>
      <c r="U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S150" s="49"/>
      <c r="T150" s="49"/>
      <c r="U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S151" s="49"/>
      <c r="T151" s="49"/>
      <c r="U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S152" s="49"/>
      <c r="T152" s="49"/>
      <c r="U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S153" s="49"/>
      <c r="T153" s="49"/>
      <c r="U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S154" s="49"/>
      <c r="T154" s="49"/>
      <c r="U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S155" s="49"/>
      <c r="T155" s="49"/>
      <c r="U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S156" s="49"/>
      <c r="T156" s="49"/>
      <c r="U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S157" s="49"/>
      <c r="T157" s="49"/>
      <c r="U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S158" s="49"/>
      <c r="T158" s="49"/>
      <c r="U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S159" s="49"/>
      <c r="T159" s="49"/>
      <c r="U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S160" s="49"/>
      <c r="T160" s="49"/>
      <c r="U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S161" s="49"/>
      <c r="T161" s="49"/>
      <c r="U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S162" s="49"/>
      <c r="T162" s="49"/>
      <c r="U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S163" s="49"/>
      <c r="T163" s="49"/>
      <c r="U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S164" s="49"/>
      <c r="T164" s="49"/>
      <c r="U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S165" s="49"/>
      <c r="T165" s="49"/>
      <c r="U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S166" s="49"/>
      <c r="T166" s="49"/>
      <c r="U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S167" s="49"/>
      <c r="T167" s="49"/>
      <c r="U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S168" s="49"/>
      <c r="T168" s="49"/>
      <c r="U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S169" s="49"/>
      <c r="T169" s="49"/>
      <c r="U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S170" s="49"/>
      <c r="T170" s="49"/>
      <c r="U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S171" s="49"/>
      <c r="T171" s="49"/>
      <c r="U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S172" s="49"/>
      <c r="T172" s="49"/>
      <c r="U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S173" s="49"/>
      <c r="T173" s="49"/>
      <c r="U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S174" s="49"/>
      <c r="T174" s="49"/>
      <c r="U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S175" s="49"/>
      <c r="T175" s="49"/>
      <c r="U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S176" s="49"/>
      <c r="T176" s="49"/>
      <c r="U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S177" s="49"/>
      <c r="T177" s="49"/>
      <c r="U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S178" s="49"/>
      <c r="T178" s="49"/>
      <c r="U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S179" s="49"/>
      <c r="T179" s="49"/>
      <c r="U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S180" s="49"/>
      <c r="T180" s="49"/>
      <c r="U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S181" s="49"/>
      <c r="T181" s="49"/>
      <c r="U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S182" s="49"/>
      <c r="T182" s="49"/>
      <c r="U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S183" s="49"/>
      <c r="T183" s="49"/>
      <c r="U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S184" s="49"/>
      <c r="T184" s="49"/>
      <c r="U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S185" s="49"/>
      <c r="T185" s="49"/>
      <c r="U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S186" s="49"/>
      <c r="T186" s="49"/>
      <c r="U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S187" s="49"/>
      <c r="T187" s="49"/>
      <c r="U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S188" s="49"/>
      <c r="T188" s="49"/>
      <c r="U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S189" s="49"/>
      <c r="T189" s="49"/>
      <c r="U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S190" s="49"/>
      <c r="T190" s="49"/>
      <c r="U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S191" s="49"/>
      <c r="T191" s="49"/>
      <c r="U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S192" s="49"/>
      <c r="T192" s="49"/>
      <c r="U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S193" s="49"/>
      <c r="T193" s="49"/>
      <c r="U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S194" s="49"/>
      <c r="T194" s="49"/>
      <c r="U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S195" s="49"/>
      <c r="T195" s="49"/>
      <c r="U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S196" s="49"/>
      <c r="T196" s="49"/>
      <c r="U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S197" s="49"/>
      <c r="T197" s="49"/>
      <c r="U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S198" s="49"/>
      <c r="T198" s="49"/>
      <c r="U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S199" s="49"/>
      <c r="T199" s="49"/>
      <c r="U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S200" s="49"/>
      <c r="T200" s="49"/>
      <c r="U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S201" s="49"/>
      <c r="T201" s="49"/>
      <c r="U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S202" s="49"/>
      <c r="T202" s="49"/>
      <c r="U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S203" s="49"/>
      <c r="T203" s="49"/>
      <c r="U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S204" s="49"/>
      <c r="T204" s="49"/>
      <c r="U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S205" s="49"/>
      <c r="T205" s="49"/>
      <c r="U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S206" s="49"/>
      <c r="T206" s="49"/>
      <c r="U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S207" s="49"/>
      <c r="T207" s="49"/>
      <c r="U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S208" s="49"/>
      <c r="T208" s="49"/>
      <c r="U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S209" s="49"/>
      <c r="T209" s="49"/>
      <c r="U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S210" s="49"/>
      <c r="T210" s="49"/>
      <c r="U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S211" s="49"/>
      <c r="T211" s="49"/>
      <c r="U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S212" s="49"/>
      <c r="T212" s="49"/>
      <c r="U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S213" s="49"/>
      <c r="T213" s="49"/>
      <c r="U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S214" s="49"/>
      <c r="T214" s="49"/>
      <c r="U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S215" s="49"/>
      <c r="T215" s="49"/>
      <c r="U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S216" s="49"/>
      <c r="T216" s="49"/>
      <c r="U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S217" s="49"/>
      <c r="T217" s="49"/>
      <c r="U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S218" s="49"/>
      <c r="T218" s="49"/>
      <c r="U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S219" s="49"/>
      <c r="T219" s="49"/>
      <c r="U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S220" s="49"/>
      <c r="T220" s="49"/>
      <c r="U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S221" s="49"/>
      <c r="T221" s="49"/>
      <c r="U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S222" s="49"/>
      <c r="T222" s="49"/>
      <c r="U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S223" s="49"/>
      <c r="T223" s="49"/>
      <c r="U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S224" s="49"/>
      <c r="T224" s="49"/>
      <c r="U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S225" s="49"/>
      <c r="T225" s="49"/>
      <c r="U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S226" s="49"/>
      <c r="T226" s="49"/>
      <c r="U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S227" s="49"/>
      <c r="T227" s="49"/>
      <c r="U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S228" s="49"/>
      <c r="T228" s="49"/>
      <c r="U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S229" s="49"/>
      <c r="T229" s="49"/>
      <c r="U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S230" s="49"/>
      <c r="T230" s="49"/>
      <c r="U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S231" s="49"/>
      <c r="T231" s="49"/>
      <c r="U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S232" s="49"/>
      <c r="T232" s="49"/>
      <c r="U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S233" s="49"/>
      <c r="T233" s="49"/>
      <c r="U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S234" s="49"/>
      <c r="T234" s="49"/>
      <c r="U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S235" s="49"/>
      <c r="T235" s="49"/>
      <c r="U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S236" s="49"/>
      <c r="T236" s="49"/>
      <c r="U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S237" s="49"/>
      <c r="T237" s="49"/>
      <c r="U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S238" s="49"/>
      <c r="T238" s="49"/>
      <c r="U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S239" s="49"/>
      <c r="T239" s="49"/>
      <c r="U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S240" s="49"/>
      <c r="T240" s="49"/>
      <c r="U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S241" s="49"/>
      <c r="T241" s="49"/>
      <c r="U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S242" s="49"/>
      <c r="T242" s="49"/>
      <c r="U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S243" s="49"/>
      <c r="T243" s="49"/>
      <c r="U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S244" s="49"/>
      <c r="T244" s="49"/>
      <c r="U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S245" s="49"/>
      <c r="T245" s="49"/>
      <c r="U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S246" s="49"/>
      <c r="T246" s="49"/>
      <c r="U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S247" s="49"/>
      <c r="T247" s="49"/>
      <c r="U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S248" s="49"/>
      <c r="T248" s="49"/>
      <c r="U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S249" s="49"/>
      <c r="T249" s="49"/>
      <c r="U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S250" s="49"/>
      <c r="T250" s="49"/>
      <c r="U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S251" s="49"/>
      <c r="T251" s="49"/>
      <c r="U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S252" s="49"/>
      <c r="T252" s="49"/>
      <c r="U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S253" s="49"/>
      <c r="T253" s="49"/>
      <c r="U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S254" s="49"/>
      <c r="T254" s="49"/>
      <c r="U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S255" s="49"/>
      <c r="T255" s="49"/>
      <c r="U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S256" s="49"/>
      <c r="T256" s="49"/>
      <c r="U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S257" s="49"/>
      <c r="T257" s="49"/>
      <c r="U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S258" s="49"/>
      <c r="T258" s="49"/>
      <c r="U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S259" s="49"/>
      <c r="T259" s="49"/>
      <c r="U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S260" s="49"/>
      <c r="T260" s="49"/>
      <c r="U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S261" s="49"/>
      <c r="T261" s="49"/>
      <c r="U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S262" s="49"/>
      <c r="T262" s="49"/>
      <c r="U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S263" s="49"/>
      <c r="T263" s="49"/>
      <c r="U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S264" s="49"/>
      <c r="T264" s="49"/>
      <c r="U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S265" s="49"/>
      <c r="T265" s="49"/>
      <c r="U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S266" s="49"/>
      <c r="T266" s="49"/>
      <c r="U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S267" s="49"/>
      <c r="T267" s="49"/>
      <c r="U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S268" s="49"/>
      <c r="T268" s="49"/>
      <c r="U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S269" s="49"/>
      <c r="T269" s="49"/>
      <c r="U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S270" s="49"/>
      <c r="T270" s="49"/>
      <c r="U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S271" s="49"/>
      <c r="T271" s="49"/>
      <c r="U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S272" s="49"/>
      <c r="T272" s="49"/>
      <c r="U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S273" s="49"/>
      <c r="T273" s="49"/>
      <c r="U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S274" s="49"/>
      <c r="T274" s="49"/>
      <c r="U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S275" s="49"/>
      <c r="T275" s="49"/>
      <c r="U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S276" s="49"/>
      <c r="T276" s="49"/>
      <c r="U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S277" s="49"/>
      <c r="T277" s="49"/>
      <c r="U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S278" s="49"/>
      <c r="T278" s="49"/>
      <c r="U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S279" s="49"/>
      <c r="T279" s="49"/>
      <c r="U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S280" s="49"/>
      <c r="T280" s="49"/>
      <c r="U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S281" s="49"/>
      <c r="T281" s="49"/>
      <c r="U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S282" s="49"/>
      <c r="T282" s="49"/>
      <c r="U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S283" s="49"/>
      <c r="T283" s="49"/>
      <c r="U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S284" s="49"/>
      <c r="T284" s="49"/>
      <c r="U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S285" s="49"/>
      <c r="T285" s="49"/>
      <c r="U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S286" s="49"/>
      <c r="T286" s="49"/>
      <c r="U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S287" s="49"/>
      <c r="T287" s="49"/>
      <c r="U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S288" s="49"/>
      <c r="T288" s="49"/>
      <c r="U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S289" s="49"/>
      <c r="T289" s="49"/>
      <c r="U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S290" s="49"/>
      <c r="T290" s="49"/>
      <c r="U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S291" s="49"/>
      <c r="T291" s="49"/>
      <c r="U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S292" s="49"/>
      <c r="T292" s="49"/>
      <c r="U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S293" s="49"/>
      <c r="T293" s="49"/>
      <c r="U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S294" s="49"/>
      <c r="T294" s="49"/>
      <c r="U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S295" s="49"/>
      <c r="T295" s="49"/>
      <c r="U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S296" s="49"/>
      <c r="T296" s="49"/>
      <c r="U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S297" s="49"/>
      <c r="T297" s="49"/>
      <c r="U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S298" s="49"/>
      <c r="T298" s="49"/>
      <c r="U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S299" s="49"/>
      <c r="T299" s="49"/>
      <c r="U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S300" s="49"/>
      <c r="T300" s="49"/>
      <c r="U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S301" s="49"/>
      <c r="T301" s="49"/>
      <c r="U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S302" s="49"/>
      <c r="T302" s="49"/>
      <c r="U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S303" s="49"/>
      <c r="T303" s="49"/>
      <c r="U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S304" s="49"/>
      <c r="T304" s="49"/>
      <c r="U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S305" s="49"/>
      <c r="T305" s="49"/>
      <c r="U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S306" s="49"/>
      <c r="T306" s="49"/>
      <c r="U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S307" s="49"/>
      <c r="T307" s="49"/>
      <c r="U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S308" s="49"/>
      <c r="T308" s="49"/>
      <c r="U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S309" s="49"/>
      <c r="T309" s="49"/>
      <c r="U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S310" s="49"/>
      <c r="T310" s="49"/>
      <c r="U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S311" s="49"/>
      <c r="T311" s="49"/>
      <c r="U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S312" s="49"/>
      <c r="T312" s="49"/>
      <c r="U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S313" s="49"/>
      <c r="T313" s="49"/>
      <c r="U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S314" s="49"/>
      <c r="T314" s="49"/>
      <c r="U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S315" s="49"/>
      <c r="T315" s="49"/>
      <c r="U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S316" s="49"/>
      <c r="T316" s="49"/>
      <c r="U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S317" s="49"/>
      <c r="T317" s="49"/>
      <c r="U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S318" s="49"/>
      <c r="T318" s="49"/>
      <c r="U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S319" s="49"/>
      <c r="T319" s="49"/>
      <c r="U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S320" s="49"/>
      <c r="T320" s="49"/>
      <c r="U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S321" s="49"/>
      <c r="T321" s="49"/>
      <c r="U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S322" s="49"/>
      <c r="T322" s="49"/>
      <c r="U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S323" s="49"/>
      <c r="T323" s="49"/>
      <c r="U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S324" s="49"/>
      <c r="T324" s="49"/>
      <c r="U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S325" s="49"/>
      <c r="T325" s="49"/>
      <c r="U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S326" s="49"/>
      <c r="T326" s="49"/>
      <c r="U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S327" s="49"/>
      <c r="T327" s="49"/>
      <c r="U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S328" s="49"/>
      <c r="T328" s="49"/>
      <c r="U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S329" s="49"/>
      <c r="T329" s="49"/>
      <c r="U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S330" s="49"/>
      <c r="T330" s="49"/>
      <c r="U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S331" s="49"/>
      <c r="T331" s="49"/>
      <c r="U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S332" s="49"/>
      <c r="T332" s="49"/>
      <c r="U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S333" s="49"/>
      <c r="T333" s="49"/>
      <c r="U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S334" s="49"/>
      <c r="T334" s="49"/>
      <c r="U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S335" s="49"/>
      <c r="T335" s="49"/>
      <c r="U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S336" s="49"/>
      <c r="T336" s="49"/>
      <c r="U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S337" s="49"/>
      <c r="T337" s="49"/>
      <c r="U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S338" s="49"/>
      <c r="T338" s="49"/>
      <c r="U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S339" s="49"/>
      <c r="T339" s="49"/>
      <c r="U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S340" s="49"/>
      <c r="T340" s="49"/>
      <c r="U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S341" s="49"/>
      <c r="T341" s="49"/>
      <c r="U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S342" s="49"/>
      <c r="T342" s="49"/>
      <c r="U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S343" s="49"/>
      <c r="T343" s="49"/>
      <c r="U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S344" s="49"/>
      <c r="T344" s="49"/>
      <c r="U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S345" s="49"/>
      <c r="T345" s="49"/>
      <c r="U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S346" s="49"/>
      <c r="T346" s="49"/>
      <c r="U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S347" s="49"/>
      <c r="T347" s="49"/>
      <c r="U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S348" s="49"/>
      <c r="T348" s="49"/>
      <c r="U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S349" s="49"/>
      <c r="T349" s="49"/>
      <c r="U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S350" s="49"/>
      <c r="T350" s="49"/>
      <c r="U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S351" s="49"/>
      <c r="T351" s="49"/>
      <c r="U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S352" s="49"/>
      <c r="T352" s="49"/>
      <c r="U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S353" s="49"/>
      <c r="T353" s="49"/>
      <c r="U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S354" s="49"/>
      <c r="T354" s="49"/>
      <c r="U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S355" s="49"/>
      <c r="T355" s="49"/>
      <c r="U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S356" s="49"/>
      <c r="T356" s="49"/>
      <c r="U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S357" s="49"/>
      <c r="T357" s="49"/>
      <c r="U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S358" s="49"/>
      <c r="T358" s="49"/>
      <c r="U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S359" s="49"/>
      <c r="T359" s="49"/>
      <c r="U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S360" s="49"/>
      <c r="T360" s="49"/>
      <c r="U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S361" s="49"/>
      <c r="T361" s="49"/>
      <c r="U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S362" s="49"/>
      <c r="T362" s="49"/>
      <c r="U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S363" s="49"/>
      <c r="T363" s="49"/>
      <c r="U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S364" s="49"/>
      <c r="T364" s="49"/>
      <c r="U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S365" s="49"/>
      <c r="T365" s="49"/>
      <c r="U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S366" s="49"/>
      <c r="T366" s="49"/>
      <c r="U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S367" s="49"/>
      <c r="T367" s="49"/>
      <c r="U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S368" s="49"/>
      <c r="T368" s="49"/>
      <c r="U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S369" s="49"/>
      <c r="T369" s="49"/>
      <c r="U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S370" s="49"/>
      <c r="T370" s="49"/>
      <c r="U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S371" s="49"/>
      <c r="T371" s="49"/>
      <c r="U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S372" s="49"/>
      <c r="T372" s="49"/>
      <c r="U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S373" s="49"/>
      <c r="T373" s="49"/>
      <c r="U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S374" s="49"/>
      <c r="T374" s="49"/>
      <c r="U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S375" s="49"/>
      <c r="T375" s="49"/>
      <c r="U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S376" s="49"/>
      <c r="T376" s="49"/>
      <c r="U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S377" s="49"/>
      <c r="T377" s="49"/>
      <c r="U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S378" s="49"/>
      <c r="T378" s="49"/>
      <c r="U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S379" s="49"/>
      <c r="T379" s="49"/>
      <c r="U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S380" s="49"/>
      <c r="T380" s="49"/>
      <c r="U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S381" s="49"/>
      <c r="T381" s="49"/>
      <c r="U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S382" s="49"/>
      <c r="T382" s="49"/>
      <c r="U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S383" s="49"/>
      <c r="T383" s="49"/>
      <c r="U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S384" s="49"/>
      <c r="T384" s="49"/>
      <c r="U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S385" s="49"/>
      <c r="T385" s="49"/>
      <c r="U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S386" s="49"/>
      <c r="T386" s="49"/>
      <c r="U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S387" s="49"/>
      <c r="T387" s="49"/>
      <c r="U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S388" s="49"/>
      <c r="T388" s="49"/>
      <c r="U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S389" s="49"/>
      <c r="T389" s="49"/>
      <c r="U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S390" s="49"/>
      <c r="T390" s="49"/>
      <c r="U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S391" s="49"/>
      <c r="T391" s="49"/>
      <c r="U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S392" s="49"/>
      <c r="T392" s="49"/>
      <c r="U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S393" s="49"/>
      <c r="T393" s="49"/>
      <c r="U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S394" s="49"/>
      <c r="T394" s="49"/>
      <c r="U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S395" s="49"/>
      <c r="T395" s="49"/>
      <c r="U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S396" s="49"/>
      <c r="T396" s="49"/>
      <c r="U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S397" s="49"/>
      <c r="T397" s="49"/>
      <c r="U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S398" s="49"/>
      <c r="T398" s="49"/>
      <c r="U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S399" s="49"/>
      <c r="T399" s="49"/>
      <c r="U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S400" s="49"/>
      <c r="T400" s="49"/>
      <c r="U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S401" s="49"/>
      <c r="T401" s="49"/>
      <c r="U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S402" s="49"/>
      <c r="T402" s="49"/>
      <c r="U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S403" s="49"/>
      <c r="T403" s="49"/>
      <c r="U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S404" s="49"/>
      <c r="T404" s="49"/>
      <c r="U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S405" s="49"/>
      <c r="T405" s="49"/>
      <c r="U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S406" s="49"/>
      <c r="T406" s="49"/>
      <c r="U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S407" s="49"/>
      <c r="T407" s="49"/>
      <c r="U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S408" s="49"/>
      <c r="T408" s="49"/>
      <c r="U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S409" s="49"/>
      <c r="T409" s="49"/>
      <c r="U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S410" s="49"/>
      <c r="T410" s="49"/>
      <c r="U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S411" s="49"/>
      <c r="T411" s="49"/>
      <c r="U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S412" s="49"/>
      <c r="T412" s="49"/>
      <c r="U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S413" s="49"/>
      <c r="T413" s="49"/>
      <c r="U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S414" s="49"/>
      <c r="T414" s="49"/>
      <c r="U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S415" s="49"/>
      <c r="T415" s="49"/>
      <c r="U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S416" s="49"/>
      <c r="T416" s="49"/>
      <c r="U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S417" s="49"/>
      <c r="T417" s="49"/>
      <c r="U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S418" s="49"/>
      <c r="T418" s="49"/>
      <c r="U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S419" s="49"/>
      <c r="T419" s="49"/>
      <c r="U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S420" s="49"/>
      <c r="T420" s="49"/>
      <c r="U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S421" s="49"/>
      <c r="T421" s="49"/>
      <c r="U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S422" s="49"/>
      <c r="T422" s="49"/>
      <c r="U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S423" s="49"/>
      <c r="T423" s="49"/>
      <c r="U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S424" s="49"/>
      <c r="T424" s="49"/>
      <c r="U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S425" s="49"/>
      <c r="T425" s="49"/>
      <c r="U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S426" s="49"/>
      <c r="T426" s="49"/>
      <c r="U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S427" s="49"/>
      <c r="T427" s="49"/>
      <c r="U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S428" s="49"/>
      <c r="T428" s="49"/>
      <c r="U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S429" s="49"/>
      <c r="T429" s="49"/>
      <c r="U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S430" s="49"/>
      <c r="T430" s="49"/>
      <c r="U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S431" s="49"/>
      <c r="T431" s="49"/>
      <c r="U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S432" s="49"/>
      <c r="T432" s="49"/>
      <c r="U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S433" s="49"/>
      <c r="T433" s="49"/>
      <c r="U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S434" s="49"/>
      <c r="T434" s="49"/>
      <c r="U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S435" s="49"/>
      <c r="T435" s="49"/>
      <c r="U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S436" s="49"/>
      <c r="T436" s="49"/>
      <c r="U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S437" s="49"/>
      <c r="T437" s="49"/>
      <c r="U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S438" s="49"/>
      <c r="T438" s="49"/>
      <c r="U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S439" s="49"/>
      <c r="T439" s="49"/>
      <c r="U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S440" s="49"/>
      <c r="T440" s="49"/>
      <c r="U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S441" s="49"/>
      <c r="T441" s="49"/>
      <c r="U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S442" s="49"/>
      <c r="T442" s="49"/>
      <c r="U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S443" s="49"/>
      <c r="T443" s="49"/>
      <c r="U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S444" s="49"/>
      <c r="T444" s="49"/>
      <c r="U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S445" s="49"/>
      <c r="T445" s="49"/>
      <c r="U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S446" s="49"/>
      <c r="T446" s="49"/>
      <c r="U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S447" s="49"/>
      <c r="T447" s="49"/>
      <c r="U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S448" s="49"/>
      <c r="T448" s="49"/>
      <c r="U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S449" s="49"/>
      <c r="T449" s="49"/>
      <c r="U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S450" s="49"/>
      <c r="T450" s="49"/>
      <c r="U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S451" s="49"/>
      <c r="T451" s="49"/>
      <c r="U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S452" s="49"/>
      <c r="T452" s="49"/>
      <c r="U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S453" s="49"/>
      <c r="T453" s="49"/>
      <c r="U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S454" s="49"/>
      <c r="T454" s="49"/>
      <c r="U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S455" s="49"/>
      <c r="T455" s="49"/>
      <c r="U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S456" s="49"/>
      <c r="T456" s="49"/>
      <c r="U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S457" s="49"/>
      <c r="T457" s="49"/>
      <c r="U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S458" s="49"/>
      <c r="T458" s="49"/>
      <c r="U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S459" s="49"/>
      <c r="T459" s="49"/>
      <c r="U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S460" s="49"/>
      <c r="T460" s="49"/>
      <c r="U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S461" s="49"/>
      <c r="T461" s="49"/>
      <c r="U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S462" s="49"/>
      <c r="T462" s="49"/>
      <c r="U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S463" s="49"/>
      <c r="T463" s="49"/>
      <c r="U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S464" s="49"/>
      <c r="T464" s="49"/>
      <c r="U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S465" s="49"/>
      <c r="T465" s="49"/>
      <c r="U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S466" s="49"/>
      <c r="T466" s="49"/>
      <c r="U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S467" s="49"/>
      <c r="T467" s="49"/>
      <c r="U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S468" s="49"/>
      <c r="T468" s="49"/>
      <c r="U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S469" s="49"/>
      <c r="T469" s="49"/>
      <c r="U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S470" s="49"/>
      <c r="T470" s="49"/>
      <c r="U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S471" s="49"/>
      <c r="T471" s="49"/>
      <c r="U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S472" s="49"/>
      <c r="T472" s="49"/>
      <c r="U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S473" s="49"/>
      <c r="T473" s="49"/>
      <c r="U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S474" s="49"/>
      <c r="T474" s="49"/>
      <c r="U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S475" s="49"/>
      <c r="T475" s="49"/>
      <c r="U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S476" s="49"/>
      <c r="T476" s="49"/>
      <c r="U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S477" s="49"/>
      <c r="T477" s="49"/>
      <c r="U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S478" s="49"/>
      <c r="T478" s="49"/>
      <c r="U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S479" s="49"/>
      <c r="T479" s="49"/>
      <c r="U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S480" s="49"/>
      <c r="T480" s="49"/>
      <c r="U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S481" s="49"/>
      <c r="T481" s="49"/>
      <c r="U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S482" s="49"/>
      <c r="T482" s="49"/>
      <c r="U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S483" s="49"/>
      <c r="T483" s="49"/>
      <c r="U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S484" s="49"/>
      <c r="T484" s="49"/>
      <c r="U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S485" s="49"/>
      <c r="T485" s="49"/>
      <c r="U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S486" s="49"/>
      <c r="T486" s="49"/>
      <c r="U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S487" s="49"/>
      <c r="T487" s="49"/>
      <c r="U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S488" s="49"/>
      <c r="T488" s="49"/>
      <c r="U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S489" s="49"/>
      <c r="T489" s="49"/>
      <c r="U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S490" s="49"/>
      <c r="T490" s="49"/>
      <c r="U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S491" s="49"/>
      <c r="T491" s="49"/>
      <c r="U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S492" s="49"/>
      <c r="T492" s="49"/>
      <c r="U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S493" s="49"/>
      <c r="T493" s="49"/>
      <c r="U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S494" s="49"/>
      <c r="T494" s="49"/>
      <c r="U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S495" s="49"/>
      <c r="T495" s="49"/>
      <c r="U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S496" s="49"/>
      <c r="T496" s="49"/>
      <c r="U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S497" s="49"/>
      <c r="T497" s="49"/>
      <c r="U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S498" s="49"/>
      <c r="T498" s="49"/>
      <c r="U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S499" s="49"/>
      <c r="T499" s="49"/>
      <c r="U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S500" s="49"/>
      <c r="T500" s="49"/>
      <c r="U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S501" s="49"/>
      <c r="T501" s="49"/>
      <c r="U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S502" s="49"/>
      <c r="T502" s="49"/>
      <c r="U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S503" s="49"/>
      <c r="T503" s="49"/>
      <c r="U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S504" s="49"/>
      <c r="T504" s="49"/>
      <c r="U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S505" s="49"/>
      <c r="T505" s="49"/>
      <c r="U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S506" s="49"/>
      <c r="T506" s="49"/>
      <c r="U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S507" s="49"/>
      <c r="T507" s="49"/>
      <c r="U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S508" s="49"/>
      <c r="T508" s="49"/>
      <c r="U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S509" s="49"/>
      <c r="T509" s="49"/>
      <c r="U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S510" s="49"/>
      <c r="T510" s="49"/>
      <c r="U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S511" s="49"/>
      <c r="T511" s="49"/>
      <c r="U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S512" s="49"/>
      <c r="T512" s="49"/>
      <c r="U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S513" s="49"/>
      <c r="T513" s="49"/>
      <c r="U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S514" s="49"/>
      <c r="T514" s="49"/>
      <c r="U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 r="C515" s="49"/>
      <c r="D515" s="49"/>
      <c r="E515" s="49"/>
      <c r="F515" s="49"/>
      <c r="G515" s="49"/>
      <c r="H515" s="49"/>
      <c r="I515" s="49"/>
      <c r="J515" s="49"/>
      <c r="K515" s="49"/>
      <c r="L515" s="49"/>
      <c r="M515" s="49"/>
      <c r="S515" s="49"/>
      <c r="T515" s="49"/>
      <c r="U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 r="C516" s="49"/>
      <c r="D516" s="49"/>
      <c r="E516" s="49"/>
      <c r="F516" s="49"/>
      <c r="G516" s="49"/>
      <c r="H516" s="49"/>
      <c r="I516" s="49"/>
      <c r="J516" s="49"/>
      <c r="K516" s="49"/>
      <c r="L516" s="49"/>
      <c r="M516" s="49"/>
      <c r="S516" s="49"/>
      <c r="T516" s="49"/>
      <c r="U516" s="49"/>
      <c r="W516" s="49"/>
      <c r="X516" s="49"/>
      <c r="Y516" s="49"/>
      <c r="Z516" s="49"/>
      <c r="AA516" s="49"/>
      <c r="AB516" s="49"/>
      <c r="AC516" s="49"/>
      <c r="AD516" s="49"/>
      <c r="AE516" s="49"/>
      <c r="AF516" s="49"/>
      <c r="AG516" s="49"/>
      <c r="AH516" s="49"/>
      <c r="AI516" s="49"/>
      <c r="AJ516" s="49"/>
      <c r="AK516" s="49"/>
      <c r="AL516" s="49"/>
      <c r="AM516" s="49"/>
      <c r="AN516" s="49"/>
      <c r="AO516" s="49"/>
    </row>
    <row r="517" spans="3:30" ht="12.75">
      <c r="C517" s="49"/>
      <c r="D517" s="49"/>
      <c r="E517" s="49"/>
      <c r="F517" s="49"/>
      <c r="G517" s="49"/>
      <c r="H517" s="49"/>
      <c r="I517" s="49"/>
      <c r="J517" s="49"/>
      <c r="K517" s="49"/>
      <c r="L517" s="49"/>
      <c r="M517" s="49"/>
      <c r="S517" s="49"/>
      <c r="T517" s="49"/>
      <c r="U517" s="49"/>
      <c r="W517" s="49"/>
      <c r="X517" s="49"/>
      <c r="Y517" s="49"/>
      <c r="Z517" s="49"/>
      <c r="AA517" s="49"/>
      <c r="AB517" s="49"/>
      <c r="AC517" s="49"/>
      <c r="AD517" s="49"/>
    </row>
    <row r="518" spans="3:30" ht="12.75">
      <c r="C518" s="49"/>
      <c r="D518" s="49"/>
      <c r="E518" s="49"/>
      <c r="F518" s="49"/>
      <c r="G518" s="49"/>
      <c r="H518" s="49"/>
      <c r="I518" s="49"/>
      <c r="J518" s="49"/>
      <c r="K518" s="49"/>
      <c r="L518" s="49"/>
      <c r="M518" s="49"/>
      <c r="S518" s="49"/>
      <c r="T518" s="49"/>
      <c r="U518" s="49"/>
      <c r="W518" s="49"/>
      <c r="X518" s="49"/>
      <c r="Y518" s="49"/>
      <c r="Z518" s="49"/>
      <c r="AA518" s="49"/>
      <c r="AB518" s="49"/>
      <c r="AC518" s="49"/>
      <c r="AD518" s="4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BM250"/>
  <sheetViews>
    <sheetView zoomScale="75" zoomScaleNormal="75" workbookViewId="0" topLeftCell="A62">
      <selection activeCell="G134" sqref="E134:G138"/>
    </sheetView>
  </sheetViews>
  <sheetFormatPr defaultColWidth="9.140625" defaultRowHeight="12.75"/>
  <cols>
    <col min="1" max="1" width="55.00390625" style="110" customWidth="1"/>
    <col min="2" max="2" width="15.57421875" style="110" customWidth="1"/>
    <col min="3" max="3" width="12.7109375" style="110" customWidth="1"/>
    <col min="4" max="4" width="16.7109375" style="110" customWidth="1"/>
    <col min="5" max="5" width="14.57421875" style="110" customWidth="1"/>
    <col min="6" max="6" width="12.57421875" style="110" customWidth="1"/>
    <col min="7" max="7" width="10.28125" style="110" customWidth="1"/>
    <col min="8" max="8" width="10.57421875" style="110" customWidth="1"/>
    <col min="9" max="9" width="17.28125" style="112" customWidth="1"/>
    <col min="10" max="10" width="13.57421875" style="112" customWidth="1"/>
    <col min="11" max="11" width="11.57421875" style="112" customWidth="1"/>
    <col min="12" max="12" width="9.57421875" style="112" customWidth="1"/>
    <col min="13" max="13" width="9.140625" style="112" customWidth="1"/>
    <col min="14" max="16" width="9.57421875" style="112" customWidth="1"/>
    <col min="17" max="17" width="10.57421875" style="112" hidden="1" customWidth="1"/>
    <col min="18" max="18" width="7.7109375" style="112" customWidth="1"/>
    <col min="19" max="19" width="44.421875" style="110" customWidth="1"/>
    <col min="20" max="20" width="15.00390625" style="110" customWidth="1"/>
    <col min="21" max="21" width="14.8515625" style="110" customWidth="1"/>
    <col min="22" max="22" width="15.8515625" style="110" customWidth="1"/>
    <col min="23" max="23" width="13.57421875" style="110" customWidth="1"/>
    <col min="24" max="24" width="15.8515625" style="110" customWidth="1"/>
    <col min="25" max="25" width="12.00390625" style="110" customWidth="1"/>
    <col min="26" max="26" width="49.28125" style="110" customWidth="1"/>
    <col min="27" max="27" width="12.57421875" style="110" customWidth="1"/>
    <col min="28" max="28" width="15.57421875" style="110" customWidth="1"/>
    <col min="29" max="29" width="14.140625" style="110" customWidth="1"/>
    <col min="30" max="30" width="12.00390625" style="110" customWidth="1"/>
    <col min="31" max="31" width="17.7109375" style="110" customWidth="1"/>
    <col min="32" max="32" width="13.57421875" style="110" customWidth="1"/>
    <col min="33" max="36" width="9.140625" style="110" customWidth="1"/>
    <col min="37" max="37" width="9.421875" style="110" customWidth="1"/>
    <col min="38" max="38" width="9.140625" style="110" customWidth="1"/>
    <col min="39" max="39" width="9.7109375" style="110" customWidth="1"/>
    <col min="40" max="40" width="10.28125" style="110" customWidth="1"/>
    <col min="41" max="46" width="9.140625" style="110" customWidth="1"/>
    <col min="47" max="47" width="13.140625" style="110" customWidth="1"/>
    <col min="48" max="48" width="10.421875" style="110" customWidth="1"/>
    <col min="49" max="49" width="11.57421875" style="110" customWidth="1"/>
    <col min="50" max="50" width="12.140625" style="110" customWidth="1"/>
    <col min="51" max="63" width="9.140625" style="110" customWidth="1"/>
    <col min="64" max="64" width="28.00390625" style="110" customWidth="1"/>
    <col min="65" max="16384" width="9.140625" style="110" customWidth="1"/>
  </cols>
  <sheetData>
    <row r="1" spans="7:52" ht="15.75">
      <c r="G1" s="126" t="s">
        <v>298</v>
      </c>
      <c r="I1" s="60">
        <v>0.9641332970126215</v>
      </c>
      <c r="W1"/>
      <c r="X1"/>
      <c r="Y1"/>
      <c r="AJ1" s="113" t="s">
        <v>171</v>
      </c>
      <c r="AK1" s="114"/>
      <c r="AL1" s="114"/>
      <c r="AM1" s="114"/>
      <c r="AN1" s="114"/>
      <c r="AO1" s="114"/>
      <c r="AP1" s="114"/>
      <c r="AQ1" s="114"/>
      <c r="AR1" s="114"/>
      <c r="AS1" s="114"/>
      <c r="AT1" s="113" t="s">
        <v>172</v>
      </c>
      <c r="AU1" s="114"/>
      <c r="AV1" s="114"/>
      <c r="AW1" s="114"/>
      <c r="AX1" s="114"/>
      <c r="AY1" s="114"/>
      <c r="AZ1" s="114"/>
    </row>
    <row r="2" spans="5:52" ht="15.75" thickBot="1">
      <c r="E2"/>
      <c r="F2"/>
      <c r="S2" s="210">
        <f>$A2</f>
        <v>0</v>
      </c>
      <c r="T2" s="211">
        <f>IF(V2=0,0,(V2/U2))</f>
        <v>0</v>
      </c>
      <c r="U2" s="211">
        <f>$G2</f>
        <v>0</v>
      </c>
      <c r="V2" s="212">
        <f>$J2</f>
        <v>0</v>
      </c>
      <c r="W2" s="5"/>
      <c r="X2" s="5"/>
      <c r="Y2" s="5"/>
      <c r="Z2" s="210">
        <f>$A2</f>
        <v>0</v>
      </c>
      <c r="AA2" s="211">
        <f>IF(AC2=0,0,(AC2/AB2))</f>
        <v>0</v>
      </c>
      <c r="AB2" s="211">
        <f>$H2</f>
        <v>0</v>
      </c>
      <c r="AC2" s="212">
        <f>$K2</f>
        <v>0</v>
      </c>
      <c r="AJ2" s="114"/>
      <c r="AK2" s="114"/>
      <c r="AL2" s="114"/>
      <c r="AM2" s="114"/>
      <c r="AN2" s="114"/>
      <c r="AO2" s="114"/>
      <c r="AP2" s="114"/>
      <c r="AQ2" s="114"/>
      <c r="AR2" s="114"/>
      <c r="AS2" s="114"/>
      <c r="AT2" s="114"/>
      <c r="AU2" s="114"/>
      <c r="AV2" s="114"/>
      <c r="AW2" s="114"/>
      <c r="AX2" s="114"/>
      <c r="AY2" s="114"/>
      <c r="AZ2" s="114"/>
    </row>
    <row r="3" spans="2:52" ht="16.5" thickBot="1">
      <c r="B3" s="117"/>
      <c r="C3" s="433" t="s">
        <v>250</v>
      </c>
      <c r="D3" s="434"/>
      <c r="E3" s="433" t="s">
        <v>180</v>
      </c>
      <c r="F3" s="434"/>
      <c r="G3" s="433" t="s">
        <v>176</v>
      </c>
      <c r="H3" s="434"/>
      <c r="I3" s="439" t="s">
        <v>297</v>
      </c>
      <c r="J3" s="433" t="s">
        <v>285</v>
      </c>
      <c r="K3" s="438"/>
      <c r="S3" s="367" t="s">
        <v>173</v>
      </c>
      <c r="T3" s="367">
        <v>924</v>
      </c>
      <c r="U3" s="368"/>
      <c r="V3" s="368"/>
      <c r="W3"/>
      <c r="X3"/>
      <c r="Y3"/>
      <c r="Z3" s="367" t="s">
        <v>173</v>
      </c>
      <c r="AA3" s="367">
        <v>1568</v>
      </c>
      <c r="AB3" s="368"/>
      <c r="AC3" s="368"/>
      <c r="AJ3" s="113" t="s">
        <v>174</v>
      </c>
      <c r="AK3" s="114"/>
      <c r="AL3" s="118">
        <v>924</v>
      </c>
      <c r="AM3"/>
      <c r="AN3" s="114"/>
      <c r="AO3" s="114"/>
      <c r="AP3" s="114"/>
      <c r="AQ3" s="114"/>
      <c r="AR3" s="114"/>
      <c r="AS3" s="114"/>
      <c r="AT3" s="113" t="s">
        <v>174</v>
      </c>
      <c r="AU3" s="114"/>
      <c r="AV3" s="118">
        <v>1568</v>
      </c>
      <c r="AW3"/>
      <c r="AX3" s="114"/>
      <c r="AY3" s="114"/>
      <c r="AZ3" s="114"/>
    </row>
    <row r="4" spans="1:52" ht="16.5" thickBot="1">
      <c r="A4" s="205" t="s">
        <v>249</v>
      </c>
      <c r="B4" s="205" t="s">
        <v>175</v>
      </c>
      <c r="C4" s="206">
        <v>924</v>
      </c>
      <c r="D4" s="207">
        <v>1568</v>
      </c>
      <c r="E4" s="206">
        <v>924</v>
      </c>
      <c r="F4" s="207">
        <v>1568</v>
      </c>
      <c r="G4" s="206">
        <v>924</v>
      </c>
      <c r="H4" s="207">
        <v>1568</v>
      </c>
      <c r="I4" s="440"/>
      <c r="J4" s="206">
        <v>924</v>
      </c>
      <c r="K4" s="207">
        <v>1568</v>
      </c>
      <c r="L4" s="119"/>
      <c r="M4" s="119"/>
      <c r="N4" s="119"/>
      <c r="O4" s="119"/>
      <c r="P4" s="119"/>
      <c r="Q4" s="119"/>
      <c r="R4" s="119"/>
      <c r="S4" s="367" t="s">
        <v>52</v>
      </c>
      <c r="T4" s="367" t="s">
        <v>177</v>
      </c>
      <c r="U4" s="367" t="s">
        <v>176</v>
      </c>
      <c r="V4" s="369" t="s">
        <v>178</v>
      </c>
      <c r="W4"/>
      <c r="X4"/>
      <c r="Y4"/>
      <c r="Z4" s="367" t="s">
        <v>52</v>
      </c>
      <c r="AA4" s="367" t="s">
        <v>177</v>
      </c>
      <c r="AB4" s="367" t="s">
        <v>176</v>
      </c>
      <c r="AC4" s="369" t="s">
        <v>178</v>
      </c>
      <c r="AJ4" s="113" t="s">
        <v>179</v>
      </c>
      <c r="AK4" s="114"/>
      <c r="AL4" s="118">
        <v>3051</v>
      </c>
      <c r="AM4"/>
      <c r="AN4" s="114"/>
      <c r="AO4" s="114"/>
      <c r="AP4" s="114"/>
      <c r="AQ4" s="114"/>
      <c r="AR4" s="114"/>
      <c r="AS4" s="114"/>
      <c r="AT4" s="113" t="s">
        <v>179</v>
      </c>
      <c r="AU4" s="114"/>
      <c r="AV4" s="118">
        <v>4410</v>
      </c>
      <c r="AW4"/>
      <c r="AX4" s="114"/>
      <c r="AY4" s="114"/>
      <c r="AZ4" s="114"/>
    </row>
    <row r="5" spans="1:52" ht="15.75">
      <c r="A5" s="354" t="s">
        <v>242</v>
      </c>
      <c r="B5" s="208">
        <v>0.154</v>
      </c>
      <c r="C5" s="370">
        <v>1048</v>
      </c>
      <c r="D5" s="370">
        <v>1026</v>
      </c>
      <c r="E5" s="371">
        <f>B5*C5</f>
        <v>161.392</v>
      </c>
      <c r="F5" s="371">
        <f>B5*D5</f>
        <v>158.004</v>
      </c>
      <c r="G5" s="371">
        <v>0</v>
      </c>
      <c r="H5" s="371">
        <v>0</v>
      </c>
      <c r="I5" s="372">
        <v>0</v>
      </c>
      <c r="J5" s="373">
        <f>C5*$I5</f>
        <v>0</v>
      </c>
      <c r="K5" s="373">
        <v>0</v>
      </c>
      <c r="L5" s="119"/>
      <c r="S5" s="210" t="s">
        <v>242</v>
      </c>
      <c r="T5" s="211">
        <v>0</v>
      </c>
      <c r="U5" s="211">
        <v>0</v>
      </c>
      <c r="V5" s="212">
        <v>0</v>
      </c>
      <c r="W5" s="5"/>
      <c r="X5" s="5"/>
      <c r="Y5" s="5"/>
      <c r="Z5" s="210" t="s">
        <v>242</v>
      </c>
      <c r="AA5" s="211">
        <v>0</v>
      </c>
      <c r="AB5" s="211">
        <v>0</v>
      </c>
      <c r="AC5" s="212">
        <v>0</v>
      </c>
      <c r="AJ5" s="113"/>
      <c r="AK5" s="114"/>
      <c r="AL5" s="118"/>
      <c r="AM5"/>
      <c r="AN5" s="114"/>
      <c r="AO5" s="114"/>
      <c r="AP5" s="114"/>
      <c r="AQ5" s="114"/>
      <c r="AR5" s="114"/>
      <c r="AS5" s="114"/>
      <c r="AT5" s="113"/>
      <c r="AU5" s="114"/>
      <c r="AV5" s="118"/>
      <c r="AW5"/>
      <c r="AX5" s="114"/>
      <c r="AY5" s="114"/>
      <c r="AZ5" s="114"/>
    </row>
    <row r="6" spans="1:52" ht="15.75" thickBot="1">
      <c r="A6" s="354" t="s">
        <v>241</v>
      </c>
      <c r="B6" s="208">
        <v>0.146</v>
      </c>
      <c r="C6" s="370">
        <v>1048</v>
      </c>
      <c r="D6" s="370">
        <v>1026</v>
      </c>
      <c r="E6" s="371">
        <f aca="true" t="shared" si="0" ref="E6:E25">B6*C6</f>
        <v>153.00799999999998</v>
      </c>
      <c r="F6" s="371">
        <f aca="true" t="shared" si="1" ref="F6:F25">B6*D6</f>
        <v>149.796</v>
      </c>
      <c r="G6" s="371">
        <v>0</v>
      </c>
      <c r="H6" s="371">
        <v>0</v>
      </c>
      <c r="I6" s="372">
        <v>0</v>
      </c>
      <c r="J6" s="373">
        <f aca="true" t="shared" si="2" ref="J6:K10">C6*$I6</f>
        <v>0</v>
      </c>
      <c r="K6" s="373">
        <v>0</v>
      </c>
      <c r="L6" s="119"/>
      <c r="S6" s="210" t="s">
        <v>241</v>
      </c>
      <c r="T6" s="211">
        <v>0</v>
      </c>
      <c r="U6" s="211">
        <v>0</v>
      </c>
      <c r="V6" s="212">
        <v>0</v>
      </c>
      <c r="W6" s="5"/>
      <c r="X6" s="5"/>
      <c r="Y6" s="5"/>
      <c r="Z6" s="210" t="s">
        <v>241</v>
      </c>
      <c r="AA6" s="211">
        <v>0</v>
      </c>
      <c r="AB6" s="211">
        <v>0</v>
      </c>
      <c r="AC6" s="212">
        <v>0</v>
      </c>
      <c r="AJ6" s="114"/>
      <c r="AK6" s="122">
        <f>'Cost Effectiveness'!B3</f>
        <v>0</v>
      </c>
      <c r="AL6" s="122">
        <f>'Cost Effectiveness'!C3</f>
        <v>0</v>
      </c>
      <c r="AM6" s="122">
        <f>'Cost Effectiveness'!D3</f>
        <v>0</v>
      </c>
      <c r="AN6" s="122">
        <f>'Cost Effectiveness'!E3</f>
        <v>1</v>
      </c>
      <c r="AO6" s="122"/>
      <c r="AP6" s="114"/>
      <c r="AQ6" s="114"/>
      <c r="AR6" s="114"/>
      <c r="AS6" s="114"/>
      <c r="AT6" s="114"/>
      <c r="AU6" s="122">
        <f>AK6</f>
        <v>0</v>
      </c>
      <c r="AV6" s="122">
        <f>AL6</f>
        <v>0</v>
      </c>
      <c r="AW6" s="122">
        <f>AM6</f>
        <v>0</v>
      </c>
      <c r="AX6" s="122">
        <f>AN6</f>
        <v>1</v>
      </c>
      <c r="AY6" s="122"/>
      <c r="AZ6" s="114"/>
    </row>
    <row r="7" spans="1:65" ht="16.5" thickBot="1">
      <c r="A7" s="332" t="s">
        <v>279</v>
      </c>
      <c r="B7" s="385">
        <v>0.097</v>
      </c>
      <c r="C7" s="386">
        <v>1048</v>
      </c>
      <c r="D7" s="386">
        <v>1026</v>
      </c>
      <c r="E7" s="334">
        <f t="shared" si="0"/>
        <v>101.656</v>
      </c>
      <c r="F7" s="334">
        <f t="shared" si="1"/>
        <v>99.522</v>
      </c>
      <c r="G7" s="389">
        <f>E6-E7</f>
        <v>51.351999999999975</v>
      </c>
      <c r="H7" s="389">
        <f>F6-F7</f>
        <v>50.27399999999999</v>
      </c>
      <c r="I7" s="387">
        <f>1.25*I1</f>
        <v>1.2051666212657768</v>
      </c>
      <c r="J7" s="336">
        <v>0</v>
      </c>
      <c r="K7" s="336">
        <v>0</v>
      </c>
      <c r="L7" s="119"/>
      <c r="S7" s="210" t="s">
        <v>279</v>
      </c>
      <c r="T7" s="211">
        <v>0</v>
      </c>
      <c r="U7" s="211">
        <v>51.351999999999975</v>
      </c>
      <c r="V7" s="212">
        <v>0</v>
      </c>
      <c r="W7" s="5"/>
      <c r="X7" s="5"/>
      <c r="Y7" s="5"/>
      <c r="Z7" s="210" t="s">
        <v>279</v>
      </c>
      <c r="AA7" s="211">
        <v>0</v>
      </c>
      <c r="AB7" s="211">
        <v>50.27399999999999</v>
      </c>
      <c r="AC7" s="212">
        <v>0</v>
      </c>
      <c r="AJ7" s="363" t="s">
        <v>180</v>
      </c>
      <c r="AK7" s="364" t="s">
        <v>181</v>
      </c>
      <c r="AL7" s="364" t="s">
        <v>182</v>
      </c>
      <c r="AM7" s="364" t="s">
        <v>183</v>
      </c>
      <c r="AN7" s="364" t="s">
        <v>184</v>
      </c>
      <c r="AO7" s="365" t="s">
        <v>180</v>
      </c>
      <c r="AP7" s="366" t="s">
        <v>185</v>
      </c>
      <c r="AQ7" s="123"/>
      <c r="AR7" s="123"/>
      <c r="AS7" s="118"/>
      <c r="AT7" s="363" t="s">
        <v>180</v>
      </c>
      <c r="AU7" s="364" t="s">
        <v>181</v>
      </c>
      <c r="AV7" s="364" t="s">
        <v>182</v>
      </c>
      <c r="AW7" s="364" t="s">
        <v>183</v>
      </c>
      <c r="AX7" s="364" t="s">
        <v>184</v>
      </c>
      <c r="AY7" s="365" t="s">
        <v>180</v>
      </c>
      <c r="AZ7" s="366" t="s">
        <v>185</v>
      </c>
      <c r="BL7" s="374"/>
      <c r="BM7" s="119"/>
    </row>
    <row r="8" spans="1:52" ht="15.75">
      <c r="A8" s="354" t="s">
        <v>243</v>
      </c>
      <c r="B8" s="378">
        <v>0.118</v>
      </c>
      <c r="C8" s="370">
        <v>924</v>
      </c>
      <c r="D8" s="370">
        <v>1568</v>
      </c>
      <c r="E8" s="371">
        <f>B8*C8</f>
        <v>109.032</v>
      </c>
      <c r="F8" s="371">
        <f>B8*D8</f>
        <v>185.024</v>
      </c>
      <c r="G8" s="371">
        <v>0</v>
      </c>
      <c r="H8" s="371">
        <v>0</v>
      </c>
      <c r="I8" s="372">
        <v>0</v>
      </c>
      <c r="J8" s="373">
        <f t="shared" si="2"/>
        <v>0</v>
      </c>
      <c r="K8" s="373">
        <f t="shared" si="2"/>
        <v>0</v>
      </c>
      <c r="L8" s="119"/>
      <c r="S8" s="210" t="s">
        <v>243</v>
      </c>
      <c r="T8" s="211">
        <v>0</v>
      </c>
      <c r="U8" s="211">
        <v>0</v>
      </c>
      <c r="V8" s="212">
        <v>0</v>
      </c>
      <c r="W8" s="5"/>
      <c r="X8" s="5"/>
      <c r="Y8" s="5"/>
      <c r="Z8" s="210" t="s">
        <v>243</v>
      </c>
      <c r="AA8" s="211">
        <v>0</v>
      </c>
      <c r="AB8" s="211">
        <v>0</v>
      </c>
      <c r="AC8" s="212">
        <v>0</v>
      </c>
      <c r="AJ8" s="359">
        <f aca="true" t="shared" si="3" ref="AJ8:AJ16">AJ9+10</f>
        <v>900</v>
      </c>
      <c r="AK8" s="360">
        <f aca="true" t="shared" si="4" ref="AK8:AN17">FORECAST($AJ8,AK$18:AK$38,$AJ$18:$AJ$38)</f>
        <v>26986.47217586074</v>
      </c>
      <c r="AL8" s="360">
        <f t="shared" si="4"/>
        <v>30963.356896927417</v>
      </c>
      <c r="AM8" s="360">
        <f t="shared" si="4"/>
        <v>41136.112284814284</v>
      </c>
      <c r="AN8" s="360">
        <f t="shared" si="4"/>
        <v>47651.094414404535</v>
      </c>
      <c r="AO8" s="361">
        <v>900</v>
      </c>
      <c r="AP8" s="362">
        <f aca="true" t="shared" si="5" ref="AP8:AP17">SUMPRODUCT(AK$6:AN$6,AK8:AN8)</f>
        <v>47651.094414404535</v>
      </c>
      <c r="AQ8" s="123"/>
      <c r="AR8" s="123"/>
      <c r="AS8" s="118"/>
      <c r="AT8" s="359">
        <f aca="true" t="shared" si="6" ref="AT8:AT16">AT9+10</f>
        <v>900</v>
      </c>
      <c r="AU8" s="360">
        <f aca="true" t="shared" si="7" ref="AU8:AX17">FORECAST($AJ8,AU$18:AU$38,$AJ$18:$AJ$38)</f>
        <v>26986.47217586074</v>
      </c>
      <c r="AV8" s="360">
        <f t="shared" si="7"/>
        <v>30963.356896927417</v>
      </c>
      <c r="AW8" s="360">
        <f t="shared" si="7"/>
        <v>41136.112284814284</v>
      </c>
      <c r="AX8" s="360">
        <f t="shared" si="7"/>
        <v>47651.094414404535</v>
      </c>
      <c r="AY8" s="361">
        <v>900</v>
      </c>
      <c r="AZ8" s="362">
        <f aca="true" t="shared" si="8" ref="AZ8:AZ71">SUMPRODUCT(AU$6:AX$6,AU8:AX8)</f>
        <v>47651.094414404535</v>
      </c>
    </row>
    <row r="9" spans="1:52" ht="15.75">
      <c r="A9" s="332" t="s">
        <v>290</v>
      </c>
      <c r="B9" s="385">
        <v>0.117</v>
      </c>
      <c r="C9" s="333">
        <v>924</v>
      </c>
      <c r="D9" s="333">
        <v>1568</v>
      </c>
      <c r="E9" s="334">
        <f t="shared" si="0"/>
        <v>108.108</v>
      </c>
      <c r="F9" s="334">
        <f t="shared" si="1"/>
        <v>183.45600000000002</v>
      </c>
      <c r="G9" s="334">
        <v>0</v>
      </c>
      <c r="H9" s="334">
        <v>0</v>
      </c>
      <c r="I9" s="335">
        <v>0</v>
      </c>
      <c r="J9" s="336">
        <f t="shared" si="2"/>
        <v>0</v>
      </c>
      <c r="K9" s="336">
        <v>0</v>
      </c>
      <c r="L9" s="119"/>
      <c r="S9" s="210" t="s">
        <v>290</v>
      </c>
      <c r="T9" s="211">
        <v>0</v>
      </c>
      <c r="U9" s="211">
        <v>0</v>
      </c>
      <c r="V9" s="212">
        <v>0</v>
      </c>
      <c r="W9" s="5"/>
      <c r="X9" s="5"/>
      <c r="Y9" s="5"/>
      <c r="Z9" s="210" t="s">
        <v>290</v>
      </c>
      <c r="AA9" s="211">
        <v>0</v>
      </c>
      <c r="AB9" s="211">
        <v>0</v>
      </c>
      <c r="AC9" s="212">
        <v>0</v>
      </c>
      <c r="AJ9" s="356">
        <f t="shared" si="3"/>
        <v>890</v>
      </c>
      <c r="AK9" s="186">
        <f t="shared" si="4"/>
        <v>26567.000028736642</v>
      </c>
      <c r="AL9" s="186">
        <f t="shared" si="4"/>
        <v>30483.0596054261</v>
      </c>
      <c r="AM9" s="186">
        <f t="shared" si="4"/>
        <v>40523.13524324656</v>
      </c>
      <c r="AN9" s="186">
        <f t="shared" si="4"/>
        <v>46947.695215779364</v>
      </c>
      <c r="AO9" s="357">
        <v>890</v>
      </c>
      <c r="AP9" s="358">
        <f t="shared" si="5"/>
        <v>46947.695215779364</v>
      </c>
      <c r="AQ9" s="123"/>
      <c r="AR9" s="123"/>
      <c r="AS9" s="118"/>
      <c r="AT9" s="356">
        <f t="shared" si="6"/>
        <v>890</v>
      </c>
      <c r="AU9" s="186">
        <f t="shared" si="7"/>
        <v>26567.000028736642</v>
      </c>
      <c r="AV9" s="186">
        <f t="shared" si="7"/>
        <v>30483.0596054261</v>
      </c>
      <c r="AW9" s="186">
        <f t="shared" si="7"/>
        <v>40523.13524324656</v>
      </c>
      <c r="AX9" s="186">
        <f t="shared" si="7"/>
        <v>46947.695215779364</v>
      </c>
      <c r="AY9" s="357">
        <v>890</v>
      </c>
      <c r="AZ9" s="358">
        <f t="shared" si="8"/>
        <v>46947.695215779364</v>
      </c>
    </row>
    <row r="10" spans="1:52" ht="15.75">
      <c r="A10" s="354" t="s">
        <v>248</v>
      </c>
      <c r="B10" s="208">
        <v>0.097</v>
      </c>
      <c r="C10" s="370">
        <v>924</v>
      </c>
      <c r="D10" s="370">
        <v>1568</v>
      </c>
      <c r="E10" s="371">
        <f t="shared" si="0"/>
        <v>89.628</v>
      </c>
      <c r="F10" s="371">
        <f t="shared" si="1"/>
        <v>152.096</v>
      </c>
      <c r="G10" s="371">
        <v>0</v>
      </c>
      <c r="H10" s="371">
        <v>0</v>
      </c>
      <c r="I10" s="372">
        <v>0</v>
      </c>
      <c r="J10" s="373">
        <f t="shared" si="2"/>
        <v>0</v>
      </c>
      <c r="K10" s="373">
        <v>0</v>
      </c>
      <c r="L10" s="119"/>
      <c r="S10" s="210" t="s">
        <v>248</v>
      </c>
      <c r="T10" s="211">
        <v>0</v>
      </c>
      <c r="U10" s="211">
        <v>0</v>
      </c>
      <c r="V10" s="212">
        <v>0</v>
      </c>
      <c r="W10" s="5"/>
      <c r="X10" s="5"/>
      <c r="Y10" s="5"/>
      <c r="Z10" s="210" t="s">
        <v>248</v>
      </c>
      <c r="AA10" s="211">
        <v>0</v>
      </c>
      <c r="AB10" s="211">
        <v>0</v>
      </c>
      <c r="AC10" s="212">
        <v>0</v>
      </c>
      <c r="AJ10" s="356">
        <f t="shared" si="3"/>
        <v>880</v>
      </c>
      <c r="AK10" s="186">
        <f t="shared" si="4"/>
        <v>26147.527881612536</v>
      </c>
      <c r="AL10" s="186">
        <f t="shared" si="4"/>
        <v>30002.762313924784</v>
      </c>
      <c r="AM10" s="186">
        <f t="shared" si="4"/>
        <v>39910.15820167882</v>
      </c>
      <c r="AN10" s="186">
        <f t="shared" si="4"/>
        <v>46244.29601715419</v>
      </c>
      <c r="AO10" s="357">
        <v>880</v>
      </c>
      <c r="AP10" s="358">
        <f t="shared" si="5"/>
        <v>46244.29601715419</v>
      </c>
      <c r="AQ10" s="123"/>
      <c r="AR10" s="123"/>
      <c r="AS10" s="118"/>
      <c r="AT10" s="356">
        <f t="shared" si="6"/>
        <v>880</v>
      </c>
      <c r="AU10" s="186">
        <f t="shared" si="7"/>
        <v>26147.527881612536</v>
      </c>
      <c r="AV10" s="186">
        <f t="shared" si="7"/>
        <v>30002.762313924784</v>
      </c>
      <c r="AW10" s="186">
        <f t="shared" si="7"/>
        <v>39910.15820167882</v>
      </c>
      <c r="AX10" s="186">
        <f t="shared" si="7"/>
        <v>46244.29601715419</v>
      </c>
      <c r="AY10" s="357">
        <v>880</v>
      </c>
      <c r="AZ10" s="358">
        <f t="shared" si="8"/>
        <v>46244.29601715419</v>
      </c>
    </row>
    <row r="11" spans="1:52" ht="15.75">
      <c r="A11" s="354" t="s">
        <v>284</v>
      </c>
      <c r="B11" s="379">
        <v>0.074</v>
      </c>
      <c r="C11" s="370">
        <v>924</v>
      </c>
      <c r="D11" s="370">
        <v>1568</v>
      </c>
      <c r="E11" s="371">
        <f t="shared" si="0"/>
        <v>68.37599999999999</v>
      </c>
      <c r="F11" s="371">
        <f t="shared" si="1"/>
        <v>116.032</v>
      </c>
      <c r="G11" s="371">
        <v>0</v>
      </c>
      <c r="H11" s="371">
        <v>0</v>
      </c>
      <c r="I11" s="372">
        <v>0</v>
      </c>
      <c r="J11" s="373">
        <v>0</v>
      </c>
      <c r="K11" s="373">
        <v>0</v>
      </c>
      <c r="L11" s="119"/>
      <c r="S11" s="210" t="s">
        <v>284</v>
      </c>
      <c r="T11" s="211">
        <v>0</v>
      </c>
      <c r="U11" s="211">
        <v>0</v>
      </c>
      <c r="V11" s="212">
        <v>0</v>
      </c>
      <c r="W11" s="5"/>
      <c r="X11" s="5"/>
      <c r="Y11" s="5"/>
      <c r="Z11" s="210" t="s">
        <v>284</v>
      </c>
      <c r="AA11" s="211">
        <v>0</v>
      </c>
      <c r="AB11" s="211">
        <v>0</v>
      </c>
      <c r="AC11" s="212">
        <v>0</v>
      </c>
      <c r="AJ11" s="356">
        <f t="shared" si="3"/>
        <v>870</v>
      </c>
      <c r="AK11" s="186">
        <f t="shared" si="4"/>
        <v>25728.055734488436</v>
      </c>
      <c r="AL11" s="186">
        <f t="shared" si="4"/>
        <v>29522.46502242347</v>
      </c>
      <c r="AM11" s="186">
        <f t="shared" si="4"/>
        <v>39297.1811601111</v>
      </c>
      <c r="AN11" s="186">
        <f t="shared" si="4"/>
        <v>45540.89681852902</v>
      </c>
      <c r="AO11" s="357">
        <v>870</v>
      </c>
      <c r="AP11" s="358">
        <f t="shared" si="5"/>
        <v>45540.89681852902</v>
      </c>
      <c r="AQ11" s="123"/>
      <c r="AR11" s="123"/>
      <c r="AS11" s="118"/>
      <c r="AT11" s="356">
        <f t="shared" si="6"/>
        <v>870</v>
      </c>
      <c r="AU11" s="186">
        <f t="shared" si="7"/>
        <v>25728.055734488436</v>
      </c>
      <c r="AV11" s="186">
        <f t="shared" si="7"/>
        <v>29522.46502242347</v>
      </c>
      <c r="AW11" s="186">
        <f t="shared" si="7"/>
        <v>39297.1811601111</v>
      </c>
      <c r="AX11" s="186">
        <f t="shared" si="7"/>
        <v>45540.89681852902</v>
      </c>
      <c r="AY11" s="357">
        <v>870</v>
      </c>
      <c r="AZ11" s="358">
        <f t="shared" si="8"/>
        <v>45540.89681852902</v>
      </c>
    </row>
    <row r="12" spans="1:52" ht="15.75">
      <c r="A12" s="354" t="s">
        <v>294</v>
      </c>
      <c r="B12" s="379">
        <v>0.063</v>
      </c>
      <c r="C12" s="370">
        <v>924</v>
      </c>
      <c r="D12" s="370">
        <v>1568</v>
      </c>
      <c r="E12" s="371">
        <f t="shared" si="0"/>
        <v>58.212</v>
      </c>
      <c r="F12" s="371">
        <f t="shared" si="1"/>
        <v>98.784</v>
      </c>
      <c r="G12" s="371">
        <f>E9-E12</f>
        <v>49.896</v>
      </c>
      <c r="H12" s="371">
        <f>F9-F12</f>
        <v>84.67200000000001</v>
      </c>
      <c r="I12" s="372">
        <f>1.13*I1</f>
        <v>1.0894706256242621</v>
      </c>
      <c r="J12" s="373">
        <f>C12*$I12</f>
        <v>1006.6708580768181</v>
      </c>
      <c r="K12" s="373">
        <f>D12*$I12</f>
        <v>1708.2899409788429</v>
      </c>
      <c r="L12" s="119"/>
      <c r="S12" s="210" t="s">
        <v>244</v>
      </c>
      <c r="T12" s="211">
        <v>0</v>
      </c>
      <c r="U12" s="211">
        <v>0</v>
      </c>
      <c r="V12" s="212">
        <v>0</v>
      </c>
      <c r="W12" s="5"/>
      <c r="X12" s="5"/>
      <c r="Y12" s="5"/>
      <c r="Z12" s="210" t="s">
        <v>244</v>
      </c>
      <c r="AA12" s="211">
        <v>0</v>
      </c>
      <c r="AB12" s="211">
        <v>0</v>
      </c>
      <c r="AC12" s="212">
        <v>0</v>
      </c>
      <c r="AJ12" s="356">
        <f t="shared" si="3"/>
        <v>860</v>
      </c>
      <c r="AK12" s="186">
        <f t="shared" si="4"/>
        <v>25308.583587364337</v>
      </c>
      <c r="AL12" s="186">
        <f t="shared" si="4"/>
        <v>29042.167730922152</v>
      </c>
      <c r="AM12" s="186">
        <f t="shared" si="4"/>
        <v>38684.20411854336</v>
      </c>
      <c r="AN12" s="186">
        <f t="shared" si="4"/>
        <v>44837.49761990385</v>
      </c>
      <c r="AO12" s="357">
        <v>860</v>
      </c>
      <c r="AP12" s="358">
        <f t="shared" si="5"/>
        <v>44837.49761990385</v>
      </c>
      <c r="AQ12" s="123"/>
      <c r="AR12" s="123"/>
      <c r="AS12" s="118"/>
      <c r="AT12" s="356">
        <f t="shared" si="6"/>
        <v>860</v>
      </c>
      <c r="AU12" s="186">
        <f t="shared" si="7"/>
        <v>25308.583587364337</v>
      </c>
      <c r="AV12" s="186">
        <f t="shared" si="7"/>
        <v>29042.167730922152</v>
      </c>
      <c r="AW12" s="186">
        <f t="shared" si="7"/>
        <v>38684.20411854336</v>
      </c>
      <c r="AX12" s="186">
        <f t="shared" si="7"/>
        <v>44837.49761990385</v>
      </c>
      <c r="AY12" s="357">
        <v>860</v>
      </c>
      <c r="AZ12" s="358">
        <f t="shared" si="8"/>
        <v>44837.49761990385</v>
      </c>
    </row>
    <row r="13" spans="1:52" ht="15.75">
      <c r="A13" s="354" t="s">
        <v>247</v>
      </c>
      <c r="B13" s="379">
        <v>0.043</v>
      </c>
      <c r="C13" s="370">
        <v>924</v>
      </c>
      <c r="D13" s="370">
        <v>1568</v>
      </c>
      <c r="E13" s="371">
        <f t="shared" si="0"/>
        <v>39.732</v>
      </c>
      <c r="F13" s="371">
        <f t="shared" si="1"/>
        <v>67.42399999999999</v>
      </c>
      <c r="G13" s="371">
        <f>E12-E13</f>
        <v>18.480000000000004</v>
      </c>
      <c r="H13" s="371">
        <f>F12-F13</f>
        <v>31.360000000000014</v>
      </c>
      <c r="I13" s="380">
        <f>1.13*I1</f>
        <v>1.0894706256242621</v>
      </c>
      <c r="J13" s="373">
        <f>C13*$I13</f>
        <v>1006.6708580768181</v>
      </c>
      <c r="K13" s="373">
        <f>D13*$I13</f>
        <v>1708.2899409788429</v>
      </c>
      <c r="L13" s="119"/>
      <c r="S13" s="210" t="s">
        <v>293</v>
      </c>
      <c r="T13" s="211">
        <v>0</v>
      </c>
      <c r="U13" s="211">
        <v>0</v>
      </c>
      <c r="V13" s="212">
        <v>0</v>
      </c>
      <c r="W13" s="5"/>
      <c r="X13" s="5"/>
      <c r="Y13" s="5"/>
      <c r="Z13" s="210" t="s">
        <v>293</v>
      </c>
      <c r="AA13" s="211">
        <v>0</v>
      </c>
      <c r="AB13" s="211">
        <v>0</v>
      </c>
      <c r="AC13" s="212">
        <v>0</v>
      </c>
      <c r="AJ13" s="356">
        <f t="shared" si="3"/>
        <v>850</v>
      </c>
      <c r="AK13" s="186">
        <f t="shared" si="4"/>
        <v>24889.111440240238</v>
      </c>
      <c r="AL13" s="186">
        <f t="shared" si="4"/>
        <v>28561.870439420843</v>
      </c>
      <c r="AM13" s="186">
        <f t="shared" si="4"/>
        <v>38071.227076975636</v>
      </c>
      <c r="AN13" s="186">
        <f t="shared" si="4"/>
        <v>44134.09842127868</v>
      </c>
      <c r="AO13" s="357">
        <v>850</v>
      </c>
      <c r="AP13" s="358">
        <f t="shared" si="5"/>
        <v>44134.09842127868</v>
      </c>
      <c r="AQ13" s="123"/>
      <c r="AR13" s="123"/>
      <c r="AS13" s="118"/>
      <c r="AT13" s="356">
        <f t="shared" si="6"/>
        <v>850</v>
      </c>
      <c r="AU13" s="186">
        <f t="shared" si="7"/>
        <v>24889.111440240238</v>
      </c>
      <c r="AV13" s="186">
        <f t="shared" si="7"/>
        <v>28561.870439420843</v>
      </c>
      <c r="AW13" s="186">
        <f t="shared" si="7"/>
        <v>38071.227076975636</v>
      </c>
      <c r="AX13" s="186">
        <f t="shared" si="7"/>
        <v>44134.09842127868</v>
      </c>
      <c r="AY13" s="357">
        <v>850</v>
      </c>
      <c r="AZ13" s="358">
        <f t="shared" si="8"/>
        <v>44134.09842127868</v>
      </c>
    </row>
    <row r="14" spans="1:52" ht="15.75">
      <c r="A14" s="354" t="s">
        <v>244</v>
      </c>
      <c r="B14" s="378">
        <v>0.104</v>
      </c>
      <c r="C14" s="370">
        <v>924</v>
      </c>
      <c r="D14" s="370">
        <v>1568</v>
      </c>
      <c r="E14" s="371">
        <f>B14*C14</f>
        <v>96.09599999999999</v>
      </c>
      <c r="F14" s="371">
        <f>B14*D14</f>
        <v>163.072</v>
      </c>
      <c r="G14" s="371">
        <v>0</v>
      </c>
      <c r="H14" s="371">
        <v>0</v>
      </c>
      <c r="I14" s="372">
        <v>0</v>
      </c>
      <c r="J14" s="373">
        <f aca="true" t="shared" si="9" ref="J14:K25">C14*$I14</f>
        <v>0</v>
      </c>
      <c r="K14" s="373">
        <f t="shared" si="9"/>
        <v>0</v>
      </c>
      <c r="L14" s="119"/>
      <c r="S14" s="210" t="s">
        <v>246</v>
      </c>
      <c r="T14" s="211">
        <v>0</v>
      </c>
      <c r="U14" s="211">
        <v>0</v>
      </c>
      <c r="V14" s="212">
        <v>0</v>
      </c>
      <c r="W14" s="5"/>
      <c r="X14" s="5"/>
      <c r="Y14" s="5"/>
      <c r="Z14" s="210" t="s">
        <v>246</v>
      </c>
      <c r="AA14" s="211">
        <v>0</v>
      </c>
      <c r="AB14" s="211">
        <v>0</v>
      </c>
      <c r="AC14" s="212">
        <v>0</v>
      </c>
      <c r="AJ14" s="356">
        <f t="shared" si="3"/>
        <v>840</v>
      </c>
      <c r="AK14" s="186">
        <f t="shared" si="4"/>
        <v>24469.63929311613</v>
      </c>
      <c r="AL14" s="186">
        <f t="shared" si="4"/>
        <v>28081.573147919527</v>
      </c>
      <c r="AM14" s="186">
        <f t="shared" si="4"/>
        <v>37458.25003540791</v>
      </c>
      <c r="AN14" s="186">
        <f t="shared" si="4"/>
        <v>43430.69922265351</v>
      </c>
      <c r="AO14" s="357">
        <v>840</v>
      </c>
      <c r="AP14" s="358">
        <f t="shared" si="5"/>
        <v>43430.69922265351</v>
      </c>
      <c r="AQ14" s="123"/>
      <c r="AR14" s="123"/>
      <c r="AS14" s="118"/>
      <c r="AT14" s="356">
        <f t="shared" si="6"/>
        <v>840</v>
      </c>
      <c r="AU14" s="186">
        <f t="shared" si="7"/>
        <v>24469.63929311613</v>
      </c>
      <c r="AV14" s="186">
        <f t="shared" si="7"/>
        <v>28081.573147919527</v>
      </c>
      <c r="AW14" s="186">
        <f t="shared" si="7"/>
        <v>37458.25003540791</v>
      </c>
      <c r="AX14" s="186">
        <f t="shared" si="7"/>
        <v>43430.69922265351</v>
      </c>
      <c r="AY14" s="357">
        <v>840</v>
      </c>
      <c r="AZ14" s="358">
        <f t="shared" si="8"/>
        <v>43430.69922265351</v>
      </c>
    </row>
    <row r="15" spans="1:52" ht="15.75">
      <c r="A15" s="332" t="s">
        <v>293</v>
      </c>
      <c r="B15" s="385">
        <v>0.103</v>
      </c>
      <c r="C15" s="333">
        <v>924</v>
      </c>
      <c r="D15" s="333">
        <v>1568</v>
      </c>
      <c r="E15" s="334">
        <f t="shared" si="0"/>
        <v>95.172</v>
      </c>
      <c r="F15" s="334">
        <f t="shared" si="1"/>
        <v>161.504</v>
      </c>
      <c r="G15" s="334">
        <v>0</v>
      </c>
      <c r="H15" s="334">
        <v>0</v>
      </c>
      <c r="I15" s="335">
        <v>0</v>
      </c>
      <c r="J15" s="336">
        <f t="shared" si="9"/>
        <v>0</v>
      </c>
      <c r="K15" s="336">
        <f t="shared" si="9"/>
        <v>0</v>
      </c>
      <c r="L15" s="119"/>
      <c r="S15" s="210" t="s">
        <v>296</v>
      </c>
      <c r="T15" s="211">
        <v>0</v>
      </c>
      <c r="U15" s="211">
        <v>0</v>
      </c>
      <c r="V15" s="212">
        <v>0</v>
      </c>
      <c r="W15" s="5"/>
      <c r="X15" s="5"/>
      <c r="Y15" s="5"/>
      <c r="Z15" s="210" t="s">
        <v>296</v>
      </c>
      <c r="AA15" s="211">
        <v>0</v>
      </c>
      <c r="AB15" s="211">
        <v>0</v>
      </c>
      <c r="AC15" s="212">
        <v>0</v>
      </c>
      <c r="AJ15" s="356">
        <f t="shared" si="3"/>
        <v>830</v>
      </c>
      <c r="AK15" s="186">
        <f t="shared" si="4"/>
        <v>24050.167145992033</v>
      </c>
      <c r="AL15" s="186">
        <f t="shared" si="4"/>
        <v>27601.27585641821</v>
      </c>
      <c r="AM15" s="186">
        <f t="shared" si="4"/>
        <v>36845.272993840175</v>
      </c>
      <c r="AN15" s="186">
        <f t="shared" si="4"/>
        <v>42727.300024028336</v>
      </c>
      <c r="AO15" s="357">
        <v>830</v>
      </c>
      <c r="AP15" s="358">
        <f t="shared" si="5"/>
        <v>42727.300024028336</v>
      </c>
      <c r="AQ15" s="123"/>
      <c r="AR15" s="123"/>
      <c r="AS15" s="118"/>
      <c r="AT15" s="356">
        <f t="shared" si="6"/>
        <v>830</v>
      </c>
      <c r="AU15" s="186">
        <f t="shared" si="7"/>
        <v>24050.167145992033</v>
      </c>
      <c r="AV15" s="186">
        <f t="shared" si="7"/>
        <v>27601.27585641821</v>
      </c>
      <c r="AW15" s="186">
        <f t="shared" si="7"/>
        <v>36845.272993840175</v>
      </c>
      <c r="AX15" s="186">
        <f t="shared" si="7"/>
        <v>42727.300024028336</v>
      </c>
      <c r="AY15" s="357">
        <v>830</v>
      </c>
      <c r="AZ15" s="358">
        <f t="shared" si="8"/>
        <v>42727.300024028336</v>
      </c>
    </row>
    <row r="16" spans="1:52" ht="15.75">
      <c r="A16" s="354" t="s">
        <v>246</v>
      </c>
      <c r="B16" s="208">
        <v>0.066</v>
      </c>
      <c r="C16" s="370">
        <v>924</v>
      </c>
      <c r="D16" s="370">
        <v>1568</v>
      </c>
      <c r="E16" s="371">
        <f t="shared" si="0"/>
        <v>60.984</v>
      </c>
      <c r="F16" s="371">
        <f t="shared" si="1"/>
        <v>103.488</v>
      </c>
      <c r="G16" s="371">
        <v>0</v>
      </c>
      <c r="H16" s="371">
        <v>0</v>
      </c>
      <c r="I16" s="372">
        <v>0</v>
      </c>
      <c r="J16" s="373">
        <v>0</v>
      </c>
      <c r="K16" s="373">
        <v>0</v>
      </c>
      <c r="L16" s="119"/>
      <c r="S16" s="210" t="s">
        <v>286</v>
      </c>
      <c r="T16" s="211">
        <v>0</v>
      </c>
      <c r="U16" s="211">
        <v>69.30386864597392</v>
      </c>
      <c r="V16" s="212">
        <v>0</v>
      </c>
      <c r="W16" s="5"/>
      <c r="X16" s="5"/>
      <c r="Y16" s="5"/>
      <c r="Z16" s="210" t="s">
        <v>286</v>
      </c>
      <c r="AA16" s="211">
        <v>0</v>
      </c>
      <c r="AB16" s="211">
        <v>117.09964012595591</v>
      </c>
      <c r="AC16" s="212">
        <v>0</v>
      </c>
      <c r="AJ16" s="356">
        <f t="shared" si="3"/>
        <v>820</v>
      </c>
      <c r="AK16" s="186">
        <f t="shared" si="4"/>
        <v>23630.694998867933</v>
      </c>
      <c r="AL16" s="186">
        <f t="shared" si="4"/>
        <v>27120.978564916895</v>
      </c>
      <c r="AM16" s="186">
        <f t="shared" si="4"/>
        <v>36232.29595227245</v>
      </c>
      <c r="AN16" s="186">
        <f t="shared" si="4"/>
        <v>42023.900825403165</v>
      </c>
      <c r="AO16" s="357">
        <v>820</v>
      </c>
      <c r="AP16" s="358">
        <f t="shared" si="5"/>
        <v>42023.900825403165</v>
      </c>
      <c r="AQ16" s="123"/>
      <c r="AR16" s="123"/>
      <c r="AS16" s="118"/>
      <c r="AT16" s="356">
        <f t="shared" si="6"/>
        <v>820</v>
      </c>
      <c r="AU16" s="186">
        <f t="shared" si="7"/>
        <v>23630.694998867933</v>
      </c>
      <c r="AV16" s="186">
        <f t="shared" si="7"/>
        <v>27120.978564916895</v>
      </c>
      <c r="AW16" s="186">
        <f t="shared" si="7"/>
        <v>36232.29595227245</v>
      </c>
      <c r="AX16" s="186">
        <f t="shared" si="7"/>
        <v>42023.900825403165</v>
      </c>
      <c r="AY16" s="357">
        <v>820</v>
      </c>
      <c r="AZ16" s="358">
        <f t="shared" si="8"/>
        <v>42023.900825403165</v>
      </c>
    </row>
    <row r="17" spans="1:52" ht="15.75">
      <c r="A17" s="354" t="s">
        <v>291</v>
      </c>
      <c r="B17" s="209">
        <v>0.041</v>
      </c>
      <c r="C17" s="370">
        <v>924</v>
      </c>
      <c r="D17" s="370">
        <v>1568</v>
      </c>
      <c r="E17" s="371">
        <f t="shared" si="0"/>
        <v>37.884</v>
      </c>
      <c r="F17" s="371">
        <f t="shared" si="1"/>
        <v>64.288</v>
      </c>
      <c r="G17" s="371">
        <f>E15-E17</f>
        <v>57.288</v>
      </c>
      <c r="H17" s="371">
        <f>F15-F17</f>
        <v>97.216</v>
      </c>
      <c r="I17" s="372">
        <f>1.38*I1</f>
        <v>1.3305039498774176</v>
      </c>
      <c r="J17" s="373">
        <f>C17*$I17</f>
        <v>1229.3856496867338</v>
      </c>
      <c r="K17" s="373">
        <f>D17*$I17</f>
        <v>2086.230193407791</v>
      </c>
      <c r="L17" s="119"/>
      <c r="S17" s="210" t="s">
        <v>186</v>
      </c>
      <c r="T17" s="211">
        <v>0</v>
      </c>
      <c r="U17" s="211">
        <v>0</v>
      </c>
      <c r="V17" s="212">
        <v>0</v>
      </c>
      <c r="W17" s="5"/>
      <c r="X17" s="5"/>
      <c r="Y17" s="5"/>
      <c r="Z17" s="210" t="s">
        <v>186</v>
      </c>
      <c r="AA17" s="211">
        <v>0</v>
      </c>
      <c r="AB17" s="211">
        <v>0</v>
      </c>
      <c r="AC17" s="212">
        <v>0</v>
      </c>
      <c r="AJ17" s="356">
        <f>AJ18+10</f>
        <v>810</v>
      </c>
      <c r="AK17" s="186">
        <f>FORECAST($AJ17,AK$18:AK$38,$AJ$18:$AJ$38)</f>
        <v>23211.222851743827</v>
      </c>
      <c r="AL17" s="186">
        <f t="shared" si="4"/>
        <v>26640.68127341558</v>
      </c>
      <c r="AM17" s="186">
        <f t="shared" si="4"/>
        <v>35619.318910704715</v>
      </c>
      <c r="AN17" s="186">
        <f t="shared" si="4"/>
        <v>41320.501626777994</v>
      </c>
      <c r="AO17" s="357">
        <v>810</v>
      </c>
      <c r="AP17" s="358">
        <f t="shared" si="5"/>
        <v>41320.501626777994</v>
      </c>
      <c r="AQ17" s="123"/>
      <c r="AR17" s="123"/>
      <c r="AS17" s="118"/>
      <c r="AT17" s="356">
        <f>AT18+10</f>
        <v>810</v>
      </c>
      <c r="AU17" s="186">
        <f>FORECAST($AJ17,AU$18:AU$38,$AJ$18:$AJ$38)</f>
        <v>23211.222851743827</v>
      </c>
      <c r="AV17" s="186">
        <f t="shared" si="7"/>
        <v>26640.68127341558</v>
      </c>
      <c r="AW17" s="186">
        <f t="shared" si="7"/>
        <v>35619.318910704715</v>
      </c>
      <c r="AX17" s="186">
        <f t="shared" si="7"/>
        <v>41320.501626777994</v>
      </c>
      <c r="AY17" s="357">
        <v>810</v>
      </c>
      <c r="AZ17" s="358">
        <f t="shared" si="8"/>
        <v>41320.501626777994</v>
      </c>
    </row>
    <row r="18" spans="1:52" ht="15">
      <c r="A18" s="354" t="s">
        <v>245</v>
      </c>
      <c r="B18" s="209">
        <v>0.037</v>
      </c>
      <c r="C18" s="370">
        <v>924</v>
      </c>
      <c r="D18" s="370">
        <v>1568</v>
      </c>
      <c r="E18" s="371">
        <f t="shared" si="0"/>
        <v>34.187999999999995</v>
      </c>
      <c r="F18" s="371">
        <f t="shared" si="1"/>
        <v>58.016</v>
      </c>
      <c r="G18" s="371">
        <f>E17-E18</f>
        <v>3.696000000000005</v>
      </c>
      <c r="H18" s="371">
        <f>F17-F18</f>
        <v>6.2719999999999985</v>
      </c>
      <c r="I18" s="372">
        <f>(1.54*I1)-I17</f>
        <v>0.1542613275220195</v>
      </c>
      <c r="J18" s="373">
        <f t="shared" si="9"/>
        <v>142.53746663034602</v>
      </c>
      <c r="K18" s="373">
        <f t="shared" si="9"/>
        <v>241.88176155452655</v>
      </c>
      <c r="L18" s="119"/>
      <c r="S18" s="210" t="s">
        <v>187</v>
      </c>
      <c r="T18" s="211">
        <v>0</v>
      </c>
      <c r="U18" s="211">
        <v>0</v>
      </c>
      <c r="V18" s="212">
        <v>0</v>
      </c>
      <c r="W18" s="5"/>
      <c r="X18" s="5"/>
      <c r="Y18" s="5"/>
      <c r="Z18" s="210" t="s">
        <v>187</v>
      </c>
      <c r="AA18" s="211">
        <v>0</v>
      </c>
      <c r="AB18" s="211">
        <v>0</v>
      </c>
      <c r="AC18" s="212">
        <v>0</v>
      </c>
      <c r="AJ18" s="356">
        <v>800</v>
      </c>
      <c r="AK18" s="186">
        <v>22850.41172886998</v>
      </c>
      <c r="AL18" s="186">
        <v>26226.232065784603</v>
      </c>
      <c r="AM18" s="186">
        <v>35082.35496123824</v>
      </c>
      <c r="AN18" s="186">
        <v>40698.20991789484</v>
      </c>
      <c r="AO18" s="357">
        <v>800</v>
      </c>
      <c r="AP18" s="358">
        <f aca="true" t="shared" si="10" ref="AP18:AP49">SUMPRODUCT(AK$6:AN$6,AK18:AN18)</f>
        <v>40698.20991789484</v>
      </c>
      <c r="AQ18" s="114"/>
      <c r="AR18" s="114"/>
      <c r="AS18" s="114"/>
      <c r="AT18" s="356">
        <v>800</v>
      </c>
      <c r="AU18" s="186">
        <v>22850.41172886998</v>
      </c>
      <c r="AV18" s="186">
        <v>26226.232065784603</v>
      </c>
      <c r="AW18" s="186">
        <v>35082.35496123824</v>
      </c>
      <c r="AX18" s="186">
        <v>40698.20991789484</v>
      </c>
      <c r="AY18" s="357">
        <v>800</v>
      </c>
      <c r="AZ18" s="358">
        <f t="shared" si="8"/>
        <v>40698.20991789484</v>
      </c>
    </row>
    <row r="19" spans="1:52" ht="15">
      <c r="A19" s="332" t="str">
        <f>"BASE CASE WINDOW - CLASS "&amp;(ROUND((1/((1/B19)-0.08)*100),0))</f>
        <v>BASE CASE WINDOW - CLASS 118</v>
      </c>
      <c r="B19" s="385">
        <f>1/((1/1.18)+0.08)</f>
        <v>1.0782163742690059</v>
      </c>
      <c r="C19" s="333">
        <v>116</v>
      </c>
      <c r="D19" s="333">
        <v>196</v>
      </c>
      <c r="E19" s="334">
        <f>B19*C19</f>
        <v>125.07309941520468</v>
      </c>
      <c r="F19" s="334">
        <f>B19*D19</f>
        <v>211.33040935672514</v>
      </c>
      <c r="G19" s="334">
        <v>0</v>
      </c>
      <c r="H19" s="334">
        <v>0</v>
      </c>
      <c r="I19" s="335">
        <v>0</v>
      </c>
      <c r="J19" s="336">
        <f>C19*$I19</f>
        <v>0</v>
      </c>
      <c r="K19" s="336">
        <f>D19*$I19</f>
        <v>0</v>
      </c>
      <c r="L19" s="119"/>
      <c r="S19" s="210" t="s">
        <v>294</v>
      </c>
      <c r="T19" s="211">
        <v>20.175381956004852</v>
      </c>
      <c r="U19" s="211">
        <v>49.896</v>
      </c>
      <c r="V19" s="212">
        <v>1006.6708580768181</v>
      </c>
      <c r="W19" s="5"/>
      <c r="X19" s="5"/>
      <c r="Y19" s="5"/>
      <c r="Z19" s="210" t="s">
        <v>294</v>
      </c>
      <c r="AA19" s="211">
        <v>20.17538195600485</v>
      </c>
      <c r="AB19" s="211">
        <v>84.67200000000001</v>
      </c>
      <c r="AC19" s="212">
        <v>1708.2899409788429</v>
      </c>
      <c r="AJ19" s="356">
        <v>790</v>
      </c>
      <c r="AK19" s="186">
        <v>22413.85164221309</v>
      </c>
      <c r="AL19" s="186">
        <v>25726.805065086515</v>
      </c>
      <c r="AM19" s="186">
        <v>34446.79459374729</v>
      </c>
      <c r="AN19" s="186">
        <v>39971.23598021344</v>
      </c>
      <c r="AO19" s="357">
        <v>790</v>
      </c>
      <c r="AP19" s="358">
        <f t="shared" si="10"/>
        <v>39971.23598021344</v>
      </c>
      <c r="AQ19" s="114"/>
      <c r="AR19" s="114"/>
      <c r="AS19" s="114"/>
      <c r="AT19" s="356">
        <v>790</v>
      </c>
      <c r="AU19" s="186">
        <v>22413.85164221309</v>
      </c>
      <c r="AV19" s="186">
        <v>25726.805065086515</v>
      </c>
      <c r="AW19" s="186">
        <v>34446.79459374729</v>
      </c>
      <c r="AX19" s="186">
        <v>39971.23598021344</v>
      </c>
      <c r="AY19" s="357">
        <v>790</v>
      </c>
      <c r="AZ19" s="358">
        <f t="shared" si="8"/>
        <v>39971.23598021344</v>
      </c>
    </row>
    <row r="20" spans="1:52" ht="15">
      <c r="A20" s="354" t="str">
        <f>"WINDOW - CLASS "&amp;(ROUND((1/((1/B20)-0.08)*100),0))</f>
        <v>WINDOW - CLASS 50</v>
      </c>
      <c r="B20" s="378">
        <f>1/((1/0.5)+0.08)</f>
        <v>0.4807692307692307</v>
      </c>
      <c r="C20" s="370">
        <v>116</v>
      </c>
      <c r="D20" s="370">
        <v>196</v>
      </c>
      <c r="E20" s="371">
        <f t="shared" si="0"/>
        <v>55.76923076923077</v>
      </c>
      <c r="F20" s="371">
        <f t="shared" si="1"/>
        <v>94.23076923076923</v>
      </c>
      <c r="G20" s="371">
        <f>E19-E20</f>
        <v>69.30386864597392</v>
      </c>
      <c r="H20" s="371">
        <f>F19-F20</f>
        <v>117.09964012595591</v>
      </c>
      <c r="I20" s="372">
        <v>0</v>
      </c>
      <c r="J20" s="373">
        <f t="shared" si="9"/>
        <v>0</v>
      </c>
      <c r="K20" s="373">
        <f t="shared" si="9"/>
        <v>0</v>
      </c>
      <c r="L20" s="119"/>
      <c r="S20" s="210" t="s">
        <v>291</v>
      </c>
      <c r="T20" s="211">
        <v>21.45974112705512</v>
      </c>
      <c r="U20" s="211">
        <v>57.288</v>
      </c>
      <c r="V20" s="212">
        <v>1229.3856496867338</v>
      </c>
      <c r="W20" s="5"/>
      <c r="X20" s="5"/>
      <c r="Y20" s="5"/>
      <c r="Z20" s="210" t="s">
        <v>291</v>
      </c>
      <c r="AA20" s="211">
        <v>21.459741127055125</v>
      </c>
      <c r="AB20" s="211">
        <v>97.216</v>
      </c>
      <c r="AC20" s="212">
        <v>2086.230193407791</v>
      </c>
      <c r="AJ20" s="356">
        <v>780</v>
      </c>
      <c r="AK20" s="186">
        <v>21979.224908662163</v>
      </c>
      <c r="AL20" s="186">
        <v>25229.112726199277</v>
      </c>
      <c r="AM20" s="186">
        <v>33813.234249499095</v>
      </c>
      <c r="AN20" s="186">
        <v>39246.40501134778</v>
      </c>
      <c r="AO20" s="357">
        <v>780</v>
      </c>
      <c r="AP20" s="358">
        <f t="shared" si="10"/>
        <v>39246.40501134778</v>
      </c>
      <c r="AQ20" s="114"/>
      <c r="AR20" s="114"/>
      <c r="AS20" s="114"/>
      <c r="AT20" s="356">
        <v>780</v>
      </c>
      <c r="AU20" s="186">
        <v>21979.224908662163</v>
      </c>
      <c r="AV20" s="186">
        <v>25229.112726199277</v>
      </c>
      <c r="AW20" s="186">
        <v>33813.234249499095</v>
      </c>
      <c r="AX20" s="186">
        <v>39246.40501134778</v>
      </c>
      <c r="AY20" s="357">
        <v>780</v>
      </c>
      <c r="AZ20" s="358">
        <f t="shared" si="8"/>
        <v>39246.40501134778</v>
      </c>
    </row>
    <row r="21" spans="1:52" ht="15">
      <c r="A21" s="354" t="s">
        <v>232</v>
      </c>
      <c r="B21" s="378">
        <f>1/(1/0.35+0.08)</f>
        <v>0.3404669260700389</v>
      </c>
      <c r="C21" s="370">
        <v>116</v>
      </c>
      <c r="D21" s="370">
        <v>196</v>
      </c>
      <c r="E21" s="371">
        <f t="shared" si="0"/>
        <v>39.494163424124515</v>
      </c>
      <c r="F21" s="371">
        <f t="shared" si="1"/>
        <v>66.73151750972762</v>
      </c>
      <c r="G21" s="371">
        <f>E19-E21</f>
        <v>85.57893599108016</v>
      </c>
      <c r="H21" s="371">
        <f>F19-F21</f>
        <v>144.5988918469975</v>
      </c>
      <c r="I21" s="372">
        <v>16.01</v>
      </c>
      <c r="J21" s="373">
        <f t="shared" si="9"/>
        <v>1857.16</v>
      </c>
      <c r="K21" s="373">
        <f t="shared" si="9"/>
        <v>3137.9600000000005</v>
      </c>
      <c r="L21" s="119"/>
      <c r="S21" s="210" t="s">
        <v>232</v>
      </c>
      <c r="T21" s="211">
        <v>21.701134496385546</v>
      </c>
      <c r="U21" s="211">
        <v>85.57893599108016</v>
      </c>
      <c r="V21" s="212">
        <v>1857.16</v>
      </c>
      <c r="W21" s="5"/>
      <c r="X21" s="5"/>
      <c r="Y21" s="5"/>
      <c r="Z21" s="210" t="s">
        <v>232</v>
      </c>
      <c r="AA21" s="211">
        <v>21.70113449638555</v>
      </c>
      <c r="AB21" s="211">
        <v>144.5988918469975</v>
      </c>
      <c r="AC21" s="212">
        <v>3137.96</v>
      </c>
      <c r="AD21" s="60"/>
      <c r="AE21" s="60"/>
      <c r="AJ21" s="356">
        <v>770</v>
      </c>
      <c r="AK21" s="186">
        <v>21546.254061888452</v>
      </c>
      <c r="AL21" s="186">
        <v>24733.242573966494</v>
      </c>
      <c r="AM21" s="186">
        <v>33182.287589577645</v>
      </c>
      <c r="AN21" s="186">
        <v>38523.87869988683</v>
      </c>
      <c r="AO21" s="357">
        <v>770</v>
      </c>
      <c r="AP21" s="358">
        <f t="shared" si="10"/>
        <v>38523.87869988683</v>
      </c>
      <c r="AQ21" s="114"/>
      <c r="AR21" s="114"/>
      <c r="AS21" s="114"/>
      <c r="AT21" s="356">
        <v>770</v>
      </c>
      <c r="AU21" s="186">
        <v>21546.254061888452</v>
      </c>
      <c r="AV21" s="186">
        <v>24733.242573966494</v>
      </c>
      <c r="AW21" s="186">
        <v>33182.287589577645</v>
      </c>
      <c r="AX21" s="186">
        <v>38523.87869988683</v>
      </c>
      <c r="AY21" s="357">
        <v>770</v>
      </c>
      <c r="AZ21" s="358">
        <f t="shared" si="8"/>
        <v>38523.87869988683</v>
      </c>
    </row>
    <row r="22" spans="1:52" ht="15">
      <c r="A22" s="332" t="s">
        <v>186</v>
      </c>
      <c r="B22" s="385">
        <v>0.39</v>
      </c>
      <c r="C22" s="333">
        <v>38</v>
      </c>
      <c r="D22" s="333">
        <v>38</v>
      </c>
      <c r="E22" s="334">
        <f t="shared" si="0"/>
        <v>14.82</v>
      </c>
      <c r="F22" s="334">
        <f t="shared" si="1"/>
        <v>14.82</v>
      </c>
      <c r="G22" s="334">
        <v>0</v>
      </c>
      <c r="H22" s="334">
        <v>0</v>
      </c>
      <c r="I22" s="335">
        <v>0</v>
      </c>
      <c r="J22" s="336">
        <f t="shared" si="9"/>
        <v>0</v>
      </c>
      <c r="K22" s="336">
        <f t="shared" si="9"/>
        <v>0</v>
      </c>
      <c r="L22" s="119"/>
      <c r="S22" s="210" t="s">
        <v>245</v>
      </c>
      <c r="T22" s="211">
        <v>38.56533188050482</v>
      </c>
      <c r="U22" s="211">
        <v>3.696000000000005</v>
      </c>
      <c r="V22" s="212">
        <v>142.53746663034602</v>
      </c>
      <c r="W22" s="5"/>
      <c r="X22" s="5"/>
      <c r="Y22" s="5"/>
      <c r="Z22" s="210" t="s">
        <v>245</v>
      </c>
      <c r="AA22" s="211">
        <v>38.56533188050488</v>
      </c>
      <c r="AB22" s="211">
        <v>6.2719999999999985</v>
      </c>
      <c r="AC22" s="212">
        <v>241.88176155452655</v>
      </c>
      <c r="AJ22" s="356">
        <v>760</v>
      </c>
      <c r="AK22" s="186">
        <v>21114.730812860093</v>
      </c>
      <c r="AL22" s="186">
        <v>24239.476861617248</v>
      </c>
      <c r="AM22" s="186">
        <v>32554.07444284976</v>
      </c>
      <c r="AN22" s="186">
        <v>37803.68807922311</v>
      </c>
      <c r="AO22" s="357">
        <v>760</v>
      </c>
      <c r="AP22" s="358">
        <f t="shared" si="10"/>
        <v>37803.68807922311</v>
      </c>
      <c r="AQ22" s="114"/>
      <c r="AR22" s="114"/>
      <c r="AS22" s="114"/>
      <c r="AT22" s="356">
        <v>760</v>
      </c>
      <c r="AU22" s="186">
        <v>21114.730812860093</v>
      </c>
      <c r="AV22" s="186">
        <v>24239.476861617248</v>
      </c>
      <c r="AW22" s="186">
        <v>32554.07444284976</v>
      </c>
      <c r="AX22" s="186">
        <v>37803.68807922311</v>
      </c>
      <c r="AY22" s="357">
        <v>760</v>
      </c>
      <c r="AZ22" s="358">
        <f t="shared" si="8"/>
        <v>37803.68807922311</v>
      </c>
    </row>
    <row r="23" spans="1:52" ht="15">
      <c r="A23" s="381" t="s">
        <v>167</v>
      </c>
      <c r="B23" s="382">
        <v>0.19</v>
      </c>
      <c r="C23" s="370">
        <v>38</v>
      </c>
      <c r="D23" s="370">
        <v>38</v>
      </c>
      <c r="E23" s="371">
        <f t="shared" si="0"/>
        <v>7.22</v>
      </c>
      <c r="F23" s="371">
        <f t="shared" si="1"/>
        <v>7.22</v>
      </c>
      <c r="G23" s="371">
        <f>E22-E23</f>
        <v>7.6000000000000005</v>
      </c>
      <c r="H23" s="371">
        <f>F22-F23</f>
        <v>7.6000000000000005</v>
      </c>
      <c r="I23" s="372">
        <v>15.789473684210526</v>
      </c>
      <c r="J23" s="373">
        <f t="shared" si="9"/>
        <v>600</v>
      </c>
      <c r="K23" s="373">
        <f t="shared" si="9"/>
        <v>600</v>
      </c>
      <c r="L23" s="119"/>
      <c r="S23" s="210" t="s">
        <v>216</v>
      </c>
      <c r="T23" s="211">
        <v>38.88888888888888</v>
      </c>
      <c r="U23" s="211">
        <v>13.638240000000003</v>
      </c>
      <c r="V23" s="212">
        <v>530.376</v>
      </c>
      <c r="W23" s="5"/>
      <c r="X23" s="5"/>
      <c r="Y23" s="5"/>
      <c r="Z23" s="210" t="s">
        <v>216</v>
      </c>
      <c r="AA23" s="211">
        <v>38.88888888888891</v>
      </c>
      <c r="AB23" s="211">
        <v>23.14367999999999</v>
      </c>
      <c r="AC23" s="212">
        <v>900.032</v>
      </c>
      <c r="AJ23" s="356">
        <v>750</v>
      </c>
      <c r="AK23" s="186">
        <v>20684.547522572273</v>
      </c>
      <c r="AL23" s="186">
        <v>23747.51243966659</v>
      </c>
      <c r="AM23" s="186">
        <v>31928.066578880836</v>
      </c>
      <c r="AN23" s="186">
        <v>37085.83273221432</v>
      </c>
      <c r="AO23" s="357">
        <v>750</v>
      </c>
      <c r="AP23" s="358">
        <f t="shared" si="10"/>
        <v>37085.83273221432</v>
      </c>
      <c r="AQ23" s="114"/>
      <c r="AR23" s="114"/>
      <c r="AS23" s="114"/>
      <c r="AT23" s="356">
        <v>750</v>
      </c>
      <c r="AU23" s="186">
        <v>20684.547522572273</v>
      </c>
      <c r="AV23" s="186">
        <v>23747.51243966659</v>
      </c>
      <c r="AW23" s="186">
        <v>31928.066578880836</v>
      </c>
      <c r="AX23" s="186">
        <v>37085.83273221432</v>
      </c>
      <c r="AY23" s="357">
        <v>750</v>
      </c>
      <c r="AZ23" s="358">
        <f t="shared" si="8"/>
        <v>37085.83273221432</v>
      </c>
    </row>
    <row r="24" spans="1:52" ht="15">
      <c r="A24" s="332" t="s">
        <v>187</v>
      </c>
      <c r="B24" s="385">
        <f>0.018*0.5</f>
        <v>0.009</v>
      </c>
      <c r="C24" s="337">
        <f>8.2*924</f>
        <v>7576.799999999999</v>
      </c>
      <c r="D24" s="337">
        <f>8.2*1568</f>
        <v>12857.599999999999</v>
      </c>
      <c r="E24" s="334">
        <f t="shared" si="0"/>
        <v>68.1912</v>
      </c>
      <c r="F24" s="334">
        <f t="shared" si="1"/>
        <v>115.71839999999997</v>
      </c>
      <c r="G24" s="334">
        <v>0</v>
      </c>
      <c r="H24" s="334">
        <v>0</v>
      </c>
      <c r="I24" s="335">
        <v>0</v>
      </c>
      <c r="J24" s="336">
        <f t="shared" si="9"/>
        <v>0</v>
      </c>
      <c r="K24" s="336">
        <f t="shared" si="9"/>
        <v>0</v>
      </c>
      <c r="L24" s="119"/>
      <c r="M24" s="124"/>
      <c r="N24" s="375"/>
      <c r="O24" s="119"/>
      <c r="P24" s="119"/>
      <c r="Q24" s="119"/>
      <c r="R24" s="119"/>
      <c r="S24" s="210" t="s">
        <v>247</v>
      </c>
      <c r="T24" s="211">
        <v>54.47353128121309</v>
      </c>
      <c r="U24" s="211">
        <v>18.48</v>
      </c>
      <c r="V24" s="212">
        <v>1006.6708580768181</v>
      </c>
      <c r="W24" s="5"/>
      <c r="X24" s="5"/>
      <c r="Y24" s="5"/>
      <c r="Z24" s="210" t="s">
        <v>247</v>
      </c>
      <c r="AA24" s="211">
        <v>54.47353128121308</v>
      </c>
      <c r="AB24" s="211">
        <v>31.36</v>
      </c>
      <c r="AC24" s="212">
        <v>1708.2899409788429</v>
      </c>
      <c r="AJ24" s="356">
        <v>740</v>
      </c>
      <c r="AK24" s="186">
        <v>20256.11522523451</v>
      </c>
      <c r="AL24" s="186">
        <v>23257.76096917909</v>
      </c>
      <c r="AM24" s="186">
        <v>31304.550394872866</v>
      </c>
      <c r="AN24" s="186">
        <v>36370.28136319859</v>
      </c>
      <c r="AO24" s="357">
        <v>740</v>
      </c>
      <c r="AP24" s="358">
        <f t="shared" si="10"/>
        <v>36370.28136319859</v>
      </c>
      <c r="AQ24" s="114"/>
      <c r="AR24" s="114"/>
      <c r="AS24" s="114"/>
      <c r="AT24" s="356">
        <v>740</v>
      </c>
      <c r="AU24" s="186">
        <v>20256.11522523451</v>
      </c>
      <c r="AV24" s="186">
        <v>23257.76096917909</v>
      </c>
      <c r="AW24" s="186">
        <v>31304.550394872866</v>
      </c>
      <c r="AX24" s="186">
        <v>36370.28136319859</v>
      </c>
      <c r="AY24" s="357">
        <v>740</v>
      </c>
      <c r="AZ24" s="358">
        <f t="shared" si="8"/>
        <v>36370.28136319859</v>
      </c>
    </row>
    <row r="25" spans="1:52" ht="15">
      <c r="A25" s="384" t="s">
        <v>216</v>
      </c>
      <c r="B25" s="382">
        <f>0.018*0.4</f>
        <v>0.0072</v>
      </c>
      <c r="C25" s="383">
        <f>8.2*924</f>
        <v>7576.799999999999</v>
      </c>
      <c r="D25" s="383">
        <f>8.2*1568</f>
        <v>12857.599999999999</v>
      </c>
      <c r="E25" s="371">
        <f t="shared" si="0"/>
        <v>54.55295999999999</v>
      </c>
      <c r="F25" s="371">
        <f t="shared" si="1"/>
        <v>92.57471999999999</v>
      </c>
      <c r="G25" s="371">
        <f>E$24-E25</f>
        <v>13.638240000000003</v>
      </c>
      <c r="H25" s="371">
        <f>F$24-F25</f>
        <v>23.14367999999999</v>
      </c>
      <c r="I25" s="372">
        <v>0.07</v>
      </c>
      <c r="J25" s="373">
        <f t="shared" si="9"/>
        <v>530.376</v>
      </c>
      <c r="K25" s="373">
        <f t="shared" si="9"/>
        <v>900.032</v>
      </c>
      <c r="L25" s="119"/>
      <c r="M25" s="124"/>
      <c r="N25" s="375"/>
      <c r="O25" s="119"/>
      <c r="P25" s="119"/>
      <c r="S25" s="210" t="s">
        <v>167</v>
      </c>
      <c r="T25" s="211">
        <v>78.94736842105263</v>
      </c>
      <c r="U25" s="211">
        <v>7.6</v>
      </c>
      <c r="V25" s="212">
        <v>600</v>
      </c>
      <c r="W25" s="5"/>
      <c r="X25" s="5"/>
      <c r="Y25" s="5"/>
      <c r="Z25" s="210" t="s">
        <v>167</v>
      </c>
      <c r="AA25" s="211">
        <v>78.94736842105263</v>
      </c>
      <c r="AB25" s="211">
        <v>7.6</v>
      </c>
      <c r="AC25" s="212">
        <v>600</v>
      </c>
      <c r="AJ25" s="356">
        <v>730</v>
      </c>
      <c r="AK25" s="186">
        <v>19829.71189124013</v>
      </c>
      <c r="AL25" s="186">
        <v>22770.018664024523</v>
      </c>
      <c r="AM25" s="186">
        <v>30683.07001996118</v>
      </c>
      <c r="AN25" s="186">
        <v>35657.583450502054</v>
      </c>
      <c r="AO25" s="357">
        <v>730</v>
      </c>
      <c r="AP25" s="358">
        <f t="shared" si="10"/>
        <v>35657.583450502054</v>
      </c>
      <c r="AQ25" s="114"/>
      <c r="AR25" s="114"/>
      <c r="AS25" s="114"/>
      <c r="AT25" s="356">
        <v>730</v>
      </c>
      <c r="AU25" s="186">
        <v>19829.71189124013</v>
      </c>
      <c r="AV25" s="186">
        <v>22770.018664024523</v>
      </c>
      <c r="AW25" s="186">
        <v>30683.07001996118</v>
      </c>
      <c r="AX25" s="186">
        <v>35657.583450502054</v>
      </c>
      <c r="AY25" s="357">
        <v>730</v>
      </c>
      <c r="AZ25" s="358">
        <f t="shared" si="8"/>
        <v>35657.583450502054</v>
      </c>
    </row>
    <row r="26" spans="1:52" ht="15">
      <c r="A26" s="126"/>
      <c r="S26"/>
      <c r="T26"/>
      <c r="U26"/>
      <c r="V26"/>
      <c r="W26"/>
      <c r="X26"/>
      <c r="Y26"/>
      <c r="Z26"/>
      <c r="AA26"/>
      <c r="AB26"/>
      <c r="AC26"/>
      <c r="AJ26" s="356">
        <v>720</v>
      </c>
      <c r="AK26" s="186">
        <v>19405.42036242029</v>
      </c>
      <c r="AL26" s="186">
        <v>22283.989341590754</v>
      </c>
      <c r="AM26" s="186">
        <v>30063.91416415001</v>
      </c>
      <c r="AN26" s="186">
        <v>34947.481278183055</v>
      </c>
      <c r="AO26" s="357">
        <v>720</v>
      </c>
      <c r="AP26" s="358">
        <f t="shared" si="10"/>
        <v>34947.481278183055</v>
      </c>
      <c r="AQ26" s="114"/>
      <c r="AR26" s="114"/>
      <c r="AS26" s="114"/>
      <c r="AT26" s="356">
        <v>720</v>
      </c>
      <c r="AU26" s="186">
        <v>19405.42036242029</v>
      </c>
      <c r="AV26" s="186">
        <v>22283.989341590754</v>
      </c>
      <c r="AW26" s="186">
        <v>30063.91416415001</v>
      </c>
      <c r="AX26" s="186">
        <v>34947.481278183055</v>
      </c>
      <c r="AY26" s="357">
        <v>720</v>
      </c>
      <c r="AZ26" s="358">
        <f t="shared" si="8"/>
        <v>34947.481278183055</v>
      </c>
    </row>
    <row r="27" spans="1:52" ht="15.75" thickBot="1">
      <c r="A27" s="126"/>
      <c r="S27" s="126" t="s">
        <v>220</v>
      </c>
      <c r="AJ27" s="356">
        <v>710</v>
      </c>
      <c r="AK27" s="186">
        <v>18982.78022827401</v>
      </c>
      <c r="AL27" s="186">
        <v>21799.861163169146</v>
      </c>
      <c r="AM27" s="186">
        <v>29446.794078272327</v>
      </c>
      <c r="AN27" s="186">
        <v>34239.81792208037</v>
      </c>
      <c r="AO27" s="357">
        <v>710</v>
      </c>
      <c r="AP27" s="358">
        <f t="shared" si="10"/>
        <v>34239.81792208037</v>
      </c>
      <c r="AQ27" s="114"/>
      <c r="AR27" s="114"/>
      <c r="AS27" s="114"/>
      <c r="AT27" s="356">
        <v>710</v>
      </c>
      <c r="AU27" s="186">
        <v>18982.78022827401</v>
      </c>
      <c r="AV27" s="186">
        <v>21799.861163169146</v>
      </c>
      <c r="AW27" s="186">
        <v>29446.794078272327</v>
      </c>
      <c r="AX27" s="186">
        <v>34239.81792208037</v>
      </c>
      <c r="AY27" s="357">
        <v>710</v>
      </c>
      <c r="AZ27" s="358">
        <f t="shared" si="8"/>
        <v>34239.81792208037</v>
      </c>
    </row>
    <row r="28" spans="1:52" ht="15.75" thickBot="1">
      <c r="A28" s="435" t="s">
        <v>233</v>
      </c>
      <c r="B28" s="436"/>
      <c r="C28" s="436"/>
      <c r="D28" s="437"/>
      <c r="E28" s="435" t="s">
        <v>234</v>
      </c>
      <c r="F28" s="436"/>
      <c r="G28" s="437"/>
      <c r="H28" s="435" t="s">
        <v>235</v>
      </c>
      <c r="I28" s="436"/>
      <c r="J28" s="437"/>
      <c r="K28" s="193" t="s">
        <v>236</v>
      </c>
      <c r="L28" s="254"/>
      <c r="M28" s="255"/>
      <c r="AJ28" s="356">
        <v>700</v>
      </c>
      <c r="AK28" s="186">
        <v>18562.1023485985</v>
      </c>
      <c r="AL28" s="186">
        <v>21317.852810017404</v>
      </c>
      <c r="AM28" s="186">
        <v>28831.90392955919</v>
      </c>
      <c r="AN28" s="186">
        <v>33534.88587317589</v>
      </c>
      <c r="AO28" s="357">
        <v>700</v>
      </c>
      <c r="AP28" s="358">
        <f t="shared" si="10"/>
        <v>33534.88587317589</v>
      </c>
      <c r="AQ28" s="114"/>
      <c r="AR28" s="114"/>
      <c r="AS28" s="114"/>
      <c r="AT28" s="356">
        <v>700</v>
      </c>
      <c r="AU28" s="186">
        <v>18562.1023485985</v>
      </c>
      <c r="AV28" s="186">
        <v>21317.852810017404</v>
      </c>
      <c r="AW28" s="186">
        <v>28831.90392955919</v>
      </c>
      <c r="AX28" s="186">
        <v>33534.88587317589</v>
      </c>
      <c r="AY28" s="357">
        <v>700</v>
      </c>
      <c r="AZ28" s="358">
        <f t="shared" si="8"/>
        <v>33534.88587317589</v>
      </c>
    </row>
    <row r="29" spans="1:52" ht="51.75" thickBot="1">
      <c r="A29" s="240" t="s">
        <v>230</v>
      </c>
      <c r="B29" s="241" t="s">
        <v>237</v>
      </c>
      <c r="C29" s="242" t="s">
        <v>238</v>
      </c>
      <c r="D29" s="242" t="s">
        <v>239</v>
      </c>
      <c r="E29" s="241">
        <f>$E4</f>
        <v>924</v>
      </c>
      <c r="F29" s="241">
        <f>$F4</f>
        <v>1568</v>
      </c>
      <c r="G29" s="243">
        <f>SUMPRODUCT('Cost Effectiveness'!$I$1:$J$1,E29:F29)</f>
        <v>1020.5999999999999</v>
      </c>
      <c r="H29" s="241">
        <f>$E4</f>
        <v>924</v>
      </c>
      <c r="I29" s="241">
        <f>$F4</f>
        <v>1568</v>
      </c>
      <c r="J29" s="243">
        <f>SUMPRODUCT('Cost Effectiveness'!$I$1:$J$1,H29:I29)</f>
        <v>1020.5999999999999</v>
      </c>
      <c r="K29" s="241">
        <f>$E4</f>
        <v>924</v>
      </c>
      <c r="L29" s="241">
        <f>$F4</f>
        <v>1568</v>
      </c>
      <c r="M29" s="243">
        <f>SUMPRODUCT('Cost Effectiveness'!$I$1:$J$1,K29:L29)</f>
        <v>1020.5999999999999</v>
      </c>
      <c r="S29" s="248" t="s">
        <v>52</v>
      </c>
      <c r="T29" s="249" t="s">
        <v>180</v>
      </c>
      <c r="U29" s="249" t="s">
        <v>218</v>
      </c>
      <c r="V29" s="249" t="s">
        <v>219</v>
      </c>
      <c r="W29" s="249" t="s">
        <v>192</v>
      </c>
      <c r="X29" s="249" t="s">
        <v>45</v>
      </c>
      <c r="Y29" s="250" t="s">
        <v>215</v>
      </c>
      <c r="Z29" s="248" t="s">
        <v>52</v>
      </c>
      <c r="AA29" s="249" t="s">
        <v>180</v>
      </c>
      <c r="AB29" s="249" t="s">
        <v>190</v>
      </c>
      <c r="AC29" s="249" t="s">
        <v>191</v>
      </c>
      <c r="AD29" s="249" t="s">
        <v>192</v>
      </c>
      <c r="AE29" s="249" t="s">
        <v>45</v>
      </c>
      <c r="AF29" s="250" t="s">
        <v>215</v>
      </c>
      <c r="AJ29" s="356">
        <v>690</v>
      </c>
      <c r="AK29" s="186">
        <v>18143.0282892558</v>
      </c>
      <c r="AL29" s="186">
        <v>20838.14944918719</v>
      </c>
      <c r="AM29" s="186">
        <v>28219.658754392825</v>
      </c>
      <c r="AN29" s="186">
        <v>32832.56291271077</v>
      </c>
      <c r="AO29" s="357">
        <v>690</v>
      </c>
      <c r="AP29" s="358">
        <f t="shared" si="10"/>
        <v>32832.56291271077</v>
      </c>
      <c r="AQ29" s="114"/>
      <c r="AR29" s="114"/>
      <c r="AS29" s="114"/>
      <c r="AT29" s="356">
        <v>690</v>
      </c>
      <c r="AU29" s="186">
        <v>18143.0282892558</v>
      </c>
      <c r="AV29" s="186">
        <v>20838.14944918719</v>
      </c>
      <c r="AW29" s="186">
        <v>28219.658754392825</v>
      </c>
      <c r="AX29" s="186">
        <v>32832.56291271077</v>
      </c>
      <c r="AY29" s="357">
        <v>690</v>
      </c>
      <c r="AZ29" s="358">
        <f t="shared" si="8"/>
        <v>32832.56291271077</v>
      </c>
    </row>
    <row r="30" spans="1:52" ht="15">
      <c r="A30" s="234" t="s">
        <v>295</v>
      </c>
      <c r="B30" s="235">
        <f>'ResWXMH Base Case'!A3</f>
        <v>0.03651347118538789</v>
      </c>
      <c r="C30" s="236">
        <f>B8</f>
        <v>0.118</v>
      </c>
      <c r="D30" s="236">
        <f>B12</f>
        <v>0.063</v>
      </c>
      <c r="E30" s="237">
        <f>$B30*$C30*C$8</f>
        <v>3.9811367902852126</v>
      </c>
      <c r="F30" s="237">
        <f>$B30*$C30*D$8</f>
        <v>6.7558684926052095</v>
      </c>
      <c r="G30" s="237">
        <f>SUMPRODUCT('Cost Effectiveness'!$I$1:$J$1,E30:F30)</f>
        <v>4.397346545633212</v>
      </c>
      <c r="H30" s="237">
        <f>$B30*$D30*C8</f>
        <v>2.1255221846438</v>
      </c>
      <c r="I30" s="237">
        <f>$B30*$D30*D8</f>
        <v>3.606946737577357</v>
      </c>
      <c r="J30" s="237">
        <f>SUMPRODUCT('Cost Effectiveness'!$I$1:$J$1,H30:I30)</f>
        <v>2.3477358675838333</v>
      </c>
      <c r="K30" s="238">
        <f aca="true" t="shared" si="11" ref="K30:K36">E30-H30</f>
        <v>1.8556146056414127</v>
      </c>
      <c r="L30" s="238">
        <f aca="true" t="shared" si="12" ref="L30:L36">F30-I30</f>
        <v>3.1489217550278523</v>
      </c>
      <c r="M30" s="237">
        <f>SUMPRODUCT('Cost Effectiveness'!$I$1:$J$1,K30:L30)</f>
        <v>2.0496106780493784</v>
      </c>
      <c r="S30" s="251" t="s">
        <v>193</v>
      </c>
      <c r="T30" s="170">
        <f>B62</f>
        <v>513.0202994152047</v>
      </c>
      <c r="U30" s="177">
        <v>0</v>
      </c>
      <c r="V30" s="171">
        <f>SUM(U$30:U30)</f>
        <v>0</v>
      </c>
      <c r="W30" s="178">
        <f aca="true" ca="1" t="shared" si="13" ref="W30:W37">IF(ISNA(INDEX($AO$8:$AP$87,MATCH(T30,$AO$8:$AO$87,0),1)),TREND(OFFSET(INDEX($AO$8:$AP$87,MATCH(T30,$AO$8:$AO$87,-1),2),0,0,2,1),OFFSET(INDEX($AO$8:$AP$87,MATCH(T30,$AO$8:$AO$87,-1),1),0,0,2,1),T30),INDEX($AO$8:$AP$87,MATCH(T30,$AO$8:$AO$87,0),2))</f>
        <v>20897.88032014139</v>
      </c>
      <c r="X30" s="178"/>
      <c r="Y30" s="252"/>
      <c r="Z30" s="251" t="s">
        <v>193</v>
      </c>
      <c r="AA30" s="170">
        <f>C62</f>
        <v>786.3508093567251</v>
      </c>
      <c r="AB30" s="177">
        <v>0</v>
      </c>
      <c r="AC30" s="171">
        <f>SUM(AB$30:AB30)</f>
        <v>0</v>
      </c>
      <c r="AD30" s="178">
        <f aca="true" ca="1" t="shared" si="14" ref="AD30:AD37">IF(ISNA(INDEX($AY$8:$AZ$87,MATCH(AA30,$AY$8:$AY$87,0),1)),TREND(OFFSET(INDEX($AY$8:$AZ$87,MATCH(AA30,$AY$8:$AY$87,-1),2),0,0,2,1),OFFSET(INDEX($AY$8:$AZ$87,MATCH(AA30,$AY$8:$AY$87,-1),1),0,0,2,1),AA30),INDEX($AY$8:$AZ$87,MATCH(AA30,$AY$8:$AY$87,0),2))</f>
        <v>39706.73134125967</v>
      </c>
      <c r="AE30" s="178"/>
      <c r="AF30" s="252"/>
      <c r="AJ30" s="356">
        <v>680</v>
      </c>
      <c r="AK30" s="186">
        <v>17725.616726712757</v>
      </c>
      <c r="AL30" s="186">
        <v>20360.587260926877</v>
      </c>
      <c r="AM30" s="186">
        <v>27609.96359707039</v>
      </c>
      <c r="AN30" s="186">
        <v>32132.98313769757</v>
      </c>
      <c r="AO30" s="357">
        <v>680</v>
      </c>
      <c r="AP30" s="358">
        <f t="shared" si="10"/>
        <v>32132.98313769757</v>
      </c>
      <c r="AQ30" s="114"/>
      <c r="AR30" s="114"/>
      <c r="AS30" s="114"/>
      <c r="AT30" s="356">
        <v>680</v>
      </c>
      <c r="AU30" s="186">
        <v>17725.616726712757</v>
      </c>
      <c r="AV30" s="186">
        <v>20360.587260926877</v>
      </c>
      <c r="AW30" s="186">
        <v>27609.96359707039</v>
      </c>
      <c r="AX30" s="186">
        <v>32132.98313769757</v>
      </c>
      <c r="AY30" s="357">
        <v>680</v>
      </c>
      <c r="AZ30" s="358">
        <f t="shared" si="8"/>
        <v>32132.98313769757</v>
      </c>
    </row>
    <row r="31" spans="1:52" ht="15">
      <c r="A31" s="231" t="s">
        <v>288</v>
      </c>
      <c r="B31" s="125">
        <f>'ResWXMH Base Case'!A4</f>
        <v>0.15650566261426155</v>
      </c>
      <c r="C31" s="194">
        <f>B11</f>
        <v>0.074</v>
      </c>
      <c r="D31" s="194">
        <f>B13</f>
        <v>0.043</v>
      </c>
      <c r="E31" s="195">
        <f>$B31*$C31*C$8</f>
        <v>10.701231186912747</v>
      </c>
      <c r="F31" s="195">
        <f>$B31*$C31*D$8</f>
        <v>18.159665044457995</v>
      </c>
      <c r="G31" s="195">
        <f>SUMPRODUCT('Cost Effectiveness'!$I$1:$J$1,E31:F31)</f>
        <v>11.819996265544534</v>
      </c>
      <c r="H31" s="195">
        <f>$B31*$D31*C9</f>
        <v>6.2182829869898395</v>
      </c>
      <c r="I31" s="195">
        <f>$B31*$D31*D9</f>
        <v>10.55223779610397</v>
      </c>
      <c r="J31" s="195">
        <f>SUMPRODUCT('Cost Effectiveness'!$I$1:$J$1,H31:I31)</f>
        <v>6.868376208356959</v>
      </c>
      <c r="K31" s="196">
        <f t="shared" si="11"/>
        <v>4.482948199922907</v>
      </c>
      <c r="L31" s="196">
        <f t="shared" si="12"/>
        <v>7.607427248354025</v>
      </c>
      <c r="M31" s="195">
        <f>SUMPRODUCT('Cost Effectiveness'!$I$1:$J$1,K31:L31)</f>
        <v>4.951620057187575</v>
      </c>
      <c r="S31" s="253" t="str">
        <f>S19</f>
        <v>ATTIC R22 Blown</v>
      </c>
      <c r="T31" s="170">
        <f>T30-U19</f>
        <v>463.1242994152047</v>
      </c>
      <c r="U31" s="171">
        <f>V19</f>
        <v>1006.6708580768181</v>
      </c>
      <c r="V31" s="171">
        <f>SUM(U$30:U31)</f>
        <v>1006.6708580768181</v>
      </c>
      <c r="W31" s="178">
        <f ca="1" t="shared" si="13"/>
        <v>17733.887132902397</v>
      </c>
      <c r="X31" s="178">
        <f aca="true" t="shared" si="15" ref="X31:X37">W30-W31</f>
        <v>3163.9931872389934</v>
      </c>
      <c r="Y31" s="252">
        <f>SUM(X31:X$31)</f>
        <v>3163.9931872389934</v>
      </c>
      <c r="Z31" s="253" t="str">
        <f>Z19</f>
        <v>ATTIC R22 Blown</v>
      </c>
      <c r="AA31" s="170">
        <f>AA30-AB19</f>
        <v>701.6788093567251</v>
      </c>
      <c r="AB31" s="171">
        <f>AC19</f>
        <v>1708.2899409788429</v>
      </c>
      <c r="AC31" s="171">
        <f>SUM(AB$30:AB31)</f>
        <v>1708.2899409788429</v>
      </c>
      <c r="AD31" s="178">
        <f ca="1" t="shared" si="14"/>
        <v>33653.23052513143</v>
      </c>
      <c r="AE31" s="178">
        <f aca="true" t="shared" si="16" ref="AE31:AE37">AD30-AD31</f>
        <v>6053.5008161282385</v>
      </c>
      <c r="AF31" s="252">
        <f>SUM(AE31:AE$31)</f>
        <v>6053.5008161282385</v>
      </c>
      <c r="AJ31" s="356">
        <v>670</v>
      </c>
      <c r="AK31" s="186">
        <v>17310.27311100103</v>
      </c>
      <c r="AL31" s="186">
        <v>19885.730249501004</v>
      </c>
      <c r="AM31" s="186">
        <v>27002.883868175362</v>
      </c>
      <c r="AN31" s="186">
        <v>31436.123146651415</v>
      </c>
      <c r="AO31" s="357">
        <v>670</v>
      </c>
      <c r="AP31" s="358">
        <f t="shared" si="10"/>
        <v>31436.123146651415</v>
      </c>
      <c r="AQ31" s="114"/>
      <c r="AR31" s="114"/>
      <c r="AS31" s="114"/>
      <c r="AT31" s="356">
        <v>670</v>
      </c>
      <c r="AU31" s="186">
        <v>17310.27311100103</v>
      </c>
      <c r="AV31" s="186">
        <v>19885.730249501004</v>
      </c>
      <c r="AW31" s="186">
        <v>27002.883868175362</v>
      </c>
      <c r="AX31" s="186">
        <v>31436.123146651415</v>
      </c>
      <c r="AY31" s="357">
        <v>670</v>
      </c>
      <c r="AZ31" s="358">
        <f t="shared" si="8"/>
        <v>31436.123146651415</v>
      </c>
    </row>
    <row r="32" spans="1:52" ht="15">
      <c r="A32" s="231" t="s">
        <v>287</v>
      </c>
      <c r="B32" s="125">
        <f>'ResWXMH Base Case'!A5</f>
        <v>0.4011377893920688</v>
      </c>
      <c r="C32" s="194">
        <f>B14</f>
        <v>0.104</v>
      </c>
      <c r="D32" s="194">
        <f>B17</f>
        <v>0.041</v>
      </c>
      <c r="E32" s="195">
        <f>$B32*$C32*C$14</f>
        <v>38.547737009420246</v>
      </c>
      <c r="F32" s="195">
        <f>$B32*$C32*D$14</f>
        <v>65.41434159174344</v>
      </c>
      <c r="G32" s="195">
        <f>SUMPRODUCT('Cost Effectiveness'!$I$1:$J$1,E32:F32)</f>
        <v>42.577727696768726</v>
      </c>
      <c r="H32" s="195">
        <f>$B32*$D32*C14</f>
        <v>15.196704013329136</v>
      </c>
      <c r="I32" s="195">
        <f>$B32*$D32*D14</f>
        <v>25.78834620443732</v>
      </c>
      <c r="J32" s="195">
        <f>SUMPRODUCT('Cost Effectiveness'!$I$1:$J$1,H32:I32)</f>
        <v>16.785450341995364</v>
      </c>
      <c r="K32" s="196">
        <f t="shared" si="11"/>
        <v>23.35103299609111</v>
      </c>
      <c r="L32" s="196">
        <f t="shared" si="12"/>
        <v>39.62599538730612</v>
      </c>
      <c r="M32" s="195">
        <f>SUMPRODUCT('Cost Effectiveness'!$I$1:$J$1,K32:L32)</f>
        <v>25.79227735477336</v>
      </c>
      <c r="S32" s="253" t="str">
        <f aca="true" t="shared" si="17" ref="S32:S37">S20</f>
        <v>FLOOR R22 Blown</v>
      </c>
      <c r="T32" s="170">
        <f aca="true" t="shared" si="18" ref="T32:T37">T31-U20</f>
        <v>405.8362994152047</v>
      </c>
      <c r="U32" s="171">
        <f aca="true" t="shared" si="19" ref="U32:U37">V20</f>
        <v>1229.3856496867338</v>
      </c>
      <c r="V32" s="171">
        <f>SUM(U$30:U32)</f>
        <v>2236.056507763552</v>
      </c>
      <c r="W32" s="178">
        <f ca="1" t="shared" si="13"/>
        <v>14240.673510598084</v>
      </c>
      <c r="X32" s="178">
        <f t="shared" si="15"/>
        <v>3493.2136223043126</v>
      </c>
      <c r="Y32" s="252">
        <f>SUM(X$31:X32)</f>
        <v>6657.206809543306</v>
      </c>
      <c r="Z32" s="253" t="str">
        <f aca="true" t="shared" si="20" ref="Z32:Z37">Z20</f>
        <v>FLOOR R22 Blown</v>
      </c>
      <c r="AA32" s="170">
        <f aca="true" t="shared" si="21" ref="AA32:AA37">AA31-AB20</f>
        <v>604.4628093567251</v>
      </c>
      <c r="AB32" s="171">
        <f aca="true" t="shared" si="22" ref="AB32:AB37">AC20</f>
        <v>2086.230193407791</v>
      </c>
      <c r="AC32" s="171">
        <f>SUM(AB$30:AB32)</f>
        <v>3794.520134386634</v>
      </c>
      <c r="AD32" s="178">
        <f ca="1" t="shared" si="14"/>
        <v>26936.071319642484</v>
      </c>
      <c r="AE32" s="178">
        <f t="shared" si="16"/>
        <v>6717.159205488948</v>
      </c>
      <c r="AF32" s="252">
        <f>SUM(AE$31:AE32)</f>
        <v>12770.660021617186</v>
      </c>
      <c r="AJ32" s="356">
        <v>660</v>
      </c>
      <c r="AK32" s="186">
        <v>16897.398155339855</v>
      </c>
      <c r="AL32" s="186">
        <v>19413.413994369024</v>
      </c>
      <c r="AM32" s="186">
        <v>26398.61113253809</v>
      </c>
      <c r="AN32" s="186">
        <v>30741.993207904332</v>
      </c>
      <c r="AO32" s="357">
        <v>660</v>
      </c>
      <c r="AP32" s="358">
        <f t="shared" si="10"/>
        <v>30741.993207904332</v>
      </c>
      <c r="AQ32" s="114"/>
      <c r="AR32" s="114"/>
      <c r="AS32" s="114"/>
      <c r="AT32" s="356">
        <v>660</v>
      </c>
      <c r="AU32" s="186">
        <v>16897.398155339855</v>
      </c>
      <c r="AV32" s="186">
        <v>19413.413994369024</v>
      </c>
      <c r="AW32" s="186">
        <v>26398.61113253809</v>
      </c>
      <c r="AX32" s="186">
        <v>30741.993207904332</v>
      </c>
      <c r="AY32" s="357">
        <v>660</v>
      </c>
      <c r="AZ32" s="358">
        <f t="shared" si="8"/>
        <v>30741.993207904332</v>
      </c>
    </row>
    <row r="33" spans="1:52" ht="15">
      <c r="A33" s="231" t="s">
        <v>289</v>
      </c>
      <c r="B33" s="125">
        <f>'ResWXMH Base Case'!A6</f>
        <v>0.21804648954411188</v>
      </c>
      <c r="C33" s="194">
        <f>B16</f>
        <v>0.066</v>
      </c>
      <c r="D33" s="194">
        <f>B18</f>
        <v>0.037</v>
      </c>
      <c r="E33" s="195">
        <f>$B33*$C33*C$14</f>
        <v>13.29734711835812</v>
      </c>
      <c r="F33" s="195">
        <f>$B33*$C33*D$14</f>
        <v>22.56519510994105</v>
      </c>
      <c r="G33" s="195">
        <f>SUMPRODUCT('Cost Effectiveness'!$I$1:$J$1,E33:F33)</f>
        <v>14.68752431709556</v>
      </c>
      <c r="H33" s="195">
        <f>$B33*$D33*C15</f>
        <v>7.454573384534097</v>
      </c>
      <c r="I33" s="195">
        <f>$B33*$D33*D15</f>
        <v>12.650185137391194</v>
      </c>
      <c r="J33" s="195">
        <f>SUMPRODUCT('Cost Effectiveness'!$I$1:$J$1,H33:I33)</f>
        <v>8.23391514746266</v>
      </c>
      <c r="K33" s="196">
        <f t="shared" si="11"/>
        <v>5.842773733824023</v>
      </c>
      <c r="L33" s="196">
        <f t="shared" si="12"/>
        <v>9.915009972549857</v>
      </c>
      <c r="M33" s="195">
        <f>SUMPRODUCT('Cost Effectiveness'!$I$1:$J$1,K33:L33)</f>
        <v>6.453609169632898</v>
      </c>
      <c r="S33" s="253" t="str">
        <f t="shared" si="17"/>
        <v>CLASS 35 PRIME WINDOW (Energy Star)</v>
      </c>
      <c r="T33" s="170">
        <f t="shared" si="18"/>
        <v>320.2573634241245</v>
      </c>
      <c r="U33" s="171">
        <f t="shared" si="19"/>
        <v>1857.16</v>
      </c>
      <c r="V33" s="171">
        <f>SUM(U$30:U33)</f>
        <v>4093.216507763552</v>
      </c>
      <c r="W33" s="178">
        <f ca="1" t="shared" si="13"/>
        <v>9389.110436925643</v>
      </c>
      <c r="X33" s="178">
        <f t="shared" si="15"/>
        <v>4851.5630736724415</v>
      </c>
      <c r="Y33" s="252">
        <f>SUM(X$31:X33)</f>
        <v>11508.769883215748</v>
      </c>
      <c r="Z33" s="253" t="str">
        <f t="shared" si="20"/>
        <v>CLASS 35 PRIME WINDOW (Energy Star)</v>
      </c>
      <c r="AA33" s="170">
        <f t="shared" si="21"/>
        <v>459.86391750972757</v>
      </c>
      <c r="AB33" s="171">
        <f t="shared" si="22"/>
        <v>3137.96</v>
      </c>
      <c r="AC33" s="171">
        <f>SUM(AB$30:AB33)</f>
        <v>6932.480134386634</v>
      </c>
      <c r="AD33" s="178">
        <f ca="1" t="shared" si="14"/>
        <v>17530.29769928439</v>
      </c>
      <c r="AE33" s="178">
        <f t="shared" si="16"/>
        <v>9405.773620358093</v>
      </c>
      <c r="AF33" s="252">
        <f>SUM(AE$31:AE33)</f>
        <v>22176.43364197528</v>
      </c>
      <c r="AJ33" s="356">
        <v>650</v>
      </c>
      <c r="AK33" s="186">
        <v>16486.887784290357</v>
      </c>
      <c r="AL33" s="186">
        <v>18942.91549616344</v>
      </c>
      <c r="AM33" s="186">
        <v>25796.867123131437</v>
      </c>
      <c r="AN33" s="186">
        <v>30050.386818915093</v>
      </c>
      <c r="AO33" s="357">
        <v>650</v>
      </c>
      <c r="AP33" s="358">
        <f t="shared" si="10"/>
        <v>30050.386818915093</v>
      </c>
      <c r="AQ33" s="114"/>
      <c r="AR33" s="114"/>
      <c r="AS33" s="114"/>
      <c r="AT33" s="356">
        <v>650</v>
      </c>
      <c r="AU33" s="186">
        <v>16486.887784290357</v>
      </c>
      <c r="AV33" s="186">
        <v>18942.91549616344</v>
      </c>
      <c r="AW33" s="186">
        <v>25796.867123131437</v>
      </c>
      <c r="AX33" s="186">
        <v>30050.386818915093</v>
      </c>
      <c r="AY33" s="357">
        <v>650</v>
      </c>
      <c r="AZ33" s="358">
        <f t="shared" si="8"/>
        <v>30050.386818915093</v>
      </c>
    </row>
    <row r="34" spans="1:52" ht="15">
      <c r="A34" s="231" t="s">
        <v>252</v>
      </c>
      <c r="B34" s="125">
        <f>'ResWXMH Base Case'!A7</f>
        <v>0.008509571958593616</v>
      </c>
      <c r="C34" s="194">
        <f>B24</f>
        <v>0.009</v>
      </c>
      <c r="D34" s="194">
        <f>B25</f>
        <v>0.0072</v>
      </c>
      <c r="E34" s="196">
        <f>B34*$C34*C24</f>
        <v>0.580277923342849</v>
      </c>
      <c r="F34" s="196">
        <f>C34*$C34*D24</f>
        <v>1.0414655999999998</v>
      </c>
      <c r="G34" s="195">
        <f>SUMPRODUCT('Cost Effectiveness'!$I$1:$J$1,E34:F34)</f>
        <v>0.6494560748414216</v>
      </c>
      <c r="H34" s="196">
        <f>$B34*$D34*C24</f>
        <v>0.46422233867427914</v>
      </c>
      <c r="I34" s="196">
        <f>$B34*$D34*D24</f>
        <v>0.7877712413866556</v>
      </c>
      <c r="J34" s="195">
        <f>SUMPRODUCT('Cost Effectiveness'!$I$1:$J$1,H34:I34)</f>
        <v>0.5127546740811356</v>
      </c>
      <c r="K34" s="196">
        <f t="shared" si="11"/>
        <v>0.11605558466856986</v>
      </c>
      <c r="L34" s="196">
        <f t="shared" si="12"/>
        <v>0.2536943586133442</v>
      </c>
      <c r="M34" s="195">
        <f>SUMPRODUCT('Cost Effectiveness'!$I$1:$J$1,K34:L34)</f>
        <v>0.136701400760286</v>
      </c>
      <c r="S34" s="253" t="str">
        <f t="shared" si="17"/>
        <v>FLOOR R30 Blown</v>
      </c>
      <c r="T34" s="170">
        <f t="shared" si="18"/>
        <v>316.56136342412447</v>
      </c>
      <c r="U34" s="171">
        <f t="shared" si="19"/>
        <v>142.53746663034602</v>
      </c>
      <c r="V34" s="171">
        <f>SUM(U$30:U34)</f>
        <v>4235.753974393898</v>
      </c>
      <c r="W34" s="178">
        <f ca="1" t="shared" si="13"/>
        <v>9192.5588182963</v>
      </c>
      <c r="X34" s="178">
        <f t="shared" si="15"/>
        <v>196.55161862934256</v>
      </c>
      <c r="Y34" s="252">
        <f>SUM(X$31:X34)</f>
        <v>11705.32150184509</v>
      </c>
      <c r="Z34" s="253" t="str">
        <f t="shared" si="20"/>
        <v>FLOOR R30 Blown</v>
      </c>
      <c r="AA34" s="170">
        <f t="shared" si="21"/>
        <v>453.5919175097276</v>
      </c>
      <c r="AB34" s="171">
        <f t="shared" si="22"/>
        <v>241.88176155452655</v>
      </c>
      <c r="AC34" s="171">
        <f>SUM(AB$30:AB34)</f>
        <v>7174.361895941161</v>
      </c>
      <c r="AD34" s="178">
        <f ca="1" t="shared" si="14"/>
        <v>17141.665348478018</v>
      </c>
      <c r="AE34" s="178">
        <f t="shared" si="16"/>
        <v>388.6323508063724</v>
      </c>
      <c r="AF34" s="252">
        <f>SUM(AE$31:AE34)</f>
        <v>22565.065992781652</v>
      </c>
      <c r="AJ34" s="356">
        <v>640</v>
      </c>
      <c r="AK34" s="186">
        <v>16078.547329263789</v>
      </c>
      <c r="AL34" s="186">
        <v>18474.271420636673</v>
      </c>
      <c r="AM34" s="186">
        <v>25197.286350629653</v>
      </c>
      <c r="AN34" s="186">
        <v>29361.25853407231</v>
      </c>
      <c r="AO34" s="357">
        <v>640</v>
      </c>
      <c r="AP34" s="358">
        <f t="shared" si="10"/>
        <v>29361.25853407231</v>
      </c>
      <c r="AQ34" s="114"/>
      <c r="AR34" s="114"/>
      <c r="AS34" s="114"/>
      <c r="AT34" s="356">
        <v>640</v>
      </c>
      <c r="AU34" s="186">
        <v>16078.547329263789</v>
      </c>
      <c r="AV34" s="186">
        <v>18474.271420636673</v>
      </c>
      <c r="AW34" s="186">
        <v>25197.286350629653</v>
      </c>
      <c r="AX34" s="186">
        <v>29361.25853407231</v>
      </c>
      <c r="AY34" s="357">
        <v>640</v>
      </c>
      <c r="AZ34" s="358">
        <f t="shared" si="8"/>
        <v>29361.25853407231</v>
      </c>
    </row>
    <row r="35" spans="1:52" ht="15.75" thickBot="1">
      <c r="A35" s="233" t="s">
        <v>229</v>
      </c>
      <c r="B35" s="125">
        <f>'ResWXMH Base Case'!A8</f>
        <v>0.17928701530557628</v>
      </c>
      <c r="C35" s="197">
        <f>B19</f>
        <v>1.0782163742690059</v>
      </c>
      <c r="D35" s="197">
        <f>B21</f>
        <v>0.3404669260700389</v>
      </c>
      <c r="E35" s="198">
        <f>$B35*$C35*C$20</f>
        <v>22.423982689169662</v>
      </c>
      <c r="F35" s="198">
        <f>$B35*$C35*D$20</f>
        <v>37.88879833687288</v>
      </c>
      <c r="G35" s="195">
        <f>SUMPRODUCT('Cost Effectiveness'!$I$1:$J$1,E35:F35)</f>
        <v>24.743705036325142</v>
      </c>
      <c r="H35" s="198">
        <f>$B35*$D35*C20</f>
        <v>7.080790682301943</v>
      </c>
      <c r="I35" s="198">
        <f>$B35*$D35*D20</f>
        <v>11.964094601130869</v>
      </c>
      <c r="J35" s="195">
        <f>SUMPRODUCT('Cost Effectiveness'!$I$1:$J$1,H35:I35)</f>
        <v>7.813286270126282</v>
      </c>
      <c r="K35" s="198">
        <f t="shared" si="11"/>
        <v>15.343192006867719</v>
      </c>
      <c r="L35" s="198">
        <f t="shared" si="12"/>
        <v>25.924703735742014</v>
      </c>
      <c r="M35" s="195">
        <f>SUMPRODUCT('Cost Effectiveness'!$I$1:$J$1,K35:L35)</f>
        <v>16.930418766198862</v>
      </c>
      <c r="S35" s="253" t="str">
        <f t="shared" si="17"/>
        <v>INFILTRATION @ O.40 ACH</v>
      </c>
      <c r="T35" s="170">
        <f t="shared" si="18"/>
        <v>302.92312342412447</v>
      </c>
      <c r="U35" s="171">
        <f t="shared" si="19"/>
        <v>530.376</v>
      </c>
      <c r="V35" s="171">
        <f>SUM(U$30:U35)</f>
        <v>4766.129974393898</v>
      </c>
      <c r="W35" s="178">
        <f ca="1" t="shared" si="13"/>
        <v>8473.909142626635</v>
      </c>
      <c r="X35" s="178">
        <f t="shared" si="15"/>
        <v>718.6496756696652</v>
      </c>
      <c r="Y35" s="252">
        <f>SUM(X$31:X35)</f>
        <v>12423.971177514755</v>
      </c>
      <c r="Z35" s="253" t="str">
        <f t="shared" si="20"/>
        <v>INFILTRATION @ O.40 ACH</v>
      </c>
      <c r="AA35" s="170">
        <f t="shared" si="21"/>
        <v>430.4482375097276</v>
      </c>
      <c r="AB35" s="171">
        <f t="shared" si="22"/>
        <v>900.032</v>
      </c>
      <c r="AC35" s="171">
        <f>SUM(AB$30:AB35)</f>
        <v>8074.393895941161</v>
      </c>
      <c r="AD35" s="178">
        <f ca="1" t="shared" si="14"/>
        <v>15721.481493150251</v>
      </c>
      <c r="AE35" s="178">
        <f t="shared" si="16"/>
        <v>1420.1838553277667</v>
      </c>
      <c r="AF35" s="252">
        <f>SUM(AE$31:AE35)</f>
        <v>23985.24984810942</v>
      </c>
      <c r="AJ35" s="356">
        <v>630</v>
      </c>
      <c r="AK35" s="186">
        <v>15672.062522511505</v>
      </c>
      <c r="AL35" s="186">
        <v>18007.736744329097</v>
      </c>
      <c r="AM35" s="186">
        <v>24600.224116269987</v>
      </c>
      <c r="AN35" s="186">
        <v>28674.659094789873</v>
      </c>
      <c r="AO35" s="357">
        <v>630</v>
      </c>
      <c r="AP35" s="358">
        <f t="shared" si="10"/>
        <v>28674.659094789873</v>
      </c>
      <c r="AQ35" s="114"/>
      <c r="AR35" s="114"/>
      <c r="AS35" s="114"/>
      <c r="AT35" s="356">
        <v>630</v>
      </c>
      <c r="AU35" s="186">
        <v>15672.062522511505</v>
      </c>
      <c r="AV35" s="186">
        <v>18007.736744329097</v>
      </c>
      <c r="AW35" s="186">
        <v>24600.224116269987</v>
      </c>
      <c r="AX35" s="186">
        <v>28674.659094789873</v>
      </c>
      <c r="AY35" s="357">
        <v>630</v>
      </c>
      <c r="AZ35" s="358">
        <f t="shared" si="8"/>
        <v>28674.659094789873</v>
      </c>
    </row>
    <row r="36" spans="1:52" ht="15.75" thickBot="1">
      <c r="A36" s="199" t="s">
        <v>240</v>
      </c>
      <c r="B36" s="200"/>
      <c r="C36" s="201"/>
      <c r="D36" s="200"/>
      <c r="E36" s="201">
        <f>SUM(E30:E35)</f>
        <v>89.53171271748883</v>
      </c>
      <c r="F36" s="201">
        <f>SUM(F30:F35)</f>
        <v>151.82533417562055</v>
      </c>
      <c r="G36" s="202">
        <f>SUMPRODUCT('Cost Effectiveness'!$I$1:$J$1,E36:F36)</f>
        <v>98.87575593620858</v>
      </c>
      <c r="H36" s="201">
        <f>SUM(H30:H35)</f>
        <v>38.54009559047309</v>
      </c>
      <c r="I36" s="201">
        <f>SUM(I30:I35)</f>
        <v>65.34958171802737</v>
      </c>
      <c r="J36" s="202">
        <f>SUMPRODUCT('Cost Effectiveness'!$I$1:$J$1,H36:I36)</f>
        <v>42.56151850960624</v>
      </c>
      <c r="K36" s="203">
        <f t="shared" si="11"/>
        <v>50.991617127015736</v>
      </c>
      <c r="L36" s="201">
        <f t="shared" si="12"/>
        <v>86.47575245759319</v>
      </c>
      <c r="M36" s="202">
        <f>SUMPRODUCT('Cost Effectiveness'!$I$1:$J$1,K36:L36)</f>
        <v>56.314237426602354</v>
      </c>
      <c r="S36" s="253" t="str">
        <f t="shared" si="17"/>
        <v>ATTIC R38 Blown</v>
      </c>
      <c r="T36" s="170">
        <f t="shared" si="18"/>
        <v>284.44312342412445</v>
      </c>
      <c r="U36" s="171">
        <f t="shared" si="19"/>
        <v>1006.6708580768181</v>
      </c>
      <c r="V36" s="171">
        <f>SUM(U$30:U36)</f>
        <v>5772.800832470716</v>
      </c>
      <c r="W36" s="178">
        <f ca="1" t="shared" si="13"/>
        <v>7524.409943330154</v>
      </c>
      <c r="X36" s="178">
        <f t="shared" si="15"/>
        <v>949.4991992964806</v>
      </c>
      <c r="Y36" s="252">
        <f>SUM(X$31:X36)</f>
        <v>13373.470376811236</v>
      </c>
      <c r="Z36" s="253" t="str">
        <f t="shared" si="20"/>
        <v>ATTIC R38 Blown</v>
      </c>
      <c r="AA36" s="170">
        <f t="shared" si="21"/>
        <v>399.0882375097276</v>
      </c>
      <c r="AB36" s="171">
        <f t="shared" si="22"/>
        <v>1708.2899409788429</v>
      </c>
      <c r="AC36" s="171">
        <f>SUM(AB$30:AB36)</f>
        <v>9782.683836920003</v>
      </c>
      <c r="AD36" s="178">
        <f ca="1" t="shared" si="14"/>
        <v>13840.178363094721</v>
      </c>
      <c r="AE36" s="178">
        <f t="shared" si="16"/>
        <v>1881.3031300555303</v>
      </c>
      <c r="AF36" s="252">
        <f>SUM(AE$31:AE36)</f>
        <v>25866.55297816495</v>
      </c>
      <c r="AJ36" s="356">
        <v>620</v>
      </c>
      <c r="AK36" s="186">
        <v>15267.465253146604</v>
      </c>
      <c r="AL36" s="186">
        <v>17543.903874975877</v>
      </c>
      <c r="AM36" s="186">
        <v>24005.7853528356</v>
      </c>
      <c r="AN36" s="186">
        <v>27991.16584927455</v>
      </c>
      <c r="AO36" s="357">
        <v>620</v>
      </c>
      <c r="AP36" s="358">
        <f t="shared" si="10"/>
        <v>27991.16584927455</v>
      </c>
      <c r="AQ36" s="114"/>
      <c r="AR36" s="114"/>
      <c r="AS36" s="114"/>
      <c r="AT36" s="356">
        <v>620</v>
      </c>
      <c r="AU36" s="186">
        <v>15267.465253146604</v>
      </c>
      <c r="AV36" s="186">
        <v>17543.903874975877</v>
      </c>
      <c r="AW36" s="186">
        <v>24005.7853528356</v>
      </c>
      <c r="AX36" s="186">
        <v>27991.16584927455</v>
      </c>
      <c r="AY36" s="357">
        <v>620</v>
      </c>
      <c r="AZ36" s="358">
        <f t="shared" si="8"/>
        <v>27991.16584927455</v>
      </c>
    </row>
    <row r="37" spans="19:52" ht="15">
      <c r="S37" s="253" t="str">
        <f t="shared" si="17"/>
        <v>DOOR R5</v>
      </c>
      <c r="T37" s="170">
        <f t="shared" si="18"/>
        <v>276.8431234241244</v>
      </c>
      <c r="U37" s="171">
        <f t="shared" si="19"/>
        <v>600</v>
      </c>
      <c r="V37" s="171">
        <f>SUM(U$30:U37)</f>
        <v>6372.800832470716</v>
      </c>
      <c r="W37" s="178">
        <f ca="1" t="shared" si="13"/>
        <v>7141.96184070114</v>
      </c>
      <c r="X37" s="178">
        <f t="shared" si="15"/>
        <v>382.4481026290141</v>
      </c>
      <c r="Y37" s="252">
        <f>SUM(X$31:X37)</f>
        <v>13755.91847944025</v>
      </c>
      <c r="Z37" s="253" t="str">
        <f t="shared" si="20"/>
        <v>DOOR R5</v>
      </c>
      <c r="AA37" s="170">
        <f t="shared" si="21"/>
        <v>391.4882375097276</v>
      </c>
      <c r="AB37" s="171">
        <f t="shared" si="22"/>
        <v>600</v>
      </c>
      <c r="AC37" s="171">
        <f>SUM(AB$30:AB37)</f>
        <v>10382.683836920003</v>
      </c>
      <c r="AD37" s="178">
        <f ca="1" t="shared" si="14"/>
        <v>13393.821309142771</v>
      </c>
      <c r="AE37" s="178">
        <f t="shared" si="16"/>
        <v>446.35705395194964</v>
      </c>
      <c r="AF37" s="252">
        <f>SUM(AE$31:AE37)</f>
        <v>26312.9100321169</v>
      </c>
      <c r="AJ37" s="356">
        <v>610</v>
      </c>
      <c r="AK37" s="186">
        <v>14865.249739439447</v>
      </c>
      <c r="AL37" s="186">
        <v>17082.742558939717</v>
      </c>
      <c r="AM37" s="186">
        <v>23414.260019763886</v>
      </c>
      <c r="AN37" s="186">
        <v>27310.980447643073</v>
      </c>
      <c r="AO37" s="357">
        <v>610</v>
      </c>
      <c r="AP37" s="358">
        <f t="shared" si="10"/>
        <v>27310.980447643073</v>
      </c>
      <c r="AQ37" s="114"/>
      <c r="AR37" s="114"/>
      <c r="AS37" s="114"/>
      <c r="AT37" s="356">
        <v>610</v>
      </c>
      <c r="AU37" s="186">
        <v>14865.249739439447</v>
      </c>
      <c r="AV37" s="186">
        <v>17082.742558939717</v>
      </c>
      <c r="AW37" s="186">
        <v>23414.260019763886</v>
      </c>
      <c r="AX37" s="186">
        <v>27310.980447643073</v>
      </c>
      <c r="AY37" s="357">
        <v>610</v>
      </c>
      <c r="AZ37" s="358">
        <f t="shared" si="8"/>
        <v>27310.980447643073</v>
      </c>
    </row>
    <row r="38" spans="1:52" ht="15">
      <c r="A38" s="126"/>
      <c r="S38"/>
      <c r="T38"/>
      <c r="U38"/>
      <c r="V38"/>
      <c r="W38"/>
      <c r="X38"/>
      <c r="Y38"/>
      <c r="Z38"/>
      <c r="AA38"/>
      <c r="AB38"/>
      <c r="AC38"/>
      <c r="AD38"/>
      <c r="AE38"/>
      <c r="AF38"/>
      <c r="AJ38" s="356">
        <v>600</v>
      </c>
      <c r="AK38" s="186">
        <v>14465.934257158477</v>
      </c>
      <c r="AL38" s="186">
        <v>16624.316675592552</v>
      </c>
      <c r="AM38" s="186">
        <v>22825.415205237947</v>
      </c>
      <c r="AN38" s="186">
        <v>26633.905822343822</v>
      </c>
      <c r="AO38" s="357">
        <v>600</v>
      </c>
      <c r="AP38" s="358">
        <f t="shared" si="10"/>
        <v>26633.905822343822</v>
      </c>
      <c r="AQ38" s="114"/>
      <c r="AR38" s="114"/>
      <c r="AS38" s="114"/>
      <c r="AT38" s="356">
        <v>600</v>
      </c>
      <c r="AU38" s="186">
        <v>14465.934257158477</v>
      </c>
      <c r="AV38" s="186">
        <v>16624.316675592552</v>
      </c>
      <c r="AW38" s="186">
        <v>22825.415205237947</v>
      </c>
      <c r="AX38" s="186">
        <v>26633.905822343822</v>
      </c>
      <c r="AY38" s="357">
        <v>600</v>
      </c>
      <c r="AZ38" s="358">
        <f t="shared" si="8"/>
        <v>26633.905822343822</v>
      </c>
    </row>
    <row r="39" spans="1:52" ht="15.75" thickBot="1">
      <c r="A39"/>
      <c r="B39"/>
      <c r="C39"/>
      <c r="D39"/>
      <c r="E39"/>
      <c r="F39"/>
      <c r="AJ39" s="356">
        <v>590</v>
      </c>
      <c r="AK39" s="186">
        <v>14069.755452359195</v>
      </c>
      <c r="AL39" s="186">
        <v>16168.20330176349</v>
      </c>
      <c r="AM39" s="186">
        <v>22239.573032256674</v>
      </c>
      <c r="AN39" s="186">
        <v>25960.878660917508</v>
      </c>
      <c r="AO39" s="357">
        <v>590</v>
      </c>
      <c r="AP39" s="358">
        <f t="shared" si="10"/>
        <v>25960.878660917508</v>
      </c>
      <c r="AQ39" s="114"/>
      <c r="AR39" s="114"/>
      <c r="AS39" s="114"/>
      <c r="AT39" s="356">
        <v>590</v>
      </c>
      <c r="AU39" s="186">
        <v>14069.755452359195</v>
      </c>
      <c r="AV39" s="186">
        <v>16168.20330176349</v>
      </c>
      <c r="AW39" s="186">
        <v>22239.573032256674</v>
      </c>
      <c r="AX39" s="186">
        <v>25960.878660917508</v>
      </c>
      <c r="AY39" s="357">
        <v>590</v>
      </c>
      <c r="AZ39" s="358">
        <f t="shared" si="8"/>
        <v>25960.878660917508</v>
      </c>
    </row>
    <row r="40" spans="1:52" ht="16.5" thickBot="1">
      <c r="A40" s="126"/>
      <c r="B40" s="441" t="s">
        <v>267</v>
      </c>
      <c r="C40" s="442"/>
      <c r="D40" s="443"/>
      <c r="E40"/>
      <c r="F40"/>
      <c r="G40"/>
      <c r="R40" s="131"/>
      <c r="AJ40" s="356">
        <v>580</v>
      </c>
      <c r="AK40" s="186">
        <v>13676.340374161528</v>
      </c>
      <c r="AL40" s="186">
        <v>15714.2014420139</v>
      </c>
      <c r="AM40" s="186">
        <v>21656.991959743176</v>
      </c>
      <c r="AN40" s="186">
        <v>25291.395990035602</v>
      </c>
      <c r="AO40" s="357">
        <v>580</v>
      </c>
      <c r="AP40" s="358">
        <f t="shared" si="10"/>
        <v>25291.395990035602</v>
      </c>
      <c r="AQ40" s="114"/>
      <c r="AR40" s="114"/>
      <c r="AS40" s="114"/>
      <c r="AT40" s="356">
        <v>580</v>
      </c>
      <c r="AU40" s="186">
        <v>13676.340374161528</v>
      </c>
      <c r="AV40" s="186">
        <v>15714.2014420139</v>
      </c>
      <c r="AW40" s="186">
        <v>21656.991959743176</v>
      </c>
      <c r="AX40" s="186">
        <v>25291.395990035602</v>
      </c>
      <c r="AY40" s="357">
        <v>580</v>
      </c>
      <c r="AZ40" s="358">
        <f t="shared" si="8"/>
        <v>25291.395990035602</v>
      </c>
    </row>
    <row r="41" spans="1:52" ht="16.5" thickBot="1">
      <c r="A41" s="193" t="s">
        <v>251</v>
      </c>
      <c r="B41" s="213">
        <v>924</v>
      </c>
      <c r="C41" s="213">
        <v>1568</v>
      </c>
      <c r="D41" s="214">
        <f>SUMPRODUCT('Cost Effectiveness'!$I$1:$J$1,B41:C41)</f>
        <v>1020.5999999999999</v>
      </c>
      <c r="E41"/>
      <c r="F41"/>
      <c r="G41"/>
      <c r="H41"/>
      <c r="I41"/>
      <c r="R41"/>
      <c r="S41"/>
      <c r="T41"/>
      <c r="U41"/>
      <c r="V41"/>
      <c r="W41"/>
      <c r="X41"/>
      <c r="Y41"/>
      <c r="Z41"/>
      <c r="AA41"/>
      <c r="AB41"/>
      <c r="AC41"/>
      <c r="AD41"/>
      <c r="AE41"/>
      <c r="AF41"/>
      <c r="AJ41" s="356">
        <v>570</v>
      </c>
      <c r="AK41" s="186">
        <v>13285.142984229777</v>
      </c>
      <c r="AL41" s="186">
        <v>15262.871324912745</v>
      </c>
      <c r="AM41" s="186">
        <v>21077.203569420955</v>
      </c>
      <c r="AN41" s="186">
        <v>24625.66122223265</v>
      </c>
      <c r="AO41" s="357">
        <v>570</v>
      </c>
      <c r="AP41" s="358">
        <f t="shared" si="10"/>
        <v>24625.66122223265</v>
      </c>
      <c r="AQ41" s="114"/>
      <c r="AR41" s="114"/>
      <c r="AS41" s="114"/>
      <c r="AT41" s="356">
        <v>570</v>
      </c>
      <c r="AU41" s="186">
        <v>13285.142984229777</v>
      </c>
      <c r="AV41" s="186">
        <v>15262.871324912745</v>
      </c>
      <c r="AW41" s="186">
        <v>21077.203569420955</v>
      </c>
      <c r="AX41" s="186">
        <v>24625.66122223265</v>
      </c>
      <c r="AY41" s="357">
        <v>570</v>
      </c>
      <c r="AZ41" s="358">
        <f t="shared" si="8"/>
        <v>24625.66122223265</v>
      </c>
    </row>
    <row r="42" spans="1:52" ht="16.5" thickBot="1">
      <c r="A42" s="229" t="s">
        <v>189</v>
      </c>
      <c r="B42" s="230">
        <f>C6+C9+C13+C16+C20+C22</f>
        <v>3974</v>
      </c>
      <c r="C42" s="230">
        <f>D6+D9+D13+D16+D20+D22</f>
        <v>5964</v>
      </c>
      <c r="D42" s="214">
        <f>SUMPRODUCT('Cost Effectiveness'!$I$1:$J$1,B42:C42)</f>
        <v>4272.5</v>
      </c>
      <c r="E42" s="353"/>
      <c r="F42"/>
      <c r="G42"/>
      <c r="H42"/>
      <c r="I42"/>
      <c r="R42"/>
      <c r="S42"/>
      <c r="T42"/>
      <c r="U42"/>
      <c r="V42"/>
      <c r="W42"/>
      <c r="X42"/>
      <c r="Y42"/>
      <c r="AC42"/>
      <c r="AD42"/>
      <c r="AJ42" s="356">
        <v>560</v>
      </c>
      <c r="AK42" s="186">
        <v>12896.681359028198</v>
      </c>
      <c r="AL42" s="186">
        <v>14814.374771329016</v>
      </c>
      <c r="AM42" s="186">
        <v>20500.953404017302</v>
      </c>
      <c r="AN42" s="186">
        <v>23963.305913479046</v>
      </c>
      <c r="AO42" s="357">
        <v>560</v>
      </c>
      <c r="AP42" s="358">
        <f t="shared" si="10"/>
        <v>23963.305913479046</v>
      </c>
      <c r="AQ42" s="114"/>
      <c r="AR42" s="114"/>
      <c r="AS42" s="114"/>
      <c r="AT42" s="356">
        <v>560</v>
      </c>
      <c r="AU42" s="186">
        <v>12896.681359028198</v>
      </c>
      <c r="AV42" s="186">
        <v>14814.374771329016</v>
      </c>
      <c r="AW42" s="186">
        <v>20500.953404017302</v>
      </c>
      <c r="AX42" s="186">
        <v>23963.305913479046</v>
      </c>
      <c r="AY42" s="357">
        <v>560</v>
      </c>
      <c r="AZ42" s="358">
        <f t="shared" si="8"/>
        <v>23963.305913479046</v>
      </c>
    </row>
    <row r="43" spans="1:52" ht="15">
      <c r="A43" s="354" t="s">
        <v>242</v>
      </c>
      <c r="B43" s="228">
        <f aca="true" t="shared" si="23" ref="B43:B48">VLOOKUP($A43,$A$5:$K$25,5,FALSE)</f>
        <v>161.392</v>
      </c>
      <c r="C43" s="228">
        <f aca="true" t="shared" si="24" ref="C43:C48">VLOOKUP(A43,$A$5:$K$25,6,FALSE)</f>
        <v>158.004</v>
      </c>
      <c r="D43" s="215"/>
      <c r="E43"/>
      <c r="F43"/>
      <c r="G43"/>
      <c r="H43"/>
      <c r="I43"/>
      <c r="J43"/>
      <c r="K43"/>
      <c r="L43"/>
      <c r="M43"/>
      <c r="N43"/>
      <c r="O43"/>
      <c r="P43"/>
      <c r="Q43"/>
      <c r="R43"/>
      <c r="S43"/>
      <c r="T43"/>
      <c r="AC43"/>
      <c r="AD43"/>
      <c r="AJ43" s="356">
        <v>550</v>
      </c>
      <c r="AK43" s="186">
        <v>12510.329036984242</v>
      </c>
      <c r="AL43" s="186">
        <v>14369.022737007977</v>
      </c>
      <c r="AM43" s="186">
        <v>19928.407639706187</v>
      </c>
      <c r="AN43" s="186">
        <v>23304.630089131937</v>
      </c>
      <c r="AO43" s="357">
        <v>550</v>
      </c>
      <c r="AP43" s="358">
        <f t="shared" si="10"/>
        <v>23304.630089131937</v>
      </c>
      <c r="AQ43" s="114"/>
      <c r="AR43" s="114"/>
      <c r="AS43" s="114"/>
      <c r="AT43" s="356">
        <v>550</v>
      </c>
      <c r="AU43" s="186">
        <v>12510.329036984242</v>
      </c>
      <c r="AV43" s="186">
        <v>14369.022737007977</v>
      </c>
      <c r="AW43" s="186">
        <v>19928.407639706187</v>
      </c>
      <c r="AX43" s="186">
        <v>23304.630089131937</v>
      </c>
      <c r="AY43" s="357">
        <v>550</v>
      </c>
      <c r="AZ43" s="358">
        <f t="shared" si="8"/>
        <v>23304.630089131937</v>
      </c>
    </row>
    <row r="44" spans="1:52" ht="15">
      <c r="A44" s="354" t="s">
        <v>243</v>
      </c>
      <c r="B44" s="228">
        <f t="shared" si="23"/>
        <v>109.032</v>
      </c>
      <c r="C44" s="228">
        <f t="shared" si="24"/>
        <v>185.024</v>
      </c>
      <c r="D44" s="217"/>
      <c r="E44"/>
      <c r="F44"/>
      <c r="G44"/>
      <c r="H44"/>
      <c r="I44"/>
      <c r="J44"/>
      <c r="K44"/>
      <c r="L44"/>
      <c r="M44"/>
      <c r="N44"/>
      <c r="O44"/>
      <c r="P44"/>
      <c r="Q44"/>
      <c r="R44"/>
      <c r="S44"/>
      <c r="T44"/>
      <c r="AC44"/>
      <c r="AD44"/>
      <c r="AJ44" s="356">
        <v>540</v>
      </c>
      <c r="AK44" s="186">
        <v>12126.367069801132</v>
      </c>
      <c r="AL44" s="186">
        <v>13927.093036647435</v>
      </c>
      <c r="AM44" s="186">
        <v>19359.434399847203</v>
      </c>
      <c r="AN44" s="186">
        <v>22649.306399400415</v>
      </c>
      <c r="AO44" s="357">
        <v>540</v>
      </c>
      <c r="AP44" s="358">
        <f t="shared" si="10"/>
        <v>22649.306399400415</v>
      </c>
      <c r="AQ44" s="114"/>
      <c r="AR44" s="114"/>
      <c r="AS44" s="114"/>
      <c r="AT44" s="356">
        <v>540</v>
      </c>
      <c r="AU44" s="186">
        <v>12126.367069801132</v>
      </c>
      <c r="AV44" s="186">
        <v>13927.093036647435</v>
      </c>
      <c r="AW44" s="186">
        <v>19359.434399847203</v>
      </c>
      <c r="AX44" s="186">
        <v>22649.306399400415</v>
      </c>
      <c r="AY44" s="357">
        <v>540</v>
      </c>
      <c r="AZ44" s="358">
        <f t="shared" si="8"/>
        <v>22649.306399400415</v>
      </c>
    </row>
    <row r="45" spans="1:52" ht="15">
      <c r="A45" s="354" t="s">
        <v>244</v>
      </c>
      <c r="B45" s="228">
        <f t="shared" si="23"/>
        <v>96.09599999999999</v>
      </c>
      <c r="C45" s="228">
        <f t="shared" si="24"/>
        <v>163.072</v>
      </c>
      <c r="D45" s="217"/>
      <c r="E45"/>
      <c r="F45"/>
      <c r="G45"/>
      <c r="H45"/>
      <c r="I45"/>
      <c r="J45"/>
      <c r="K45"/>
      <c r="L45"/>
      <c r="M45"/>
      <c r="N45"/>
      <c r="O45"/>
      <c r="P45"/>
      <c r="Q45"/>
      <c r="R45"/>
      <c r="S45"/>
      <c r="T45"/>
      <c r="AC45"/>
      <c r="AD45"/>
      <c r="AJ45" s="356">
        <v>530</v>
      </c>
      <c r="AK45" s="186">
        <v>11745.399595432173</v>
      </c>
      <c r="AL45" s="186">
        <v>13488.090246819154</v>
      </c>
      <c r="AM45" s="186">
        <v>18793.729682453984</v>
      </c>
      <c r="AN45" s="186">
        <v>21996.988159179684</v>
      </c>
      <c r="AO45" s="357">
        <v>530</v>
      </c>
      <c r="AP45" s="358">
        <f t="shared" si="10"/>
        <v>21996.988159179684</v>
      </c>
      <c r="AQ45" s="114"/>
      <c r="AR45" s="114"/>
      <c r="AS45" s="114"/>
      <c r="AT45" s="356">
        <v>530</v>
      </c>
      <c r="AU45" s="186">
        <v>11745.399595432173</v>
      </c>
      <c r="AV45" s="186">
        <v>13488.090246819154</v>
      </c>
      <c r="AW45" s="186">
        <v>18793.729682453984</v>
      </c>
      <c r="AX45" s="186">
        <v>21996.988159179684</v>
      </c>
      <c r="AY45" s="357">
        <v>530</v>
      </c>
      <c r="AZ45" s="358">
        <f t="shared" si="8"/>
        <v>21996.988159179684</v>
      </c>
    </row>
    <row r="46" spans="1:52" ht="15">
      <c r="A46" s="354" t="str">
        <f>A19</f>
        <v>BASE CASE WINDOW - CLASS 118</v>
      </c>
      <c r="B46" s="228">
        <f t="shared" si="23"/>
        <v>125.07309941520468</v>
      </c>
      <c r="C46" s="228">
        <f t="shared" si="24"/>
        <v>211.33040935672514</v>
      </c>
      <c r="D46" s="217"/>
      <c r="E46"/>
      <c r="F46"/>
      <c r="G46"/>
      <c r="H46"/>
      <c r="I46"/>
      <c r="J46"/>
      <c r="K46"/>
      <c r="L46"/>
      <c r="M46"/>
      <c r="N46"/>
      <c r="O46"/>
      <c r="P46"/>
      <c r="Q46"/>
      <c r="R46"/>
      <c r="S46"/>
      <c r="T46"/>
      <c r="AC46"/>
      <c r="AD46"/>
      <c r="AJ46" s="356">
        <v>520</v>
      </c>
      <c r="AK46" s="186">
        <v>11367.549549711068</v>
      </c>
      <c r="AL46" s="186">
        <v>13051.737958219723</v>
      </c>
      <c r="AM46" s="186">
        <v>18231.470698610847</v>
      </c>
      <c r="AN46" s="186">
        <v>21348.16549385746</v>
      </c>
      <c r="AO46" s="357">
        <v>520</v>
      </c>
      <c r="AP46" s="358">
        <f t="shared" si="10"/>
        <v>21348.16549385746</v>
      </c>
      <c r="AQ46" s="114"/>
      <c r="AR46" s="114"/>
      <c r="AS46" s="114"/>
      <c r="AT46" s="356">
        <v>520</v>
      </c>
      <c r="AU46" s="186">
        <v>11367.549549711068</v>
      </c>
      <c r="AV46" s="186">
        <v>13051.737958219723</v>
      </c>
      <c r="AW46" s="186">
        <v>18231.470698610847</v>
      </c>
      <c r="AX46" s="186">
        <v>21348.16549385746</v>
      </c>
      <c r="AY46" s="357">
        <v>520</v>
      </c>
      <c r="AZ46" s="358">
        <f t="shared" si="8"/>
        <v>21348.16549385746</v>
      </c>
    </row>
    <row r="47" spans="1:52" ht="15">
      <c r="A47" s="218" t="s">
        <v>186</v>
      </c>
      <c r="B47" s="228">
        <f t="shared" si="23"/>
        <v>14.82</v>
      </c>
      <c r="C47" s="228">
        <f t="shared" si="24"/>
        <v>14.82</v>
      </c>
      <c r="D47" s="217"/>
      <c r="E47"/>
      <c r="F47"/>
      <c r="G47"/>
      <c r="H47"/>
      <c r="I47" s="127"/>
      <c r="R47"/>
      <c r="S47"/>
      <c r="T47"/>
      <c r="AC47"/>
      <c r="AD47"/>
      <c r="AJ47" s="356">
        <v>510</v>
      </c>
      <c r="AK47" s="186">
        <v>10993.027686582189</v>
      </c>
      <c r="AL47" s="186">
        <v>12618.531212322894</v>
      </c>
      <c r="AM47" s="186">
        <v>17673.33341597926</v>
      </c>
      <c r="AN47" s="186">
        <v>20703.030121293017</v>
      </c>
      <c r="AO47" s="357">
        <v>510</v>
      </c>
      <c r="AP47" s="358">
        <f t="shared" si="10"/>
        <v>20703.030121293017</v>
      </c>
      <c r="AQ47" s="114"/>
      <c r="AR47" s="114"/>
      <c r="AS47" s="114"/>
      <c r="AT47" s="356">
        <v>510</v>
      </c>
      <c r="AU47" s="186">
        <v>10993.027686582189</v>
      </c>
      <c r="AV47" s="186">
        <v>12618.531212322894</v>
      </c>
      <c r="AW47" s="186">
        <v>17673.33341597926</v>
      </c>
      <c r="AX47" s="186">
        <v>20703.030121293017</v>
      </c>
      <c r="AY47" s="357">
        <v>510</v>
      </c>
      <c r="AZ47" s="358">
        <f t="shared" si="8"/>
        <v>20703.030121293017</v>
      </c>
    </row>
    <row r="48" spans="1:52" ht="15">
      <c r="A48" s="219" t="s">
        <v>187</v>
      </c>
      <c r="B48" s="228">
        <f t="shared" si="23"/>
        <v>68.1912</v>
      </c>
      <c r="C48" s="228">
        <f t="shared" si="24"/>
        <v>115.71839999999997</v>
      </c>
      <c r="D48" s="217"/>
      <c r="E48"/>
      <c r="F48"/>
      <c r="G48"/>
      <c r="H48"/>
      <c r="R48"/>
      <c r="S48"/>
      <c r="T48"/>
      <c r="AC48"/>
      <c r="AD48"/>
      <c r="AJ48" s="356">
        <v>500</v>
      </c>
      <c r="AK48" s="186">
        <v>10621.95524893304</v>
      </c>
      <c r="AL48" s="186">
        <v>12188.899936380849</v>
      </c>
      <c r="AM48" s="186">
        <v>17119.89595339183</v>
      </c>
      <c r="AN48" s="186">
        <v>20061.92050281498</v>
      </c>
      <c r="AO48" s="357">
        <v>500</v>
      </c>
      <c r="AP48" s="358">
        <f t="shared" si="10"/>
        <v>20061.92050281498</v>
      </c>
      <c r="AQ48" s="114"/>
      <c r="AR48" s="114"/>
      <c r="AS48" s="114"/>
      <c r="AT48" s="356">
        <v>500</v>
      </c>
      <c r="AU48" s="186">
        <v>10621.95524893304</v>
      </c>
      <c r="AV48" s="186">
        <v>12188.899936380849</v>
      </c>
      <c r="AW48" s="186">
        <v>17119.89595339183</v>
      </c>
      <c r="AX48" s="186">
        <v>20061.92050281498</v>
      </c>
      <c r="AY48" s="357">
        <v>500</v>
      </c>
      <c r="AZ48" s="358">
        <f t="shared" si="8"/>
        <v>20061.92050281498</v>
      </c>
    </row>
    <row r="49" spans="1:52" ht="15.75">
      <c r="A49" s="220" t="s">
        <v>194</v>
      </c>
      <c r="B49" s="188">
        <f>SUM(B43:B48)</f>
        <v>574.6042994152047</v>
      </c>
      <c r="C49" s="188">
        <f>SUM(C43:C48)</f>
        <v>847.9688093567252</v>
      </c>
      <c r="D49" s="221">
        <f>SUMPRODUCT('Cost Effectiveness'!$I$1:$J$1,B49:C49)</f>
        <v>615.6089759064326</v>
      </c>
      <c r="E49"/>
      <c r="F49"/>
      <c r="G49"/>
      <c r="H49"/>
      <c r="I49"/>
      <c r="R49"/>
      <c r="S49"/>
      <c r="T49"/>
      <c r="AC49"/>
      <c r="AD49"/>
      <c r="AJ49" s="356">
        <v>490</v>
      </c>
      <c r="AK49" s="186">
        <v>10253.670111425652</v>
      </c>
      <c r="AL49" s="186">
        <v>11762.949180047764</v>
      </c>
      <c r="AM49" s="186">
        <v>16570.799279425722</v>
      </c>
      <c r="AN49" s="186">
        <v>19424.91184603727</v>
      </c>
      <c r="AO49" s="357">
        <v>490</v>
      </c>
      <c r="AP49" s="358">
        <f t="shared" si="10"/>
        <v>19424.91184603727</v>
      </c>
      <c r="AQ49" s="114"/>
      <c r="AR49" s="114"/>
      <c r="AS49" s="114"/>
      <c r="AT49" s="356">
        <v>490</v>
      </c>
      <c r="AU49" s="186">
        <v>10253.670111425652</v>
      </c>
      <c r="AV49" s="186">
        <v>11762.949180047764</v>
      </c>
      <c r="AW49" s="186">
        <v>16570.799279425722</v>
      </c>
      <c r="AX49" s="186">
        <v>19424.91184603727</v>
      </c>
      <c r="AY49" s="357">
        <v>490</v>
      </c>
      <c r="AZ49" s="358">
        <f t="shared" si="8"/>
        <v>19424.91184603727</v>
      </c>
    </row>
    <row r="50" spans="1:52" ht="15.75">
      <c r="A50" s="220" t="s">
        <v>195</v>
      </c>
      <c r="B50" s="191">
        <f ca="1">IF(ISNA(INDEX($AO$8:$AP$87,MATCH(B49,$AO$8:$AO$87,0),1)),TREND(OFFSET(INDEX($AO$8:$AP$87,MATCH(B49,$AO$8:$AO$87,-1),2),0,0,2,1),OFFSET(INDEX($AO$8:$AP$87,MATCH(B49,$AO$8:$AO$87,-1),1),0,0,2,1),B49),INDEX($AO$8:$AP$87,MATCH(B49,$AO$8:$AO$87,0),2))</f>
        <v>24932.185442440295</v>
      </c>
      <c r="C50" s="191">
        <f ca="1">IF(ISNA(INDEX($AY$8:$AZ$87,MATCH(C49,$AY$8:$AY$87,0),1)),TREND(OFFSET(INDEX($AY$8:$AZ$87,MATCH(C49,$AY$8:$AY$87,-1),2),0,0,2,1),OFFSET(INDEX($AY$8:$AZ$87,MATCH(C49,$AY$8:$AY$87,-1),1),0,0,2,1),C49),INDEX($AY$8:$AZ$87,MATCH(C49,$AY$8:$AY$87,0),2))</f>
        <v>43991.224634204686</v>
      </c>
      <c r="D50" s="222">
        <f>SUMPRODUCT('Cost Effectiveness'!$I$1:$J$1,B50:C50)</f>
        <v>27791.041321204953</v>
      </c>
      <c r="E50"/>
      <c r="F50"/>
      <c r="G50"/>
      <c r="H50"/>
      <c r="I50"/>
      <c r="R50"/>
      <c r="S50"/>
      <c r="T50" s="137"/>
      <c r="U50" s="121"/>
      <c r="AC50"/>
      <c r="AD50"/>
      <c r="AJ50" s="356">
        <v>480</v>
      </c>
      <c r="AK50" s="186">
        <v>9888.537202793479</v>
      </c>
      <c r="AL50" s="186">
        <v>11340.583217712792</v>
      </c>
      <c r="AM50" s="186">
        <v>16025.090190437384</v>
      </c>
      <c r="AN50" s="186">
        <v>18792.140690341923</v>
      </c>
      <c r="AO50" s="357">
        <v>480</v>
      </c>
      <c r="AP50" s="358">
        <f aca="true" t="shared" si="25" ref="AP50:AP81">SUMPRODUCT(AK$6:AN$6,AK50:AN50)</f>
        <v>18792.140690341923</v>
      </c>
      <c r="AQ50" s="114"/>
      <c r="AR50" s="114"/>
      <c r="AS50" s="114"/>
      <c r="AT50" s="356">
        <v>480</v>
      </c>
      <c r="AU50" s="186">
        <v>9888.537202793479</v>
      </c>
      <c r="AV50" s="186">
        <v>11340.583217712792</v>
      </c>
      <c r="AW50" s="186">
        <v>16025.090190437384</v>
      </c>
      <c r="AX50" s="186">
        <v>18792.140690341923</v>
      </c>
      <c r="AY50" s="357">
        <v>480</v>
      </c>
      <c r="AZ50" s="358">
        <f t="shared" si="8"/>
        <v>18792.140690341923</v>
      </c>
    </row>
    <row r="51" spans="1:52" ht="15.75">
      <c r="A51" s="223" t="s">
        <v>196</v>
      </c>
      <c r="B51" s="192">
        <f>B50/B41</f>
        <v>26.98288467796569</v>
      </c>
      <c r="C51" s="192">
        <f>C50/C41</f>
        <v>28.055627955487683</v>
      </c>
      <c r="D51" s="224">
        <f>SUMPRODUCT('Cost Effectiveness'!$I$1:$J$1,B51:C51)</f>
        <v>27.143796169593987</v>
      </c>
      <c r="E51"/>
      <c r="F51"/>
      <c r="G51"/>
      <c r="H51"/>
      <c r="I51"/>
      <c r="R51"/>
      <c r="S51"/>
      <c r="T51" s="60"/>
      <c r="U51" s="121"/>
      <c r="V51" s="116"/>
      <c r="W51" s="116"/>
      <c r="AC51"/>
      <c r="AD51"/>
      <c r="AJ51" s="356">
        <v>470</v>
      </c>
      <c r="AK51" s="186">
        <v>9526.486412688368</v>
      </c>
      <c r="AL51" s="186">
        <v>10922.916723789214</v>
      </c>
      <c r="AM51" s="186">
        <v>15483.361644035815</v>
      </c>
      <c r="AN51" s="186">
        <v>18163.373329548827</v>
      </c>
      <c r="AO51" s="357">
        <v>470</v>
      </c>
      <c r="AP51" s="358">
        <f t="shared" si="25"/>
        <v>18163.373329548827</v>
      </c>
      <c r="AQ51" s="114"/>
      <c r="AR51" s="114"/>
      <c r="AS51" s="114"/>
      <c r="AT51" s="356">
        <v>470</v>
      </c>
      <c r="AU51" s="186">
        <v>9526.486412688368</v>
      </c>
      <c r="AV51" s="186">
        <v>10922.916723789214</v>
      </c>
      <c r="AW51" s="186">
        <v>15483.361644035815</v>
      </c>
      <c r="AX51" s="186">
        <v>18163.373329548827</v>
      </c>
      <c r="AY51" s="357">
        <v>470</v>
      </c>
      <c r="AZ51" s="358">
        <f t="shared" si="8"/>
        <v>18163.373329548827</v>
      </c>
    </row>
    <row r="52" spans="1:52" ht="16.5" thickBot="1">
      <c r="A52" s="225" t="s">
        <v>197</v>
      </c>
      <c r="B52" s="226">
        <f>(B49-B48)/B42</f>
        <v>0.12743158012461114</v>
      </c>
      <c r="C52" s="226">
        <f>(C49-C48)/C42</f>
        <v>0.12277840532473594</v>
      </c>
      <c r="D52" s="227">
        <f>SUMPRODUCT('Cost Effectiveness'!$I$1:$J$1,B52:C52)</f>
        <v>0.12673360390462984</v>
      </c>
      <c r="F52"/>
      <c r="G52"/>
      <c r="H52"/>
      <c r="I52"/>
      <c r="R52"/>
      <c r="S52"/>
      <c r="T52" s="137"/>
      <c r="U52" s="137"/>
      <c r="AC52"/>
      <c r="AD52"/>
      <c r="AJ52" s="356">
        <v>460</v>
      </c>
      <c r="AK52" s="186">
        <v>9167.395746772314</v>
      </c>
      <c r="AL52" s="186">
        <v>10509.730708981346</v>
      </c>
      <c r="AM52" s="186">
        <v>14946.14120220667</v>
      </c>
      <c r="AN52" s="186">
        <v>17538.729787629385</v>
      </c>
      <c r="AO52" s="357">
        <v>460</v>
      </c>
      <c r="AP52" s="358">
        <f t="shared" si="25"/>
        <v>17538.729787629385</v>
      </c>
      <c r="AQ52" s="114"/>
      <c r="AR52" s="114"/>
      <c r="AS52" s="114"/>
      <c r="AT52" s="356">
        <v>460</v>
      </c>
      <c r="AU52" s="186">
        <v>9167.395746772314</v>
      </c>
      <c r="AV52" s="186">
        <v>10509.730708981346</v>
      </c>
      <c r="AW52" s="186">
        <v>14946.14120220667</v>
      </c>
      <c r="AX52" s="186">
        <v>17538.729787629385</v>
      </c>
      <c r="AY52" s="357">
        <v>460</v>
      </c>
      <c r="AZ52" s="358">
        <f t="shared" si="8"/>
        <v>17538.729787629385</v>
      </c>
    </row>
    <row r="53" spans="18:52" ht="15.75" thickBot="1">
      <c r="R53"/>
      <c r="S53"/>
      <c r="T53"/>
      <c r="AC53"/>
      <c r="AD53"/>
      <c r="AJ53" s="356">
        <v>450</v>
      </c>
      <c r="AK53" s="186">
        <v>8811.008398420825</v>
      </c>
      <c r="AL53" s="186">
        <v>10100.106364418887</v>
      </c>
      <c r="AM53" s="186">
        <v>14413.155695881547</v>
      </c>
      <c r="AN53" s="186">
        <v>16919.099126266654</v>
      </c>
      <c r="AO53" s="357">
        <v>450</v>
      </c>
      <c r="AP53" s="358">
        <f t="shared" si="25"/>
        <v>16919.099126266654</v>
      </c>
      <c r="AQ53" s="114"/>
      <c r="AR53" s="114"/>
      <c r="AS53" s="114"/>
      <c r="AT53" s="356">
        <v>450</v>
      </c>
      <c r="AU53" s="186">
        <v>8811.008398420825</v>
      </c>
      <c r="AV53" s="186">
        <v>10100.106364418887</v>
      </c>
      <c r="AW53" s="186">
        <v>14413.155695881547</v>
      </c>
      <c r="AX53" s="186">
        <v>16919.099126266654</v>
      </c>
      <c r="AY53" s="357">
        <v>450</v>
      </c>
      <c r="AZ53" s="358">
        <f t="shared" si="8"/>
        <v>16919.099126266654</v>
      </c>
    </row>
    <row r="54" spans="1:52" ht="16.5" thickBot="1">
      <c r="A54" s="193" t="s">
        <v>188</v>
      </c>
      <c r="B54" s="213">
        <v>924</v>
      </c>
      <c r="C54" s="213">
        <v>1568</v>
      </c>
      <c r="D54" s="214">
        <f>SUMPRODUCT('Cost Effectiveness'!$I$1:$J$1,B54:C54)</f>
        <v>1020.5999999999999</v>
      </c>
      <c r="E54" s="112"/>
      <c r="I54" s="131"/>
      <c r="J54" s="131"/>
      <c r="K54" s="131"/>
      <c r="L54" s="131"/>
      <c r="M54" s="131"/>
      <c r="N54" s="131"/>
      <c r="O54" s="131"/>
      <c r="P54" s="131"/>
      <c r="Q54" s="131"/>
      <c r="R54"/>
      <c r="S54"/>
      <c r="T54"/>
      <c r="AC54"/>
      <c r="AD54"/>
      <c r="AJ54" s="356">
        <v>440</v>
      </c>
      <c r="AK54" s="186">
        <v>8458.429937465604</v>
      </c>
      <c r="AL54" s="186">
        <v>9693.433295966293</v>
      </c>
      <c r="AM54" s="186">
        <v>13885.411204336659</v>
      </c>
      <c r="AN54" s="186">
        <v>16304.2574384053</v>
      </c>
      <c r="AO54" s="357">
        <v>440</v>
      </c>
      <c r="AP54" s="358">
        <f t="shared" si="25"/>
        <v>16304.2574384053</v>
      </c>
      <c r="AQ54" s="114"/>
      <c r="AR54" s="114"/>
      <c r="AS54" s="114"/>
      <c r="AT54" s="356">
        <v>440</v>
      </c>
      <c r="AU54" s="186">
        <v>8458.429937465604</v>
      </c>
      <c r="AV54" s="186">
        <v>9693.433295966293</v>
      </c>
      <c r="AW54" s="186">
        <v>13885.411204336659</v>
      </c>
      <c r="AX54" s="186">
        <v>16304.2574384053</v>
      </c>
      <c r="AY54" s="357">
        <v>440</v>
      </c>
      <c r="AZ54" s="358">
        <f t="shared" si="8"/>
        <v>16304.2574384053</v>
      </c>
    </row>
    <row r="55" spans="1:52" ht="16.5" thickBot="1">
      <c r="A55" s="229" t="s">
        <v>189</v>
      </c>
      <c r="B55" s="230">
        <v>3050</v>
      </c>
      <c r="C55" s="230">
        <v>4396</v>
      </c>
      <c r="D55" s="214">
        <f>SUMPRODUCT('Cost Effectiveness'!$I$1:$J$1,B55:C55)</f>
        <v>3251.9</v>
      </c>
      <c r="E55"/>
      <c r="F55"/>
      <c r="G55"/>
      <c r="H55"/>
      <c r="I55"/>
      <c r="J55"/>
      <c r="K55"/>
      <c r="L55"/>
      <c r="M55"/>
      <c r="N55"/>
      <c r="O55"/>
      <c r="P55"/>
      <c r="Q55"/>
      <c r="S55"/>
      <c r="T55"/>
      <c r="AC55"/>
      <c r="AD55"/>
      <c r="AJ55" s="356">
        <v>430</v>
      </c>
      <c r="AK55" s="186">
        <v>8109.203967788018</v>
      </c>
      <c r="AL55" s="186">
        <v>9290.688879873045</v>
      </c>
      <c r="AM55" s="186">
        <v>13361.879880977513</v>
      </c>
      <c r="AN55" s="186">
        <v>15694.133447311004</v>
      </c>
      <c r="AO55" s="357">
        <v>430</v>
      </c>
      <c r="AP55" s="358">
        <f t="shared" si="25"/>
        <v>15694.133447311004</v>
      </c>
      <c r="AQ55" s="114"/>
      <c r="AR55" s="114"/>
      <c r="AS55" s="114"/>
      <c r="AT55" s="356">
        <v>430</v>
      </c>
      <c r="AU55" s="186">
        <v>8109.203967788018</v>
      </c>
      <c r="AV55" s="186">
        <v>9290.688879873045</v>
      </c>
      <c r="AW55" s="186">
        <v>13361.879880977513</v>
      </c>
      <c r="AX55" s="186">
        <v>15694.133447311004</v>
      </c>
      <c r="AY55" s="357">
        <v>430</v>
      </c>
      <c r="AZ55" s="358">
        <f t="shared" si="8"/>
        <v>15694.133447311004</v>
      </c>
    </row>
    <row r="56" spans="1:52" ht="15.75">
      <c r="A56" s="189" t="s">
        <v>279</v>
      </c>
      <c r="B56" s="228">
        <f aca="true" t="shared" si="26" ref="B56:B61">VLOOKUP($A56,$A$5:$K$25,5,FALSE)</f>
        <v>101.656</v>
      </c>
      <c r="C56" s="228">
        <f aca="true" t="shared" si="27" ref="C56:C61">VLOOKUP(A56,$A$5:$K$25,6,FALSE)</f>
        <v>99.522</v>
      </c>
      <c r="D56" s="215"/>
      <c r="E56"/>
      <c r="F56"/>
      <c r="G56"/>
      <c r="H56"/>
      <c r="I56"/>
      <c r="J56"/>
      <c r="K56"/>
      <c r="L56"/>
      <c r="M56"/>
      <c r="N56"/>
      <c r="O56"/>
      <c r="P56"/>
      <c r="Q56"/>
      <c r="R56" s="133"/>
      <c r="S56"/>
      <c r="T56"/>
      <c r="AC56"/>
      <c r="AD56"/>
      <c r="AJ56" s="356">
        <v>420</v>
      </c>
      <c r="AK56" s="186">
        <v>7763.724051166521</v>
      </c>
      <c r="AL56" s="186">
        <v>8892.414495486119</v>
      </c>
      <c r="AM56" s="186">
        <v>12842.6782131858</v>
      </c>
      <c r="AN56" s="186">
        <v>15088.610189717758</v>
      </c>
      <c r="AO56" s="357">
        <v>420</v>
      </c>
      <c r="AP56" s="358">
        <f t="shared" si="25"/>
        <v>15088.610189717758</v>
      </c>
      <c r="AQ56" s="114"/>
      <c r="AR56" s="114"/>
      <c r="AS56" s="114"/>
      <c r="AT56" s="356">
        <v>420</v>
      </c>
      <c r="AU56" s="186">
        <v>7763.724051166521</v>
      </c>
      <c r="AV56" s="186">
        <v>8892.414495486119</v>
      </c>
      <c r="AW56" s="186">
        <v>12842.6782131858</v>
      </c>
      <c r="AX56" s="186">
        <v>15088.610189717758</v>
      </c>
      <c r="AY56" s="357">
        <v>420</v>
      </c>
      <c r="AZ56" s="358">
        <f t="shared" si="8"/>
        <v>15088.610189717758</v>
      </c>
    </row>
    <row r="57" spans="1:52" ht="15">
      <c r="A57" s="189" t="s">
        <v>290</v>
      </c>
      <c r="B57" s="228">
        <f t="shared" si="26"/>
        <v>108.108</v>
      </c>
      <c r="C57" s="228">
        <f t="shared" si="27"/>
        <v>183.45600000000002</v>
      </c>
      <c r="D57" s="217"/>
      <c r="E57"/>
      <c r="F57"/>
      <c r="G57"/>
      <c r="H57"/>
      <c r="I57"/>
      <c r="J57"/>
      <c r="K57"/>
      <c r="L57"/>
      <c r="M57"/>
      <c r="N57"/>
      <c r="O57"/>
      <c r="P57"/>
      <c r="Q57"/>
      <c r="R57" s="134"/>
      <c r="S57"/>
      <c r="T57"/>
      <c r="AC57"/>
      <c r="AD57"/>
      <c r="AJ57" s="356">
        <v>410</v>
      </c>
      <c r="AK57" s="186">
        <v>7421.522694797752</v>
      </c>
      <c r="AL57" s="186">
        <v>8499.142748211534</v>
      </c>
      <c r="AM57" s="186">
        <v>12328.065036494245</v>
      </c>
      <c r="AN57" s="186">
        <v>14488.18999361644</v>
      </c>
      <c r="AO57" s="357">
        <v>410</v>
      </c>
      <c r="AP57" s="358">
        <f t="shared" si="25"/>
        <v>14488.18999361644</v>
      </c>
      <c r="AQ57" s="114"/>
      <c r="AR57" s="114"/>
      <c r="AS57" s="114"/>
      <c r="AT57" s="356">
        <v>410</v>
      </c>
      <c r="AU57" s="186">
        <v>7421.522694797752</v>
      </c>
      <c r="AV57" s="186">
        <v>8499.142748211534</v>
      </c>
      <c r="AW57" s="186">
        <v>12328.065036494245</v>
      </c>
      <c r="AX57" s="186">
        <v>14488.18999361644</v>
      </c>
      <c r="AY57" s="357">
        <v>410</v>
      </c>
      <c r="AZ57" s="358">
        <f t="shared" si="8"/>
        <v>14488.18999361644</v>
      </c>
    </row>
    <row r="58" spans="1:52" ht="15">
      <c r="A58" s="189" t="s">
        <v>293</v>
      </c>
      <c r="B58" s="228">
        <f t="shared" si="26"/>
        <v>95.172</v>
      </c>
      <c r="C58" s="228">
        <f t="shared" si="27"/>
        <v>161.504</v>
      </c>
      <c r="D58" s="217"/>
      <c r="E58"/>
      <c r="F58"/>
      <c r="G58"/>
      <c r="H58"/>
      <c r="I58"/>
      <c r="J58"/>
      <c r="K58"/>
      <c r="L58"/>
      <c r="M58"/>
      <c r="N58"/>
      <c r="O58"/>
      <c r="P58"/>
      <c r="Q58"/>
      <c r="R58" s="134"/>
      <c r="S58"/>
      <c r="T58"/>
      <c r="AC58"/>
      <c r="AD58"/>
      <c r="AJ58" s="356">
        <v>400</v>
      </c>
      <c r="AK58" s="186">
        <v>7082.671512111841</v>
      </c>
      <c r="AL58" s="186">
        <v>8109.259623732891</v>
      </c>
      <c r="AM58" s="186">
        <v>11818.574055395062</v>
      </c>
      <c r="AN58" s="186">
        <v>13893.72726033964</v>
      </c>
      <c r="AO58" s="357">
        <v>400</v>
      </c>
      <c r="AP58" s="358">
        <f t="shared" si="25"/>
        <v>13893.72726033964</v>
      </c>
      <c r="AQ58" s="114"/>
      <c r="AR58" s="114"/>
      <c r="AS58" s="114"/>
      <c r="AT58" s="356">
        <v>400</v>
      </c>
      <c r="AU58" s="186">
        <v>7082.671512111841</v>
      </c>
      <c r="AV58" s="186">
        <v>8109.259623732891</v>
      </c>
      <c r="AW58" s="186">
        <v>11818.574055395062</v>
      </c>
      <c r="AX58" s="186">
        <v>13893.72726033964</v>
      </c>
      <c r="AY58" s="357">
        <v>400</v>
      </c>
      <c r="AZ58" s="358">
        <f t="shared" si="8"/>
        <v>13893.72726033964</v>
      </c>
    </row>
    <row r="59" spans="1:52" ht="15">
      <c r="A59" s="189" t="str">
        <f>A19</f>
        <v>BASE CASE WINDOW - CLASS 118</v>
      </c>
      <c r="B59" s="228">
        <f t="shared" si="26"/>
        <v>125.07309941520468</v>
      </c>
      <c r="C59" s="228">
        <f t="shared" si="27"/>
        <v>211.33040935672514</v>
      </c>
      <c r="D59" s="217"/>
      <c r="E59"/>
      <c r="F59"/>
      <c r="G59"/>
      <c r="H59"/>
      <c r="I59"/>
      <c r="J59"/>
      <c r="K59"/>
      <c r="L59"/>
      <c r="M59"/>
      <c r="N59"/>
      <c r="O59"/>
      <c r="P59"/>
      <c r="Q59"/>
      <c r="R59" s="134"/>
      <c r="S59"/>
      <c r="T59"/>
      <c r="AC59"/>
      <c r="AD59"/>
      <c r="AJ59" s="356">
        <v>390</v>
      </c>
      <c r="AK59" s="186">
        <v>6747.573047138058</v>
      </c>
      <c r="AL59" s="186">
        <v>7724.250582652855</v>
      </c>
      <c r="AM59" s="186">
        <v>11315.384853235118</v>
      </c>
      <c r="AN59" s="186">
        <v>13306.415347245098</v>
      </c>
      <c r="AO59" s="357">
        <v>390</v>
      </c>
      <c r="AP59" s="358">
        <f t="shared" si="25"/>
        <v>13306.415347245098</v>
      </c>
      <c r="AQ59" s="114"/>
      <c r="AR59" s="114"/>
      <c r="AS59" s="114"/>
      <c r="AT59" s="356">
        <v>390</v>
      </c>
      <c r="AU59" s="186">
        <v>6747.573047138058</v>
      </c>
      <c r="AV59" s="186">
        <v>7724.250582652855</v>
      </c>
      <c r="AW59" s="186">
        <v>11315.384853235118</v>
      </c>
      <c r="AX59" s="186">
        <v>13306.415347245098</v>
      </c>
      <c r="AY59" s="357">
        <v>390</v>
      </c>
      <c r="AZ59" s="358">
        <f t="shared" si="8"/>
        <v>13306.415347245098</v>
      </c>
    </row>
    <row r="60" spans="1:52" ht="15">
      <c r="A60" s="218" t="s">
        <v>186</v>
      </c>
      <c r="B60" s="228">
        <f t="shared" si="26"/>
        <v>14.82</v>
      </c>
      <c r="C60" s="228">
        <f t="shared" si="27"/>
        <v>14.82</v>
      </c>
      <c r="D60" s="217"/>
      <c r="E60" s="112"/>
      <c r="F60"/>
      <c r="G60"/>
      <c r="H60"/>
      <c r="I60"/>
      <c r="J60"/>
      <c r="K60"/>
      <c r="L60"/>
      <c r="M60"/>
      <c r="N60"/>
      <c r="O60"/>
      <c r="P60"/>
      <c r="Q60"/>
      <c r="R60" s="134"/>
      <c r="AC60"/>
      <c r="AD60"/>
      <c r="AJ60" s="356">
        <v>380</v>
      </c>
      <c r="AK60" s="186">
        <v>6416.516908668479</v>
      </c>
      <c r="AL60" s="186">
        <v>7345.02544359994</v>
      </c>
      <c r="AM60" s="186">
        <v>10817.436247541276</v>
      </c>
      <c r="AN60" s="186">
        <v>12725.01873728402</v>
      </c>
      <c r="AO60" s="357">
        <v>380</v>
      </c>
      <c r="AP60" s="358">
        <f t="shared" si="25"/>
        <v>12725.01873728402</v>
      </c>
      <c r="AQ60" s="114"/>
      <c r="AR60" s="114"/>
      <c r="AS60" s="114"/>
      <c r="AT60" s="356">
        <v>380</v>
      </c>
      <c r="AU60" s="186">
        <v>6416.516908668479</v>
      </c>
      <c r="AV60" s="186">
        <v>7345.02544359994</v>
      </c>
      <c r="AW60" s="186">
        <v>10817.436247541276</v>
      </c>
      <c r="AX60" s="186">
        <v>12725.01873728402</v>
      </c>
      <c r="AY60" s="357">
        <v>380</v>
      </c>
      <c r="AZ60" s="358">
        <f t="shared" si="8"/>
        <v>12725.01873728402</v>
      </c>
    </row>
    <row r="61" spans="1:52" ht="15">
      <c r="A61" s="219" t="s">
        <v>187</v>
      </c>
      <c r="B61" s="228">
        <f t="shared" si="26"/>
        <v>68.1912</v>
      </c>
      <c r="C61" s="228">
        <f t="shared" si="27"/>
        <v>115.71839999999997</v>
      </c>
      <c r="D61" s="217"/>
      <c r="E61" s="112"/>
      <c r="F61"/>
      <c r="G61"/>
      <c r="H61"/>
      <c r="I61"/>
      <c r="J61"/>
      <c r="K61"/>
      <c r="L61"/>
      <c r="M61"/>
      <c r="N61"/>
      <c r="O61"/>
      <c r="P61"/>
      <c r="Q61"/>
      <c r="R61" s="134"/>
      <c r="AC61"/>
      <c r="AD61"/>
      <c r="AJ61" s="356">
        <v>370</v>
      </c>
      <c r="AK61" s="186">
        <v>6090.969527904524</v>
      </c>
      <c r="AL61" s="186">
        <v>6971.240827353172</v>
      </c>
      <c r="AM61" s="186">
        <v>10324.162947585197</v>
      </c>
      <c r="AN61" s="186">
        <v>12149.36716948919</v>
      </c>
      <c r="AO61" s="357">
        <v>370</v>
      </c>
      <c r="AP61" s="358">
        <f t="shared" si="25"/>
        <v>12149.36716948919</v>
      </c>
      <c r="AQ61" s="114"/>
      <c r="AR61" s="114"/>
      <c r="AS61" s="114"/>
      <c r="AT61" s="356">
        <v>370</v>
      </c>
      <c r="AU61" s="186">
        <v>6090.969527904524</v>
      </c>
      <c r="AV61" s="186">
        <v>6971.240827353172</v>
      </c>
      <c r="AW61" s="186">
        <v>10324.162947585197</v>
      </c>
      <c r="AX61" s="186">
        <v>12149.36716948919</v>
      </c>
      <c r="AY61" s="357">
        <v>370</v>
      </c>
      <c r="AZ61" s="358">
        <f t="shared" si="8"/>
        <v>12149.36716948919</v>
      </c>
    </row>
    <row r="62" spans="1:52" ht="15.75">
      <c r="A62" s="220" t="s">
        <v>194</v>
      </c>
      <c r="B62" s="188">
        <f>SUM(B56:B61)</f>
        <v>513.0202994152047</v>
      </c>
      <c r="C62" s="188">
        <f>SUM(C56:C61)</f>
        <v>786.3508093567251</v>
      </c>
      <c r="D62" s="221">
        <f>SUMPRODUCT('Cost Effectiveness'!$I$1:$J$1,B62:C62)</f>
        <v>554.0198759064327</v>
      </c>
      <c r="E62" s="112"/>
      <c r="F62"/>
      <c r="G62"/>
      <c r="H62"/>
      <c r="I62"/>
      <c r="J62"/>
      <c r="K62"/>
      <c r="L62"/>
      <c r="M62"/>
      <c r="N62"/>
      <c r="O62"/>
      <c r="P62"/>
      <c r="Q62"/>
      <c r="R62" s="135"/>
      <c r="AC62"/>
      <c r="AD62"/>
      <c r="AJ62" s="356">
        <v>360</v>
      </c>
      <c r="AK62" s="186">
        <v>5770.2319033914355</v>
      </c>
      <c r="AL62" s="186">
        <v>6603.846234481915</v>
      </c>
      <c r="AM62" s="186">
        <v>9836.038011103052</v>
      </c>
      <c r="AN62" s="186">
        <v>11579.945907053803</v>
      </c>
      <c r="AO62" s="357">
        <v>360</v>
      </c>
      <c r="AP62" s="358">
        <f t="shared" si="25"/>
        <v>11579.945907053803</v>
      </c>
      <c r="AQ62" s="114"/>
      <c r="AR62" s="114"/>
      <c r="AS62" s="114"/>
      <c r="AT62" s="356">
        <v>360</v>
      </c>
      <c r="AU62" s="186">
        <v>5770.2319033914355</v>
      </c>
      <c r="AV62" s="186">
        <v>6603.846234481915</v>
      </c>
      <c r="AW62" s="186">
        <v>9836.038011103052</v>
      </c>
      <c r="AX62" s="186">
        <v>11579.945907053803</v>
      </c>
      <c r="AY62" s="357">
        <v>360</v>
      </c>
      <c r="AZ62" s="358">
        <f t="shared" si="8"/>
        <v>11579.945907053803</v>
      </c>
    </row>
    <row r="63" spans="1:52" ht="15.75">
      <c r="A63" s="220" t="s">
        <v>195</v>
      </c>
      <c r="B63" s="191">
        <f ca="1">IF(ISNA(INDEX($AO$8:$AP$87,MATCH(B62,$AO$8:$AO$87,0),1)),TREND(OFFSET(INDEX($AO$8:$AP$87,MATCH(B62,$AO$8:$AO$87,-1),2),0,0,2,1),OFFSET(INDEX($AO$8:$AP$87,MATCH(B62,$AO$8:$AO$87,-1),1),0,0,2,1),B62),INDEX($AO$8:$AP$87,MATCH(B62,$AO$8:$AO$87,0),2))</f>
        <v>20897.88032014139</v>
      </c>
      <c r="C63" s="191">
        <f ca="1">IF(ISNA(INDEX($AY$8:$AZ$87,MATCH(C62,$AY$8:$AY$87,0),1)),TREND(OFFSET(INDEX($AY$8:$AZ$87,MATCH(C62,$AY$8:$AY$87,-1),2),0,0,2,1),OFFSET(INDEX($AY$8:$AZ$87,MATCH(C62,$AY$8:$AY$87,-1),1),0,0,2,1),C62),INDEX($AY$8:$AZ$87,MATCH(C62,$AY$8:$AY$87,0),2))</f>
        <v>39706.73134125967</v>
      </c>
      <c r="D63" s="222">
        <f>SUMPRODUCT('Cost Effectiveness'!$I$1:$J$1,B63:C63)</f>
        <v>23719.20797330913</v>
      </c>
      <c r="F63"/>
      <c r="G63"/>
      <c r="H63"/>
      <c r="I63"/>
      <c r="J63"/>
      <c r="K63"/>
      <c r="L63"/>
      <c r="M63"/>
      <c r="N63"/>
      <c r="O63"/>
      <c r="P63"/>
      <c r="Q63"/>
      <c r="R63" s="135"/>
      <c r="S63"/>
      <c r="T63"/>
      <c r="AC63"/>
      <c r="AD63"/>
      <c r="AJ63" s="356">
        <v>350</v>
      </c>
      <c r="AK63" s="186">
        <v>5454.634970916619</v>
      </c>
      <c r="AL63" s="186">
        <v>6242.713456817764</v>
      </c>
      <c r="AM63" s="186">
        <v>9354.163876364024</v>
      </c>
      <c r="AN63" s="186">
        <v>11017.765101131878</v>
      </c>
      <c r="AO63" s="357">
        <v>350</v>
      </c>
      <c r="AP63" s="358">
        <f t="shared" si="25"/>
        <v>11017.765101131878</v>
      </c>
      <c r="AQ63" s="114"/>
      <c r="AR63" s="114"/>
      <c r="AS63" s="114"/>
      <c r="AT63" s="356">
        <v>350</v>
      </c>
      <c r="AU63" s="186">
        <v>5454.634970916619</v>
      </c>
      <c r="AV63" s="186">
        <v>6242.713456817764</v>
      </c>
      <c r="AW63" s="186">
        <v>9354.163876364024</v>
      </c>
      <c r="AX63" s="186">
        <v>11017.765101131878</v>
      </c>
      <c r="AY63" s="357">
        <v>350</v>
      </c>
      <c r="AZ63" s="358">
        <f t="shared" si="8"/>
        <v>11017.765101131878</v>
      </c>
    </row>
    <row r="64" spans="1:52" ht="15.75">
      <c r="A64" s="223" t="s">
        <v>196</v>
      </c>
      <c r="B64" s="192">
        <f>B63/B54</f>
        <v>22.616753593226612</v>
      </c>
      <c r="C64" s="192">
        <f>C63/C54</f>
        <v>25.323170498252342</v>
      </c>
      <c r="D64" s="224">
        <f>SUMPRODUCT('Cost Effectiveness'!$I$1:$J$1,B64:C64)</f>
        <v>23.02271612898047</v>
      </c>
      <c r="E64" s="112"/>
      <c r="F64"/>
      <c r="G64"/>
      <c r="H64"/>
      <c r="I64"/>
      <c r="J64"/>
      <c r="K64"/>
      <c r="L64"/>
      <c r="M64"/>
      <c r="N64"/>
      <c r="O64"/>
      <c r="P64"/>
      <c r="Q64"/>
      <c r="R64" s="133"/>
      <c r="S64"/>
      <c r="T64"/>
      <c r="AC64"/>
      <c r="AD64"/>
      <c r="AJ64" s="356">
        <v>340</v>
      </c>
      <c r="AK64" s="186">
        <v>5144.0879262466515</v>
      </c>
      <c r="AL64" s="186">
        <v>5886.889824644717</v>
      </c>
      <c r="AM64" s="186">
        <v>8878.103263818102</v>
      </c>
      <c r="AN64" s="186">
        <v>10462.090899131354</v>
      </c>
      <c r="AO64" s="357">
        <v>340</v>
      </c>
      <c r="AP64" s="358">
        <f t="shared" si="25"/>
        <v>10462.090899131354</v>
      </c>
      <c r="AQ64" s="114"/>
      <c r="AR64" s="114"/>
      <c r="AS64" s="114"/>
      <c r="AT64" s="356">
        <v>340</v>
      </c>
      <c r="AU64" s="186">
        <v>5144.0879262466515</v>
      </c>
      <c r="AV64" s="186">
        <v>5886.889824644717</v>
      </c>
      <c r="AW64" s="186">
        <v>8878.103263818102</v>
      </c>
      <c r="AX64" s="186">
        <v>10462.090899131354</v>
      </c>
      <c r="AY64" s="357">
        <v>340</v>
      </c>
      <c r="AZ64" s="358">
        <f t="shared" si="8"/>
        <v>10462.090899131354</v>
      </c>
    </row>
    <row r="65" spans="1:52" ht="16.5" thickBot="1">
      <c r="A65" s="225" t="s">
        <v>197</v>
      </c>
      <c r="B65" s="226">
        <f>(B62-B61)/B55</f>
        <v>0.1458456063656409</v>
      </c>
      <c r="C65" s="226">
        <f>(C62-C61)/C55</f>
        <v>0.15255514316577004</v>
      </c>
      <c r="D65" s="227">
        <f>SUMPRODUCT('Cost Effectiveness'!$I$1:$J$1,B65:C65)</f>
        <v>0.14685203688566026</v>
      </c>
      <c r="E65" s="136"/>
      <c r="F65"/>
      <c r="G65"/>
      <c r="H65"/>
      <c r="I65"/>
      <c r="J65"/>
      <c r="K65"/>
      <c r="L65"/>
      <c r="M65"/>
      <c r="N65"/>
      <c r="O65"/>
      <c r="P65"/>
      <c r="Q65"/>
      <c r="S65"/>
      <c r="T65"/>
      <c r="AC65"/>
      <c r="AD65"/>
      <c r="AJ65" s="356">
        <v>330</v>
      </c>
      <c r="AK65" s="186">
        <v>4836.854709232862</v>
      </c>
      <c r="AL65" s="186">
        <v>5536.7333794832</v>
      </c>
      <c r="AM65" s="186">
        <v>8407.964789841248</v>
      </c>
      <c r="AN65" s="186">
        <v>9914.714897992799</v>
      </c>
      <c r="AO65" s="357">
        <v>330</v>
      </c>
      <c r="AP65" s="358">
        <f t="shared" si="25"/>
        <v>9914.714897992799</v>
      </c>
      <c r="AQ65" s="114"/>
      <c r="AR65" s="114"/>
      <c r="AS65" s="114"/>
      <c r="AT65" s="356">
        <v>330</v>
      </c>
      <c r="AU65" s="186">
        <v>4836.854709232862</v>
      </c>
      <c r="AV65" s="186">
        <v>5536.7333794832</v>
      </c>
      <c r="AW65" s="186">
        <v>8407.964789841248</v>
      </c>
      <c r="AX65" s="186">
        <v>9914.714897992799</v>
      </c>
      <c r="AY65" s="357">
        <v>330</v>
      </c>
      <c r="AZ65" s="358">
        <f t="shared" si="8"/>
        <v>9914.714897992799</v>
      </c>
    </row>
    <row r="66" spans="1:52" ht="16.5" thickBot="1">
      <c r="A66"/>
      <c r="B66"/>
      <c r="C66"/>
      <c r="D66"/>
      <c r="E66"/>
      <c r="F66"/>
      <c r="G66"/>
      <c r="H66"/>
      <c r="I66"/>
      <c r="J66"/>
      <c r="K66"/>
      <c r="L66"/>
      <c r="M66"/>
      <c r="N66"/>
      <c r="O66"/>
      <c r="P66"/>
      <c r="Q66"/>
      <c r="R66" s="131"/>
      <c r="S66"/>
      <c r="T66"/>
      <c r="AC66"/>
      <c r="AD66"/>
      <c r="AJ66" s="356">
        <v>320</v>
      </c>
      <c r="AK66" s="186">
        <v>4534.939960682472</v>
      </c>
      <c r="AL66" s="186">
        <v>5192.574836061764</v>
      </c>
      <c r="AM66" s="186">
        <v>7943.8170389662355</v>
      </c>
      <c r="AN66" s="186">
        <v>9375.22596501889</v>
      </c>
      <c r="AO66" s="357">
        <v>320</v>
      </c>
      <c r="AP66" s="358">
        <f t="shared" si="25"/>
        <v>9375.22596501889</v>
      </c>
      <c r="AQ66" s="114"/>
      <c r="AR66" s="114"/>
      <c r="AS66" s="114"/>
      <c r="AT66" s="356">
        <v>320</v>
      </c>
      <c r="AU66" s="186">
        <v>4534.939960682472</v>
      </c>
      <c r="AV66" s="186">
        <v>5192.574836061764</v>
      </c>
      <c r="AW66" s="186">
        <v>7943.8170389662355</v>
      </c>
      <c r="AX66" s="186">
        <v>9375.22596501889</v>
      </c>
      <c r="AY66" s="357">
        <v>320</v>
      </c>
      <c r="AZ66" s="358">
        <f t="shared" si="8"/>
        <v>9375.22596501889</v>
      </c>
    </row>
    <row r="67" spans="1:52" ht="16.5" thickBot="1">
      <c r="A67" s="245" t="s">
        <v>253</v>
      </c>
      <c r="B67" s="244">
        <v>924</v>
      </c>
      <c r="C67" s="213">
        <v>1568</v>
      </c>
      <c r="D67" s="214">
        <f>SUMPRODUCT('Cost Effectiveness'!$I$1:$J$1,B67:C67)</f>
        <v>1020.5999999999999</v>
      </c>
      <c r="E67"/>
      <c r="F67"/>
      <c r="G67"/>
      <c r="H67"/>
      <c r="I67"/>
      <c r="J67"/>
      <c r="K67"/>
      <c r="L67"/>
      <c r="M67"/>
      <c r="N67"/>
      <c r="O67"/>
      <c r="P67"/>
      <c r="Q67"/>
      <c r="S67"/>
      <c r="T67"/>
      <c r="AC67"/>
      <c r="AD67"/>
      <c r="AJ67" s="356">
        <v>310</v>
      </c>
      <c r="AK67" s="186">
        <v>4239.625272377381</v>
      </c>
      <c r="AL67" s="186">
        <v>4854.972854904268</v>
      </c>
      <c r="AM67" s="186">
        <v>7486.352351751375</v>
      </c>
      <c r="AN67" s="186">
        <v>8844.00627171323</v>
      </c>
      <c r="AO67" s="357">
        <v>310</v>
      </c>
      <c r="AP67" s="358">
        <f t="shared" si="25"/>
        <v>8844.00627171323</v>
      </c>
      <c r="AQ67" s="114"/>
      <c r="AR67" s="114"/>
      <c r="AS67" s="114"/>
      <c r="AT67" s="356">
        <v>310</v>
      </c>
      <c r="AU67" s="186">
        <v>4239.625272377381</v>
      </c>
      <c r="AV67" s="186">
        <v>4854.972854904268</v>
      </c>
      <c r="AW67" s="186">
        <v>7486.352351751375</v>
      </c>
      <c r="AX67" s="186">
        <v>8844.00627171323</v>
      </c>
      <c r="AY67" s="357">
        <v>310</v>
      </c>
      <c r="AZ67" s="358">
        <f t="shared" si="8"/>
        <v>8844.00627171323</v>
      </c>
    </row>
    <row r="68" spans="1:52" ht="16.5" thickBot="1">
      <c r="A68" s="247" t="s">
        <v>189</v>
      </c>
      <c r="B68" s="246">
        <v>3050</v>
      </c>
      <c r="C68" s="230">
        <v>4396</v>
      </c>
      <c r="D68" s="214">
        <f>SUMPRODUCT('Cost Effectiveness'!$I$1:$J$1,B68:C68)</f>
        <v>3251.9</v>
      </c>
      <c r="E68"/>
      <c r="F68"/>
      <c r="G68"/>
      <c r="H68"/>
      <c r="I68"/>
      <c r="J68"/>
      <c r="K68"/>
      <c r="L68"/>
      <c r="M68"/>
      <c r="N68"/>
      <c r="O68"/>
      <c r="P68"/>
      <c r="Q68"/>
      <c r="R68"/>
      <c r="S68"/>
      <c r="T68"/>
      <c r="AC68"/>
      <c r="AD68"/>
      <c r="AJ68" s="356">
        <v>300</v>
      </c>
      <c r="AK68" s="186">
        <v>3950.2668536623974</v>
      </c>
      <c r="AL68" s="186">
        <v>4524.124715146667</v>
      </c>
      <c r="AM68" s="186">
        <v>7035.299378471598</v>
      </c>
      <c r="AN68" s="186">
        <v>8321.039500824192</v>
      </c>
      <c r="AO68" s="357">
        <v>300</v>
      </c>
      <c r="AP68" s="358">
        <f t="shared" si="25"/>
        <v>8321.039500824192</v>
      </c>
      <c r="AQ68" s="114"/>
      <c r="AR68" s="114"/>
      <c r="AS68" s="114"/>
      <c r="AT68" s="356">
        <v>300</v>
      </c>
      <c r="AU68" s="186">
        <v>3950.2668536623974</v>
      </c>
      <c r="AV68" s="186">
        <v>4524.124715146667</v>
      </c>
      <c r="AW68" s="186">
        <v>7035.299378471598</v>
      </c>
      <c r="AX68" s="186">
        <v>8321.039500824192</v>
      </c>
      <c r="AY68" s="357">
        <v>300</v>
      </c>
      <c r="AZ68" s="358">
        <f t="shared" si="8"/>
        <v>8321.039500824192</v>
      </c>
    </row>
    <row r="69" spans="1:52" ht="15">
      <c r="A69" s="189" t="s">
        <v>279</v>
      </c>
      <c r="B69" s="228">
        <f aca="true" t="shared" si="28" ref="B69:B74">VLOOKUP($A69,$A$5:$K$25,5,FALSE)</f>
        <v>101.656</v>
      </c>
      <c r="C69" s="228">
        <f aca="true" t="shared" si="29" ref="C69:C74">VLOOKUP(A69,$A$5:$K$25,6,FALSE)</f>
        <v>99.522</v>
      </c>
      <c r="D69" s="215"/>
      <c r="E69"/>
      <c r="F69"/>
      <c r="G69"/>
      <c r="H69"/>
      <c r="R69"/>
      <c r="S69"/>
      <c r="T69"/>
      <c r="AC69"/>
      <c r="AD69"/>
      <c r="AH69"/>
      <c r="AJ69" s="356">
        <v>290</v>
      </c>
      <c r="AK69" s="186">
        <v>3666.8291337843807</v>
      </c>
      <c r="AL69" s="186">
        <v>4200.754696043174</v>
      </c>
      <c r="AM69" s="186">
        <v>6590.567527879785</v>
      </c>
      <c r="AN69" s="186">
        <v>7806.2313627610365</v>
      </c>
      <c r="AO69" s="357">
        <v>290</v>
      </c>
      <c r="AP69" s="358">
        <f t="shared" si="25"/>
        <v>7806.2313627610365</v>
      </c>
      <c r="AQ69" s="114"/>
      <c r="AR69" s="114"/>
      <c r="AS69" s="114"/>
      <c r="AT69" s="356">
        <v>290</v>
      </c>
      <c r="AU69" s="186">
        <v>3666.8291337843807</v>
      </c>
      <c r="AV69" s="186">
        <v>4200.754696043174</v>
      </c>
      <c r="AW69" s="186">
        <v>6590.567527879785</v>
      </c>
      <c r="AX69" s="186">
        <v>7806.2313627610365</v>
      </c>
      <c r="AY69" s="357">
        <v>290</v>
      </c>
      <c r="AZ69" s="358">
        <f t="shared" si="8"/>
        <v>7806.2313627610365</v>
      </c>
    </row>
    <row r="70" spans="1:52" ht="15.75">
      <c r="A70" s="354" t="s">
        <v>294</v>
      </c>
      <c r="B70" s="228">
        <f t="shared" si="28"/>
        <v>58.212</v>
      </c>
      <c r="C70" s="228">
        <f t="shared" si="29"/>
        <v>98.784</v>
      </c>
      <c r="D70" s="217"/>
      <c r="E70"/>
      <c r="F70"/>
      <c r="G70"/>
      <c r="H70"/>
      <c r="I70" s="133"/>
      <c r="J70" s="133"/>
      <c r="K70" s="133"/>
      <c r="L70" s="133"/>
      <c r="M70" s="133"/>
      <c r="N70" s="133"/>
      <c r="O70" s="133"/>
      <c r="P70" s="133"/>
      <c r="Q70" s="133"/>
      <c r="R70"/>
      <c r="S70"/>
      <c r="T70"/>
      <c r="AC70"/>
      <c r="AD70"/>
      <c r="AH70"/>
      <c r="AJ70" s="356">
        <v>280</v>
      </c>
      <c r="AK70" s="186">
        <v>3388.799321324415</v>
      </c>
      <c r="AL70" s="186">
        <v>3884.365039325418</v>
      </c>
      <c r="AM70" s="186">
        <v>6152.856444087546</v>
      </c>
      <c r="AN70" s="186">
        <v>7299.073401660402</v>
      </c>
      <c r="AO70" s="357">
        <v>280</v>
      </c>
      <c r="AP70" s="358">
        <f t="shared" si="25"/>
        <v>7299.073401660402</v>
      </c>
      <c r="AQ70" s="114"/>
      <c r="AR70" s="114"/>
      <c r="AS70" s="114"/>
      <c r="AT70" s="356">
        <v>280</v>
      </c>
      <c r="AU70" s="186">
        <v>3388.799321324415</v>
      </c>
      <c r="AV70" s="186">
        <v>3884.365039325418</v>
      </c>
      <c r="AW70" s="186">
        <v>6152.856444087546</v>
      </c>
      <c r="AX70" s="186">
        <v>7299.073401660402</v>
      </c>
      <c r="AY70" s="357">
        <v>280</v>
      </c>
      <c r="AZ70" s="358">
        <f t="shared" si="8"/>
        <v>7299.073401660402</v>
      </c>
    </row>
    <row r="71" spans="1:52" ht="15">
      <c r="A71" s="354" t="s">
        <v>291</v>
      </c>
      <c r="B71" s="228">
        <f t="shared" si="28"/>
        <v>37.884</v>
      </c>
      <c r="C71" s="228">
        <f t="shared" si="29"/>
        <v>64.288</v>
      </c>
      <c r="D71" s="217"/>
      <c r="E71"/>
      <c r="F71"/>
      <c r="G71"/>
      <c r="H71"/>
      <c r="I71" s="134"/>
      <c r="J71" s="134"/>
      <c r="K71" s="134"/>
      <c r="L71" s="134"/>
      <c r="M71" s="134"/>
      <c r="N71" s="134"/>
      <c r="O71" s="134"/>
      <c r="P71" s="134"/>
      <c r="Q71" s="134"/>
      <c r="R71"/>
      <c r="S71"/>
      <c r="T71"/>
      <c r="AC71"/>
      <c r="AD71"/>
      <c r="AH71"/>
      <c r="AJ71" s="356">
        <v>270</v>
      </c>
      <c r="AK71" s="186">
        <v>3116.2625070245635</v>
      </c>
      <c r="AL71" s="186">
        <v>3574.9815566892457</v>
      </c>
      <c r="AM71" s="186">
        <v>5724.464878171704</v>
      </c>
      <c r="AN71" s="186">
        <v>6801.3929976815925</v>
      </c>
      <c r="AO71" s="357">
        <v>270</v>
      </c>
      <c r="AP71" s="358">
        <f t="shared" si="25"/>
        <v>6801.3929976815925</v>
      </c>
      <c r="AQ71" s="114"/>
      <c r="AR71" s="114"/>
      <c r="AS71" s="114"/>
      <c r="AT71" s="356">
        <v>270</v>
      </c>
      <c r="AU71" s="186">
        <v>3116.2625070245635</v>
      </c>
      <c r="AV71" s="186">
        <v>3574.9815566892457</v>
      </c>
      <c r="AW71" s="186">
        <v>5724.464878171704</v>
      </c>
      <c r="AX71" s="186">
        <v>6801.3929976815925</v>
      </c>
      <c r="AY71" s="357">
        <v>270</v>
      </c>
      <c r="AZ71" s="358">
        <f t="shared" si="8"/>
        <v>6801.3929976815925</v>
      </c>
    </row>
    <row r="72" spans="1:52" ht="15">
      <c r="A72" s="216" t="s">
        <v>232</v>
      </c>
      <c r="B72" s="228">
        <f t="shared" si="28"/>
        <v>39.494163424124515</v>
      </c>
      <c r="C72" s="228">
        <f t="shared" si="29"/>
        <v>66.73151750972762</v>
      </c>
      <c r="D72" s="217"/>
      <c r="E72"/>
      <c r="F72"/>
      <c r="G72"/>
      <c r="H72"/>
      <c r="I72" s="134"/>
      <c r="J72" s="134"/>
      <c r="K72" s="134"/>
      <c r="L72" s="134"/>
      <c r="M72" s="134"/>
      <c r="N72" s="134"/>
      <c r="O72" s="134"/>
      <c r="P72" s="134"/>
      <c r="Q72" s="134"/>
      <c r="R72"/>
      <c r="S72"/>
      <c r="T72"/>
      <c r="AC72"/>
      <c r="AD72"/>
      <c r="AH72"/>
      <c r="AJ72" s="356">
        <v>260</v>
      </c>
      <c r="AK72" s="186">
        <v>2849.6555325661943</v>
      </c>
      <c r="AL72" s="186">
        <v>3273.9436573816633</v>
      </c>
      <c r="AM72" s="186">
        <v>5305.185262050493</v>
      </c>
      <c r="AN72" s="186">
        <v>6313.595421838417</v>
      </c>
      <c r="AO72" s="357">
        <v>260</v>
      </c>
      <c r="AP72" s="358">
        <f t="shared" si="25"/>
        <v>6313.595421838417</v>
      </c>
      <c r="AQ72" s="114"/>
      <c r="AR72" s="114"/>
      <c r="AS72" s="114"/>
      <c r="AT72" s="356">
        <v>260</v>
      </c>
      <c r="AU72" s="186">
        <v>2849.6555325661943</v>
      </c>
      <c r="AV72" s="186">
        <v>3273.9436573816633</v>
      </c>
      <c r="AW72" s="186">
        <v>5305.185262050493</v>
      </c>
      <c r="AX72" s="186">
        <v>6313.595421838417</v>
      </c>
      <c r="AY72" s="357">
        <v>260</v>
      </c>
      <c r="AZ72" s="358">
        <f aca="true" t="shared" si="30" ref="AZ72:AZ87">SUMPRODUCT(AU$6:AX$6,AU72:AX72)</f>
        <v>6313.595421838417</v>
      </c>
    </row>
    <row r="73" spans="1:52" ht="15">
      <c r="A73" s="218" t="s">
        <v>186</v>
      </c>
      <c r="B73" s="228">
        <f t="shared" si="28"/>
        <v>14.82</v>
      </c>
      <c r="C73" s="228">
        <f t="shared" si="29"/>
        <v>14.82</v>
      </c>
      <c r="D73" s="217"/>
      <c r="E73"/>
      <c r="F73"/>
      <c r="G73"/>
      <c r="H73"/>
      <c r="I73" s="134"/>
      <c r="J73" s="134"/>
      <c r="K73" s="134"/>
      <c r="L73" s="134"/>
      <c r="M73" s="134"/>
      <c r="N73" s="134"/>
      <c r="O73" s="134"/>
      <c r="P73" s="134"/>
      <c r="Q73" s="134"/>
      <c r="R73"/>
      <c r="S73"/>
      <c r="T73"/>
      <c r="AC73"/>
      <c r="AD73"/>
      <c r="AH73"/>
      <c r="AJ73" s="356">
        <v>250</v>
      </c>
      <c r="AK73" s="186">
        <v>2589.557948342701</v>
      </c>
      <c r="AL73" s="186">
        <v>2980.625442626957</v>
      </c>
      <c r="AM73" s="186">
        <v>4895.22424951133</v>
      </c>
      <c r="AN73" s="186">
        <v>5836.429511934428</v>
      </c>
      <c r="AO73" s="357">
        <v>250</v>
      </c>
      <c r="AP73" s="358">
        <f t="shared" si="25"/>
        <v>5836.429511934428</v>
      </c>
      <c r="AQ73" s="114"/>
      <c r="AR73" s="114"/>
      <c r="AS73" s="114"/>
      <c r="AT73" s="356">
        <v>250</v>
      </c>
      <c r="AU73" s="186">
        <v>2589.557948342701</v>
      </c>
      <c r="AV73" s="186">
        <v>2980.625442626957</v>
      </c>
      <c r="AW73" s="186">
        <v>4895.22424951133</v>
      </c>
      <c r="AX73" s="186">
        <v>5836.429511934428</v>
      </c>
      <c r="AY73" s="357">
        <v>250</v>
      </c>
      <c r="AZ73" s="358">
        <f t="shared" si="30"/>
        <v>5836.429511934428</v>
      </c>
    </row>
    <row r="74" spans="1:52" ht="15">
      <c r="A74" s="384" t="s">
        <v>187</v>
      </c>
      <c r="B74" s="228">
        <f t="shared" si="28"/>
        <v>68.1912</v>
      </c>
      <c r="C74" s="228">
        <f t="shared" si="29"/>
        <v>115.71839999999997</v>
      </c>
      <c r="D74" s="217"/>
      <c r="E74"/>
      <c r="F74"/>
      <c r="G74"/>
      <c r="H74"/>
      <c r="I74" s="134"/>
      <c r="J74" s="134"/>
      <c r="K74" s="134"/>
      <c r="L74" s="134"/>
      <c r="M74" s="134"/>
      <c r="N74" s="134"/>
      <c r="O74" s="134"/>
      <c r="P74" s="134"/>
      <c r="Q74" s="134"/>
      <c r="R74"/>
      <c r="S74"/>
      <c r="T74"/>
      <c r="AC74"/>
      <c r="AD74"/>
      <c r="AH74"/>
      <c r="AJ74" s="356">
        <v>240</v>
      </c>
      <c r="AK74" s="186">
        <v>2337.8045091288523</v>
      </c>
      <c r="AL74" s="186">
        <v>2696.183606833756</v>
      </c>
      <c r="AM74" s="186">
        <v>4495.55506089058</v>
      </c>
      <c r="AN74" s="186">
        <v>5370.546739270095</v>
      </c>
      <c r="AO74" s="357">
        <v>240</v>
      </c>
      <c r="AP74" s="358">
        <f t="shared" si="25"/>
        <v>5370.546739270095</v>
      </c>
      <c r="AQ74" s="114"/>
      <c r="AR74" s="114"/>
      <c r="AS74" s="114"/>
      <c r="AT74" s="356">
        <v>240</v>
      </c>
      <c r="AU74" s="186">
        <v>2337.8045091288523</v>
      </c>
      <c r="AV74" s="186">
        <v>2696.183606833756</v>
      </c>
      <c r="AW74" s="186">
        <v>4495.55506089058</v>
      </c>
      <c r="AX74" s="186">
        <v>5370.546739270095</v>
      </c>
      <c r="AY74" s="357">
        <v>240</v>
      </c>
      <c r="AZ74" s="358">
        <f t="shared" si="30"/>
        <v>5370.546739270095</v>
      </c>
    </row>
    <row r="75" spans="1:52" ht="15.75">
      <c r="A75" s="220" t="s">
        <v>194</v>
      </c>
      <c r="B75" s="188">
        <f>SUM(B69:B74)</f>
        <v>320.2573634241245</v>
      </c>
      <c r="C75" s="188">
        <f>SUM(C69:C74)</f>
        <v>459.86391750972757</v>
      </c>
      <c r="D75" s="221">
        <f>SUMPRODUCT('Cost Effectiveness'!$I$1:$J$1,B75:C75)</f>
        <v>341.19834653696495</v>
      </c>
      <c r="E75"/>
      <c r="F75"/>
      <c r="G75"/>
      <c r="H75"/>
      <c r="I75" s="134"/>
      <c r="J75" s="134"/>
      <c r="K75" s="134"/>
      <c r="L75" s="134"/>
      <c r="M75" s="134"/>
      <c r="N75" s="134"/>
      <c r="O75" s="134"/>
      <c r="P75" s="134"/>
      <c r="Q75" s="134"/>
      <c r="R75"/>
      <c r="S75"/>
      <c r="T75"/>
      <c r="AC75"/>
      <c r="AD75"/>
      <c r="AH75"/>
      <c r="AJ75" s="356">
        <v>230</v>
      </c>
      <c r="AK75" s="186">
        <v>2093.4340177692948</v>
      </c>
      <c r="AL75" s="186">
        <v>2421.4591507712785</v>
      </c>
      <c r="AM75" s="186">
        <v>4105.264703279778</v>
      </c>
      <c r="AN75" s="186">
        <v>4915.886969693848</v>
      </c>
      <c r="AO75" s="357">
        <v>230</v>
      </c>
      <c r="AP75" s="358">
        <f t="shared" si="25"/>
        <v>4915.886969693848</v>
      </c>
      <c r="AQ75" s="114"/>
      <c r="AR75" s="114"/>
      <c r="AS75" s="114"/>
      <c r="AT75" s="356">
        <v>230</v>
      </c>
      <c r="AU75" s="186">
        <v>2093.4340177692948</v>
      </c>
      <c r="AV75" s="186">
        <v>2421.4591507712785</v>
      </c>
      <c r="AW75" s="186">
        <v>4105.264703279778</v>
      </c>
      <c r="AX75" s="186">
        <v>4915.886969693848</v>
      </c>
      <c r="AY75" s="357">
        <v>230</v>
      </c>
      <c r="AZ75" s="358">
        <f t="shared" si="30"/>
        <v>4915.886969693848</v>
      </c>
    </row>
    <row r="76" spans="1:52" ht="15.75">
      <c r="A76" s="220" t="s">
        <v>195</v>
      </c>
      <c r="B76" s="191">
        <f ca="1">IF(ISNA(INDEX($AO$8:$AP$87,MATCH(B75,$AO$8:$AO$87,0),1)),TREND(OFFSET(INDEX($AO$8:$AP$87,MATCH(B75,$AO$8:$AO$87,-1),2),0,0,2,1),OFFSET(INDEX($AO$8:$AP$87,MATCH(B75,$AO$8:$AO$87,-1),1),0,0,2,1),B75),INDEX($AO$8:$AP$87,MATCH(B75,$AO$8:$AO$87,0),2))</f>
        <v>9389.110436925643</v>
      </c>
      <c r="C76" s="191">
        <f ca="1">IF(ISNA(INDEX($AY$8:$AZ$87,MATCH(C75,$AY$8:$AY$87,0),1)),TREND(OFFSET(INDEX($AY$8:$AZ$87,MATCH(C75,$AY$8:$AY$87,-1),2),0,0,2,1),OFFSET(INDEX($AY$8:$AZ$87,MATCH(C75,$AY$8:$AY$87,-1),1),0,0,2,1),C75),INDEX($AY$8:$AZ$87,MATCH(C75,$AY$8:$AY$87,0),2))</f>
        <v>17530.29769928439</v>
      </c>
      <c r="D76" s="222">
        <f>SUMPRODUCT('Cost Effectiveness'!$I$1:$J$1,B76:C76)</f>
        <v>10610.288526279455</v>
      </c>
      <c r="E76"/>
      <c r="F76"/>
      <c r="G76"/>
      <c r="H76"/>
      <c r="I76" s="135"/>
      <c r="J76" s="135"/>
      <c r="K76" s="135"/>
      <c r="L76" s="135"/>
      <c r="M76" s="135"/>
      <c r="N76" s="135"/>
      <c r="O76" s="135"/>
      <c r="P76" s="135"/>
      <c r="Q76" s="135"/>
      <c r="R76"/>
      <c r="S76"/>
      <c r="T76"/>
      <c r="AC76"/>
      <c r="AD76"/>
      <c r="AH76"/>
      <c r="AJ76" s="356">
        <v>220</v>
      </c>
      <c r="AK76" s="186">
        <v>1859.1923787569892</v>
      </c>
      <c r="AL76" s="186">
        <v>2156.3829064457527</v>
      </c>
      <c r="AM76" s="186">
        <v>3725.164338484371</v>
      </c>
      <c r="AN76" s="186">
        <v>4474.001934230851</v>
      </c>
      <c r="AO76" s="357">
        <v>220</v>
      </c>
      <c r="AP76" s="358">
        <f t="shared" si="25"/>
        <v>4474.001934230851</v>
      </c>
      <c r="AQ76" s="114"/>
      <c r="AR76" s="114"/>
      <c r="AS76" s="114"/>
      <c r="AT76" s="356">
        <v>220</v>
      </c>
      <c r="AU76" s="186">
        <v>1859.1923787569892</v>
      </c>
      <c r="AV76" s="186">
        <v>2156.3829064457527</v>
      </c>
      <c r="AW76" s="186">
        <v>3725.164338484371</v>
      </c>
      <c r="AX76" s="186">
        <v>4474.001934230851</v>
      </c>
      <c r="AY76" s="357">
        <v>220</v>
      </c>
      <c r="AZ76" s="358">
        <f t="shared" si="30"/>
        <v>4474.001934230851</v>
      </c>
    </row>
    <row r="77" spans="1:52" ht="15.75">
      <c r="A77" s="223" t="s">
        <v>196</v>
      </c>
      <c r="B77" s="192">
        <f>B76/B67</f>
        <v>10.161374931737708</v>
      </c>
      <c r="C77" s="192">
        <f>C76/C67</f>
        <v>11.180036798013004</v>
      </c>
      <c r="D77" s="224">
        <f>SUMPRODUCT('Cost Effectiveness'!$I$1:$J$1,B77:C77)</f>
        <v>10.314174211679001</v>
      </c>
      <c r="E77"/>
      <c r="F77"/>
      <c r="G77"/>
      <c r="H77"/>
      <c r="I77" s="135"/>
      <c r="J77" s="135"/>
      <c r="K77" s="135"/>
      <c r="L77" s="135"/>
      <c r="M77" s="135"/>
      <c r="N77" s="135"/>
      <c r="O77" s="135"/>
      <c r="P77" s="135"/>
      <c r="Q77" s="135"/>
      <c r="S77"/>
      <c r="T77"/>
      <c r="AC77"/>
      <c r="AD77"/>
      <c r="AH77"/>
      <c r="AJ77" s="356">
        <v>210</v>
      </c>
      <c r="AK77" s="186">
        <v>1635.1141703574358</v>
      </c>
      <c r="AL77" s="186">
        <v>1900.4468723805683</v>
      </c>
      <c r="AM77" s="186">
        <v>3354.7689830576774</v>
      </c>
      <c r="AN77" s="186">
        <v>4044.232496032289</v>
      </c>
      <c r="AO77" s="357">
        <v>210</v>
      </c>
      <c r="AP77" s="358">
        <f t="shared" si="25"/>
        <v>4044.232496032289</v>
      </c>
      <c r="AQ77" s="114"/>
      <c r="AR77" s="114"/>
      <c r="AS77" s="114"/>
      <c r="AT77" s="356">
        <v>210</v>
      </c>
      <c r="AU77" s="186">
        <v>1635.1141703574358</v>
      </c>
      <c r="AV77" s="186">
        <v>1900.4468723805683</v>
      </c>
      <c r="AW77" s="186">
        <v>3354.7689830576774</v>
      </c>
      <c r="AX77" s="186">
        <v>4044.232496032289</v>
      </c>
      <c r="AY77" s="357">
        <v>210</v>
      </c>
      <c r="AZ77" s="358">
        <f t="shared" si="30"/>
        <v>4044.232496032289</v>
      </c>
    </row>
    <row r="78" spans="1:52" ht="16.5" thickBot="1">
      <c r="A78" s="225" t="s">
        <v>197</v>
      </c>
      <c r="B78" s="226">
        <f>(B75-B74)/B68</f>
        <v>0.08264464374561459</v>
      </c>
      <c r="C78" s="226">
        <f>(C75-C74)/C68</f>
        <v>0.0782860594881091</v>
      </c>
      <c r="D78" s="227">
        <f>SUMPRODUCT('Cost Effectiveness'!$I$1:$J$1,B78:C78)</f>
        <v>0.08199085610698875</v>
      </c>
      <c r="E78" s="132"/>
      <c r="F78"/>
      <c r="G78"/>
      <c r="H78"/>
      <c r="I78" s="133"/>
      <c r="J78" s="133"/>
      <c r="K78" s="133"/>
      <c r="L78" s="133"/>
      <c r="M78" s="133"/>
      <c r="N78" s="133"/>
      <c r="O78" s="133"/>
      <c r="P78" s="133"/>
      <c r="Q78" s="133"/>
      <c r="R78"/>
      <c r="S78"/>
      <c r="T78"/>
      <c r="AC78"/>
      <c r="AD78"/>
      <c r="AH78"/>
      <c r="AJ78" s="356">
        <v>200</v>
      </c>
      <c r="AK78" s="186">
        <v>1420.6131868773875</v>
      </c>
      <c r="AL78" s="186">
        <v>1653.8236500175635</v>
      </c>
      <c r="AM78" s="186">
        <v>2994.471448274276</v>
      </c>
      <c r="AN78" s="186">
        <v>3629.3282424716417</v>
      </c>
      <c r="AO78" s="357">
        <v>200</v>
      </c>
      <c r="AP78" s="358">
        <f t="shared" si="25"/>
        <v>3629.3282424716417</v>
      </c>
      <c r="AQ78" s="114"/>
      <c r="AR78" s="114"/>
      <c r="AS78" s="114"/>
      <c r="AT78" s="356">
        <v>200</v>
      </c>
      <c r="AU78" s="186">
        <v>1420.6131868773875</v>
      </c>
      <c r="AV78" s="186">
        <v>1653.8236500175635</v>
      </c>
      <c r="AW78" s="186">
        <v>2994.471448274276</v>
      </c>
      <c r="AX78" s="186">
        <v>3629.3282424716417</v>
      </c>
      <c r="AY78" s="357">
        <v>200</v>
      </c>
      <c r="AZ78" s="358">
        <f t="shared" si="30"/>
        <v>3629.3282424716417</v>
      </c>
    </row>
    <row r="79" spans="1:52" ht="15.75">
      <c r="A79" s="129"/>
      <c r="B79" s="130"/>
      <c r="C79" s="130"/>
      <c r="D79" s="130"/>
      <c r="E79" s="136"/>
      <c r="F79"/>
      <c r="G79"/>
      <c r="H79"/>
      <c r="R79"/>
      <c r="S79"/>
      <c r="T79"/>
      <c r="AC79"/>
      <c r="AD79"/>
      <c r="AH79"/>
      <c r="AJ79" s="356">
        <v>190</v>
      </c>
      <c r="AK79" s="186">
        <v>1213.7697736127984</v>
      </c>
      <c r="AL79" s="186">
        <v>1416.1579659762342</v>
      </c>
      <c r="AM79" s="186">
        <v>2646.5370395257364</v>
      </c>
      <c r="AN79" s="186">
        <v>3227.389215291447</v>
      </c>
      <c r="AO79" s="357">
        <v>190</v>
      </c>
      <c r="AP79" s="358">
        <f t="shared" si="25"/>
        <v>3227.389215291447</v>
      </c>
      <c r="AQ79" s="114"/>
      <c r="AR79" s="114"/>
      <c r="AS79" s="114"/>
      <c r="AT79" s="356">
        <v>190</v>
      </c>
      <c r="AU79" s="186">
        <v>1213.7697736127984</v>
      </c>
      <c r="AV79" s="186">
        <v>1416.1579659762342</v>
      </c>
      <c r="AW79" s="186">
        <v>2646.5370395257364</v>
      </c>
      <c r="AX79" s="186">
        <v>3227.389215291447</v>
      </c>
      <c r="AY79" s="357">
        <v>190</v>
      </c>
      <c r="AZ79" s="358">
        <f t="shared" si="30"/>
        <v>3227.389215291447</v>
      </c>
    </row>
    <row r="80" spans="1:52" ht="16.5" thickBot="1">
      <c r="A80" s="338" t="s">
        <v>299</v>
      </c>
      <c r="B80"/>
      <c r="C80"/>
      <c r="D80"/>
      <c r="E80"/>
      <c r="F80"/>
      <c r="G80"/>
      <c r="H80"/>
      <c r="I80" s="131"/>
      <c r="J80" s="131"/>
      <c r="K80" s="131"/>
      <c r="L80" s="131"/>
      <c r="M80" s="131"/>
      <c r="N80" s="131"/>
      <c r="O80" s="131"/>
      <c r="P80" s="131"/>
      <c r="Q80" s="131"/>
      <c r="R80"/>
      <c r="S80"/>
      <c r="T80"/>
      <c r="AC80"/>
      <c r="AD80"/>
      <c r="AH80"/>
      <c r="AJ80" s="356">
        <v>180</v>
      </c>
      <c r="AK80" s="186">
        <v>1016.5619772288385</v>
      </c>
      <c r="AL80" s="186">
        <v>1191.3099258119653</v>
      </c>
      <c r="AM80" s="186">
        <v>2314.48776258422</v>
      </c>
      <c r="AN80" s="186">
        <v>2840.882482082301</v>
      </c>
      <c r="AO80" s="357">
        <v>180</v>
      </c>
      <c r="AP80" s="358">
        <f t="shared" si="25"/>
        <v>2840.882482082301</v>
      </c>
      <c r="AQ80" s="114"/>
      <c r="AR80" s="114"/>
      <c r="AS80" s="114"/>
      <c r="AT80" s="356">
        <v>180</v>
      </c>
      <c r="AU80" s="186">
        <v>1016.5619772288385</v>
      </c>
      <c r="AV80" s="186">
        <v>1191.3099258119653</v>
      </c>
      <c r="AW80" s="186">
        <v>2314.48776258422</v>
      </c>
      <c r="AX80" s="186">
        <v>2840.882482082301</v>
      </c>
      <c r="AY80" s="357">
        <v>180</v>
      </c>
      <c r="AZ80" s="358">
        <f t="shared" si="30"/>
        <v>2840.882482082301</v>
      </c>
    </row>
    <row r="81" spans="1:52" ht="15">
      <c r="A81" s="327" t="s">
        <v>274</v>
      </c>
      <c r="B81" s="328">
        <f>'Cost Effectiveness'!B24</f>
        <v>320.2573634241245</v>
      </c>
      <c r="C81" s="328">
        <f>'Cost Effectiveness'!C24</f>
        <v>459.86391750972757</v>
      </c>
      <c r="D81" s="328">
        <f>SUMPRODUCT('Cost Effectiveness'!$I$1:$J$1,B81:C81)</f>
        <v>341.19834653696495</v>
      </c>
      <c r="E81"/>
      <c r="R81"/>
      <c r="S81"/>
      <c r="T81"/>
      <c r="AC81"/>
      <c r="AD81"/>
      <c r="AJ81" s="356">
        <v>170</v>
      </c>
      <c r="AK81" s="186">
        <v>833.443948136731</v>
      </c>
      <c r="AL81" s="186">
        <v>983.6454459947963</v>
      </c>
      <c r="AM81" s="186">
        <v>1997.7480167098158</v>
      </c>
      <c r="AN81" s="186">
        <v>2468.306466655595</v>
      </c>
      <c r="AO81" s="357">
        <v>170</v>
      </c>
      <c r="AP81" s="358">
        <f t="shared" si="25"/>
        <v>2468.306466655595</v>
      </c>
      <c r="AQ81" s="114"/>
      <c r="AR81" s="114"/>
      <c r="AS81" s="114"/>
      <c r="AT81" s="356">
        <v>170</v>
      </c>
      <c r="AU81" s="186">
        <v>833.443948136731</v>
      </c>
      <c r="AV81" s="186">
        <v>983.6454459947963</v>
      </c>
      <c r="AW81" s="186">
        <v>1997.7480167098158</v>
      </c>
      <c r="AX81" s="186">
        <v>2468.306466655595</v>
      </c>
      <c r="AY81" s="357">
        <v>170</v>
      </c>
      <c r="AZ81" s="358">
        <f t="shared" si="30"/>
        <v>2468.306466655595</v>
      </c>
    </row>
    <row r="82" spans="1:52" ht="15.75" thickBot="1">
      <c r="A82" s="329" t="s">
        <v>275</v>
      </c>
      <c r="B82" s="330">
        <f>K36</f>
        <v>50.991617127015736</v>
      </c>
      <c r="C82" s="330">
        <f>L36</f>
        <v>86.47575245759319</v>
      </c>
      <c r="D82" s="330">
        <f>SUMPRODUCT('Cost Effectiveness'!$I$1:$J$1,B82:C82)</f>
        <v>56.314237426602354</v>
      </c>
      <c r="E82"/>
      <c r="F82"/>
      <c r="G82"/>
      <c r="H82"/>
      <c r="I82"/>
      <c r="J82"/>
      <c r="K82"/>
      <c r="L82"/>
      <c r="M82"/>
      <c r="N82"/>
      <c r="O82"/>
      <c r="P82"/>
      <c r="Q82"/>
      <c r="R82"/>
      <c r="S82"/>
      <c r="T82"/>
      <c r="AC82"/>
      <c r="AD82"/>
      <c r="AJ82" s="356">
        <v>160</v>
      </c>
      <c r="AK82" s="186">
        <v>665.1887819183388</v>
      </c>
      <c r="AL82" s="186">
        <v>790.5150809204971</v>
      </c>
      <c r="AM82" s="186">
        <v>1695.7144077918276</v>
      </c>
      <c r="AN82" s="186">
        <v>2110.754476793507</v>
      </c>
      <c r="AO82" s="357">
        <v>160</v>
      </c>
      <c r="AP82" s="358">
        <f aca="true" t="shared" si="31" ref="AP82:AP87">SUMPRODUCT(AK$6:AN$6,AK82:AN82)</f>
        <v>2110.754476793507</v>
      </c>
      <c r="AQ82" s="114"/>
      <c r="AR82" s="114"/>
      <c r="AS82" s="114"/>
      <c r="AT82" s="356">
        <v>160</v>
      </c>
      <c r="AU82" s="186">
        <v>665.1887819183388</v>
      </c>
      <c r="AV82" s="186">
        <v>790.5150809204971</v>
      </c>
      <c r="AW82" s="186">
        <v>1695.7144077918276</v>
      </c>
      <c r="AX82" s="186">
        <v>2110.754476793507</v>
      </c>
      <c r="AY82" s="357">
        <v>160</v>
      </c>
      <c r="AZ82" s="358">
        <f t="shared" si="30"/>
        <v>2110.754476793507</v>
      </c>
    </row>
    <row r="83" spans="1:52" ht="15.75" thickBot="1">
      <c r="A83" s="265" t="s">
        <v>276</v>
      </c>
      <c r="B83" s="331">
        <f>B81+B82</f>
        <v>371.2489805511402</v>
      </c>
      <c r="C83" s="331">
        <f>C81+C82</f>
        <v>546.3396699673208</v>
      </c>
      <c r="D83" s="331">
        <f>SUMPRODUCT('Cost Effectiveness'!$I$1:$J$1,B83:C83)</f>
        <v>397.5125839635673</v>
      </c>
      <c r="E83"/>
      <c r="F83"/>
      <c r="G83"/>
      <c r="H83"/>
      <c r="I83"/>
      <c r="J83"/>
      <c r="K83"/>
      <c r="L83"/>
      <c r="M83"/>
      <c r="N83"/>
      <c r="O83"/>
      <c r="P83"/>
      <c r="Q83"/>
      <c r="R83"/>
      <c r="S83"/>
      <c r="T83"/>
      <c r="AC83"/>
      <c r="AD83"/>
      <c r="AJ83" s="356">
        <v>150</v>
      </c>
      <c r="AK83" s="186">
        <v>516.2101420053103</v>
      </c>
      <c r="AL83" s="186">
        <v>616.1046722826253</v>
      </c>
      <c r="AM83" s="186">
        <v>1409.8585554399324</v>
      </c>
      <c r="AN83" s="186">
        <v>1772.150576555811</v>
      </c>
      <c r="AO83" s="357">
        <v>150</v>
      </c>
      <c r="AP83" s="358">
        <f t="shared" si="31"/>
        <v>1772.150576555811</v>
      </c>
      <c r="AQ83" s="114"/>
      <c r="AR83" s="114"/>
      <c r="AS83" s="114"/>
      <c r="AT83" s="356">
        <v>150</v>
      </c>
      <c r="AU83" s="186">
        <v>516.2101420053103</v>
      </c>
      <c r="AV83" s="186">
        <v>616.1046722826253</v>
      </c>
      <c r="AW83" s="186">
        <v>1409.8585554399324</v>
      </c>
      <c r="AX83" s="186">
        <v>1772.150576555811</v>
      </c>
      <c r="AY83" s="357">
        <v>150</v>
      </c>
      <c r="AZ83" s="358">
        <f t="shared" si="30"/>
        <v>1772.150576555811</v>
      </c>
    </row>
    <row r="84" spans="1:52" ht="15">
      <c r="A84" s="120"/>
      <c r="B84" s="121"/>
      <c r="C84" s="121"/>
      <c r="E84"/>
      <c r="F84"/>
      <c r="G84"/>
      <c r="H84"/>
      <c r="I84"/>
      <c r="J84"/>
      <c r="K84"/>
      <c r="L84"/>
      <c r="M84"/>
      <c r="N84"/>
      <c r="O84"/>
      <c r="P84"/>
      <c r="Q84"/>
      <c r="R84"/>
      <c r="S84"/>
      <c r="T84"/>
      <c r="AC84"/>
      <c r="AD84"/>
      <c r="AJ84" s="356">
        <v>140</v>
      </c>
      <c r="AK84" s="186">
        <v>386.20592015627244</v>
      </c>
      <c r="AL84" s="186">
        <v>459.85262546869944</v>
      </c>
      <c r="AM84" s="186">
        <v>1144.5225144831923</v>
      </c>
      <c r="AN84" s="186">
        <v>1454.6943231641608</v>
      </c>
      <c r="AO84" s="357">
        <v>140</v>
      </c>
      <c r="AP84" s="358">
        <f t="shared" si="31"/>
        <v>1454.6943231641608</v>
      </c>
      <c r="AQ84" s="114"/>
      <c r="AR84" s="114"/>
      <c r="AS84" s="114"/>
      <c r="AT84" s="356">
        <v>140</v>
      </c>
      <c r="AU84" s="186">
        <v>386.20592015627244</v>
      </c>
      <c r="AV84" s="186">
        <v>459.85262546869944</v>
      </c>
      <c r="AW84" s="186">
        <v>1144.5225144831923</v>
      </c>
      <c r="AX84" s="186">
        <v>1454.6943231641608</v>
      </c>
      <c r="AY84" s="357">
        <v>140</v>
      </c>
      <c r="AZ84" s="358">
        <f t="shared" si="30"/>
        <v>1454.6943231641608</v>
      </c>
    </row>
    <row r="85" spans="1:52" ht="15.75" thickBot="1">
      <c r="A85" s="120"/>
      <c r="B85" s="121"/>
      <c r="C85" s="121"/>
      <c r="E85"/>
      <c r="F85"/>
      <c r="G85"/>
      <c r="H85"/>
      <c r="I85"/>
      <c r="J85"/>
      <c r="K85"/>
      <c r="L85"/>
      <c r="M85"/>
      <c r="N85"/>
      <c r="O85"/>
      <c r="P85"/>
      <c r="Q85"/>
      <c r="R85"/>
      <c r="S85"/>
      <c r="T85"/>
      <c r="AC85"/>
      <c r="AD85"/>
      <c r="AJ85" s="356">
        <v>130</v>
      </c>
      <c r="AK85" s="186">
        <v>271.7167562171124</v>
      </c>
      <c r="AL85" s="186">
        <v>320.6283641700736</v>
      </c>
      <c r="AM85" s="186">
        <v>901.958190563311</v>
      </c>
      <c r="AN85" s="186">
        <v>1158.8274412625299</v>
      </c>
      <c r="AO85" s="357">
        <v>130</v>
      </c>
      <c r="AP85" s="358">
        <f t="shared" si="31"/>
        <v>1158.8274412625299</v>
      </c>
      <c r="AQ85" s="114"/>
      <c r="AR85" s="114"/>
      <c r="AS85" s="114"/>
      <c r="AT85" s="356">
        <v>130</v>
      </c>
      <c r="AU85" s="186">
        <v>271.7167562171124</v>
      </c>
      <c r="AV85" s="186">
        <v>320.6283641700736</v>
      </c>
      <c r="AW85" s="186">
        <v>901.958190563311</v>
      </c>
      <c r="AX85" s="186">
        <v>1158.8274412625299</v>
      </c>
      <c r="AY85" s="357">
        <v>130</v>
      </c>
      <c r="AZ85" s="358">
        <f t="shared" si="30"/>
        <v>1158.8274412625299</v>
      </c>
    </row>
    <row r="86" spans="1:52" ht="15.75" thickBot="1">
      <c r="A86" s="5"/>
      <c r="B86" s="5"/>
      <c r="C86" s="444" t="s">
        <v>218</v>
      </c>
      <c r="D86" s="445"/>
      <c r="E86" s="446"/>
      <c r="F86"/>
      <c r="G86"/>
      <c r="H86"/>
      <c r="I86"/>
      <c r="J86"/>
      <c r="K86"/>
      <c r="L86"/>
      <c r="M86"/>
      <c r="N86"/>
      <c r="O86"/>
      <c r="P86"/>
      <c r="Q86"/>
      <c r="S86"/>
      <c r="T86"/>
      <c r="AC86"/>
      <c r="AD86"/>
      <c r="AJ86" s="356">
        <v>120</v>
      </c>
      <c r="AK86" s="186">
        <v>177.29816680584653</v>
      </c>
      <c r="AL86" s="186">
        <v>209.05306235316232</v>
      </c>
      <c r="AM86" s="186">
        <v>686.37777605313</v>
      </c>
      <c r="AN86" s="186">
        <v>886.6159940905114</v>
      </c>
      <c r="AO86" s="357">
        <v>120</v>
      </c>
      <c r="AP86" s="358">
        <f t="shared" si="31"/>
        <v>886.6159940905114</v>
      </c>
      <c r="AQ86" s="114"/>
      <c r="AR86" s="114"/>
      <c r="AS86" s="114"/>
      <c r="AT86" s="356">
        <v>120</v>
      </c>
      <c r="AU86" s="186">
        <v>177.29816680584653</v>
      </c>
      <c r="AV86" s="186">
        <v>209.05306235316232</v>
      </c>
      <c r="AW86" s="186">
        <v>686.37777605313</v>
      </c>
      <c r="AX86" s="186">
        <v>886.6159940905114</v>
      </c>
      <c r="AY86" s="357">
        <v>120</v>
      </c>
      <c r="AZ86" s="358">
        <f t="shared" si="30"/>
        <v>886.6159940905114</v>
      </c>
    </row>
    <row r="87" spans="1:52" ht="52.5" thickBot="1">
      <c r="A87" s="240" t="s">
        <v>230</v>
      </c>
      <c r="B87" s="344" t="s">
        <v>237</v>
      </c>
      <c r="C87" s="376">
        <v>924</v>
      </c>
      <c r="D87" s="213">
        <v>1568</v>
      </c>
      <c r="E87" s="214">
        <f>SUMPRODUCT('Cost Effectiveness'!$I$1:$J$1,C87:D87)</f>
        <v>1020.5999999999999</v>
      </c>
      <c r="F87"/>
      <c r="G87"/>
      <c r="H87"/>
      <c r="I87"/>
      <c r="J87"/>
      <c r="K87"/>
      <c r="L87"/>
      <c r="M87"/>
      <c r="N87"/>
      <c r="O87"/>
      <c r="P87"/>
      <c r="Q87"/>
      <c r="S87"/>
      <c r="T87"/>
      <c r="AC87"/>
      <c r="AD87"/>
      <c r="AJ87" s="356">
        <v>110</v>
      </c>
      <c r="AK87" s="186">
        <v>103.39148708317605</v>
      </c>
      <c r="AL87" s="186">
        <v>123.02452304077283</v>
      </c>
      <c r="AM87" s="186">
        <v>498.26994847550577</v>
      </c>
      <c r="AN87" s="186">
        <v>648.5778586132192</v>
      </c>
      <c r="AO87" s="357">
        <v>110</v>
      </c>
      <c r="AP87" s="358">
        <f t="shared" si="31"/>
        <v>648.5778586132192</v>
      </c>
      <c r="AQ87" s="114"/>
      <c r="AR87" s="114"/>
      <c r="AS87" s="114"/>
      <c r="AT87" s="356">
        <v>110</v>
      </c>
      <c r="AU87" s="186">
        <v>103.39148708317605</v>
      </c>
      <c r="AV87" s="186">
        <v>123.02452304077283</v>
      </c>
      <c r="AW87" s="186">
        <v>498.26994847550577</v>
      </c>
      <c r="AX87" s="186">
        <v>648.5778586132192</v>
      </c>
      <c r="AY87" s="357">
        <v>110</v>
      </c>
      <c r="AZ87" s="358">
        <f t="shared" si="30"/>
        <v>648.5778586132192</v>
      </c>
    </row>
    <row r="88" spans="1:42" ht="15">
      <c r="A88" s="354" t="s">
        <v>294</v>
      </c>
      <c r="B88" s="377">
        <f aca="true" t="shared" si="32" ref="B88:B93">B30</f>
        <v>0.03651347118538789</v>
      </c>
      <c r="C88" s="345">
        <f aca="true" t="shared" si="33" ref="C88:C93">VLOOKUP($A88,$A$5:$K$25,10,0)</f>
        <v>1006.6708580768181</v>
      </c>
      <c r="D88" s="345">
        <f aca="true" t="shared" si="34" ref="D88:D93">VLOOKUP($A88,$A$5:$K$25,11,0)</f>
        <v>1708.2899409788429</v>
      </c>
      <c r="E88" s="311">
        <f>SUMPRODUCT('Cost Effectiveness'!$I$1:$J$1,C88:D88)</f>
        <v>1111.913720512122</v>
      </c>
      <c r="F88"/>
      <c r="G88"/>
      <c r="H88"/>
      <c r="I88"/>
      <c r="J88"/>
      <c r="K88"/>
      <c r="L88"/>
      <c r="M88"/>
      <c r="N88"/>
      <c r="O88"/>
      <c r="P88"/>
      <c r="Q88"/>
      <c r="S88"/>
      <c r="T88"/>
      <c r="AC88"/>
      <c r="AD88"/>
      <c r="AO88"/>
      <c r="AP88"/>
    </row>
    <row r="89" spans="1:30" ht="15">
      <c r="A89" s="189" t="s">
        <v>247</v>
      </c>
      <c r="B89" s="377">
        <f t="shared" si="32"/>
        <v>0.15650566261426155</v>
      </c>
      <c r="C89" s="345">
        <f t="shared" si="33"/>
        <v>1006.6708580768181</v>
      </c>
      <c r="D89" s="345">
        <f t="shared" si="34"/>
        <v>1708.2899409788429</v>
      </c>
      <c r="E89" s="311">
        <f>SUMPRODUCT('Cost Effectiveness'!$I$1:$J$1,C89:D89)</f>
        <v>1111.913720512122</v>
      </c>
      <c r="F89"/>
      <c r="G89"/>
      <c r="H89"/>
      <c r="I89"/>
      <c r="J89"/>
      <c r="K89"/>
      <c r="L89"/>
      <c r="M89"/>
      <c r="N89"/>
      <c r="O89"/>
      <c r="P89"/>
      <c r="Q89"/>
      <c r="S89"/>
      <c r="T89"/>
      <c r="AC89"/>
      <c r="AD89"/>
    </row>
    <row r="90" spans="1:30" ht="15">
      <c r="A90" s="189" t="s">
        <v>291</v>
      </c>
      <c r="B90" s="377">
        <f t="shared" si="32"/>
        <v>0.4011377893920688</v>
      </c>
      <c r="C90" s="345">
        <f t="shared" si="33"/>
        <v>1229.3856496867338</v>
      </c>
      <c r="D90" s="345">
        <f t="shared" si="34"/>
        <v>2086.230193407791</v>
      </c>
      <c r="E90" s="311">
        <f>SUMPRODUCT('Cost Effectiveness'!$I$1:$J$1,C90:D90)</f>
        <v>1357.9123312448924</v>
      </c>
      <c r="F90"/>
      <c r="G90"/>
      <c r="H90"/>
      <c r="I90"/>
      <c r="J90"/>
      <c r="K90"/>
      <c r="L90"/>
      <c r="M90"/>
      <c r="N90"/>
      <c r="O90"/>
      <c r="P90"/>
      <c r="Q90"/>
      <c r="S90"/>
      <c r="T90"/>
      <c r="AC90"/>
      <c r="AD90"/>
    </row>
    <row r="91" spans="1:30" ht="15">
      <c r="A91" s="189" t="s">
        <v>245</v>
      </c>
      <c r="B91" s="377">
        <f t="shared" si="32"/>
        <v>0.21804648954411188</v>
      </c>
      <c r="C91" s="345">
        <f t="shared" si="33"/>
        <v>142.53746663034602</v>
      </c>
      <c r="D91" s="345">
        <f t="shared" si="34"/>
        <v>241.88176155452655</v>
      </c>
      <c r="E91" s="311">
        <f>SUMPRODUCT('Cost Effectiveness'!$I$1:$J$1,C91:D91)</f>
        <v>157.4391108689731</v>
      </c>
      <c r="F91"/>
      <c r="G91"/>
      <c r="H91"/>
      <c r="I91"/>
      <c r="J91"/>
      <c r="S91"/>
      <c r="T91"/>
      <c r="AC91"/>
      <c r="AD91"/>
    </row>
    <row r="92" spans="1:30" ht="15">
      <c r="A92" s="190" t="s">
        <v>216</v>
      </c>
      <c r="B92" s="377">
        <f t="shared" si="32"/>
        <v>0.008509571958593616</v>
      </c>
      <c r="C92" s="345">
        <f t="shared" si="33"/>
        <v>530.376</v>
      </c>
      <c r="D92" s="345">
        <f t="shared" si="34"/>
        <v>900.032</v>
      </c>
      <c r="E92" s="311">
        <f>SUMPRODUCT('Cost Effectiveness'!$I$1:$J$1,C92:D92)</f>
        <v>585.8244</v>
      </c>
      <c r="F92"/>
      <c r="G92"/>
      <c r="H92"/>
      <c r="I92"/>
      <c r="K92"/>
      <c r="L92"/>
      <c r="M92"/>
      <c r="N92"/>
      <c r="O92"/>
      <c r="P92"/>
      <c r="Q92"/>
      <c r="S92"/>
      <c r="T92"/>
      <c r="AC92"/>
      <c r="AD92"/>
    </row>
    <row r="93" spans="1:30" ht="15.75" thickBot="1">
      <c r="A93" s="189" t="s">
        <v>232</v>
      </c>
      <c r="B93" s="377">
        <f t="shared" si="32"/>
        <v>0.17928701530557628</v>
      </c>
      <c r="C93" s="345">
        <f t="shared" si="33"/>
        <v>1857.16</v>
      </c>
      <c r="D93" s="345">
        <f t="shared" si="34"/>
        <v>3137.9600000000005</v>
      </c>
      <c r="E93" s="311">
        <f>SUMPRODUCT('Cost Effectiveness'!$I$1:$J$1,C93:D93)</f>
        <v>2049.28</v>
      </c>
      <c r="F93"/>
      <c r="G93"/>
      <c r="H93"/>
      <c r="I93"/>
      <c r="K93"/>
      <c r="L93"/>
      <c r="M93"/>
      <c r="N93"/>
      <c r="O93"/>
      <c r="P93"/>
      <c r="Q93"/>
      <c r="S93"/>
      <c r="T93"/>
      <c r="AC93"/>
      <c r="AD93"/>
    </row>
    <row r="94" spans="1:30" ht="15.75" thickBot="1">
      <c r="A94" s="199" t="s">
        <v>292</v>
      </c>
      <c r="B94" s="346">
        <f>SUM(B88:B93)</f>
        <v>1</v>
      </c>
      <c r="C94" s="347">
        <f>SUMPRODUCT($B$88:$B$93,C88:C93)</f>
        <v>1056.0175191822789</v>
      </c>
      <c r="D94" s="347">
        <f>SUMPRODUCT($B$88:$B$93,D88:D93)</f>
        <v>1789.5942512420133</v>
      </c>
      <c r="E94" s="347">
        <f>SUMPRODUCT($B$88:$B$93,E88:E93)</f>
        <v>1166.0540289912392</v>
      </c>
      <c r="F94"/>
      <c r="G94"/>
      <c r="H94"/>
      <c r="I94"/>
      <c r="K94"/>
      <c r="L94"/>
      <c r="M94"/>
      <c r="N94"/>
      <c r="O94"/>
      <c r="P94"/>
      <c r="Q94"/>
      <c r="S94"/>
      <c r="T94"/>
      <c r="AC94"/>
      <c r="AD94"/>
    </row>
    <row r="95" spans="1:30" ht="15.75" thickBot="1">
      <c r="A95" s="5"/>
      <c r="B95" s="5"/>
      <c r="C95" s="444" t="s">
        <v>280</v>
      </c>
      <c r="D95" s="445"/>
      <c r="E95" s="446"/>
      <c r="F95"/>
      <c r="G95"/>
      <c r="H95"/>
      <c r="I95"/>
      <c r="J95" s="110"/>
      <c r="K95"/>
      <c r="L95"/>
      <c r="M95"/>
      <c r="N95"/>
      <c r="O95"/>
      <c r="P95"/>
      <c r="Q95"/>
      <c r="S95"/>
      <c r="T95"/>
      <c r="AC95"/>
      <c r="AD95"/>
    </row>
    <row r="96" spans="1:30" ht="16.5" thickBot="1">
      <c r="A96" s="5"/>
      <c r="B96" s="5"/>
      <c r="C96" s="376">
        <v>924</v>
      </c>
      <c r="D96" s="213">
        <v>1568</v>
      </c>
      <c r="E96" s="214">
        <f>SUMPRODUCT('Cost Effectiveness'!$I$1:$J$1,C96:D96)</f>
        <v>1020.5999999999999</v>
      </c>
      <c r="F96"/>
      <c r="G96"/>
      <c r="H96"/>
      <c r="I96"/>
      <c r="J96" s="110"/>
      <c r="K96"/>
      <c r="L96"/>
      <c r="M96"/>
      <c r="N96"/>
      <c r="O96"/>
      <c r="P96"/>
      <c r="Q96"/>
      <c r="S96"/>
      <c r="T96"/>
      <c r="AC96"/>
      <c r="AD96"/>
    </row>
    <row r="97" spans="1:30" ht="15">
      <c r="A97" s="5"/>
      <c r="B97" s="5"/>
      <c r="C97" s="310">
        <v>1822.040918163908</v>
      </c>
      <c r="D97" s="237">
        <v>3540.6668532969234</v>
      </c>
      <c r="E97" s="239">
        <f>SUMPRODUCT('Cost Effectiveness'!$I$1:$J$1,C97:D97)</f>
        <v>2079.83480843386</v>
      </c>
      <c r="F97"/>
      <c r="G97"/>
      <c r="H97"/>
      <c r="I97"/>
      <c r="J97"/>
      <c r="K97"/>
      <c r="L97"/>
      <c r="M97"/>
      <c r="N97"/>
      <c r="O97"/>
      <c r="P97"/>
      <c r="Q97"/>
      <c r="S97"/>
      <c r="T97"/>
      <c r="AC97"/>
      <c r="AD97"/>
    </row>
    <row r="98" spans="1:30" ht="15">
      <c r="A98" s="5"/>
      <c r="B98" s="5"/>
      <c r="C98" s="310">
        <v>753.6464377550928</v>
      </c>
      <c r="D98" s="237">
        <v>1539.7295739615856</v>
      </c>
      <c r="E98" s="232">
        <f>SUMPRODUCT('Cost Effectiveness'!$I$1:$J$1,C98:D98)</f>
        <v>871.5589081860668</v>
      </c>
      <c r="F98"/>
      <c r="H98" s="128"/>
      <c r="J98"/>
      <c r="K98"/>
      <c r="L98"/>
      <c r="M98"/>
      <c r="N98"/>
      <c r="O98"/>
      <c r="P98"/>
      <c r="Q98"/>
      <c r="S98"/>
      <c r="T98"/>
      <c r="AC98"/>
      <c r="AD98"/>
    </row>
    <row r="99" spans="1:30" ht="15">
      <c r="A99" s="5"/>
      <c r="B99" s="5"/>
      <c r="C99" s="310">
        <v>1583.19771237834</v>
      </c>
      <c r="D99" s="237">
        <v>3197.352210936544</v>
      </c>
      <c r="E99" s="232">
        <f>SUMPRODUCT('Cost Effectiveness'!$I$1:$J$1,C99:D99)</f>
        <v>1825.3208871620704</v>
      </c>
      <c r="F99"/>
      <c r="G99"/>
      <c r="H99"/>
      <c r="J99"/>
      <c r="K99"/>
      <c r="L99"/>
      <c r="M99"/>
      <c r="N99"/>
      <c r="O99"/>
      <c r="P99"/>
      <c r="Q99"/>
      <c r="S99"/>
      <c r="T99"/>
      <c r="AC99"/>
      <c r="AD99"/>
    </row>
    <row r="100" spans="1:30" ht="15">
      <c r="A100" s="5"/>
      <c r="B100" s="5"/>
      <c r="C100" s="310">
        <v>123.60278170520996</v>
      </c>
      <c r="D100" s="237">
        <v>252.24414559862635</v>
      </c>
      <c r="E100" s="232">
        <f>SUMPRODUCT('Cost Effectiveness'!$I$1:$J$1,C100:D100)</f>
        <v>142.89898628922242</v>
      </c>
      <c r="F100"/>
      <c r="G100"/>
      <c r="H100"/>
      <c r="J100"/>
      <c r="S100"/>
      <c r="T100"/>
      <c r="AC100"/>
      <c r="AD100"/>
    </row>
    <row r="101" spans="1:30" ht="15">
      <c r="A101" s="5"/>
      <c r="B101" s="5"/>
      <c r="C101" s="310">
        <v>465.0970744944116</v>
      </c>
      <c r="D101" s="237">
        <v>942.1412529342197</v>
      </c>
      <c r="E101" s="232">
        <f>SUMPRODUCT('Cost Effectiveness'!$I$1:$J$1,C101:D101)</f>
        <v>536.6537012603827</v>
      </c>
      <c r="F101"/>
      <c r="G101"/>
      <c r="H101"/>
      <c r="I101" s="110"/>
      <c r="J101"/>
      <c r="S101"/>
      <c r="T101"/>
      <c r="AC101"/>
      <c r="AD101"/>
    </row>
    <row r="102" spans="1:30" ht="15.75" thickBot="1">
      <c r="A102" s="5"/>
      <c r="B102" s="5"/>
      <c r="C102" s="310">
        <v>3729.5352800354594</v>
      </c>
      <c r="D102" s="237">
        <v>7066.977328814224</v>
      </c>
      <c r="E102" s="351">
        <f>SUMPRODUCT('Cost Effectiveness'!$I$1:$J$1,C102:D102)</f>
        <v>4230.151587352274</v>
      </c>
      <c r="F102"/>
      <c r="G102"/>
      <c r="H102"/>
      <c r="I102"/>
      <c r="J102"/>
      <c r="S102"/>
      <c r="T102"/>
      <c r="AC102"/>
      <c r="AD102"/>
    </row>
    <row r="103" spans="1:30" ht="15.75" thickBot="1">
      <c r="A103" s="5"/>
      <c r="B103" s="5"/>
      <c r="C103" s="352">
        <f>SUMPRODUCT($B$88:$B$93,C97:C102)</f>
        <v>1519.1255827019959</v>
      </c>
      <c r="D103" s="202">
        <f>SUMPRODUCT($B$88:$B$93,D97:D102)</f>
        <v>2982.8726739055905</v>
      </c>
      <c r="E103" s="204">
        <f>SUMPRODUCT($B$88:$B$93,E97:E102)</f>
        <v>1738.6876463825347</v>
      </c>
      <c r="F103"/>
      <c r="G103"/>
      <c r="H103"/>
      <c r="I103"/>
      <c r="K103" s="110"/>
      <c r="L103" s="110"/>
      <c r="M103" s="110"/>
      <c r="N103" s="110"/>
      <c r="O103" s="110"/>
      <c r="P103" s="110"/>
      <c r="AC103"/>
      <c r="AD103"/>
    </row>
    <row r="104" spans="1:30" ht="15.75" thickBot="1">
      <c r="A104" s="5"/>
      <c r="B104" s="5"/>
      <c r="C104" s="444" t="s">
        <v>281</v>
      </c>
      <c r="D104" s="445"/>
      <c r="E104" s="446"/>
      <c r="F104"/>
      <c r="G104"/>
      <c r="H104"/>
      <c r="I104"/>
      <c r="K104" s="110"/>
      <c r="L104" s="110"/>
      <c r="M104" s="110"/>
      <c r="N104" s="110"/>
      <c r="O104" s="110"/>
      <c r="P104" s="110"/>
      <c r="AC104"/>
      <c r="AD104"/>
    </row>
    <row r="105" spans="1:30" ht="16.5" thickBot="1">
      <c r="A105" s="5"/>
      <c r="B105" s="5"/>
      <c r="C105" s="376">
        <v>924</v>
      </c>
      <c r="D105" s="213">
        <v>1568</v>
      </c>
      <c r="E105" s="214">
        <f>SUMPRODUCT('Cost Effectiveness'!$I$1:$J$1,C105:D105)</f>
        <v>1020.5999999999999</v>
      </c>
      <c r="F105"/>
      <c r="G105"/>
      <c r="H105"/>
      <c r="I105"/>
      <c r="K105"/>
      <c r="L105"/>
      <c r="M105"/>
      <c r="N105"/>
      <c r="O105"/>
      <c r="P105"/>
      <c r="AC105"/>
      <c r="AD105"/>
    </row>
    <row r="106" spans="1:30" ht="15">
      <c r="A106" s="5"/>
      <c r="B106" s="5"/>
      <c r="C106" s="310">
        <v>2349.3242813440975</v>
      </c>
      <c r="D106" s="237">
        <v>4507.54372150969</v>
      </c>
      <c r="E106" s="239">
        <f>SUMPRODUCT('Cost Effectiveness'!$I$1:$J$1,C106:D106)</f>
        <v>2673.057197368936</v>
      </c>
      <c r="F106"/>
      <c r="G106"/>
      <c r="H106"/>
      <c r="I106"/>
      <c r="K106"/>
      <c r="L106"/>
      <c r="M106"/>
      <c r="N106"/>
      <c r="O106"/>
      <c r="P106"/>
      <c r="AC106"/>
      <c r="AD106"/>
    </row>
    <row r="107" spans="1:30" ht="15">
      <c r="A107" s="5"/>
      <c r="B107" s="5"/>
      <c r="C107" s="348">
        <v>1008.6357774251401</v>
      </c>
      <c r="D107" s="195">
        <v>1990.0065252096338</v>
      </c>
      <c r="E107" s="232">
        <f>SUMPRODUCT('Cost Effectiveness'!$I$1:$J$1,C107:D107)</f>
        <v>1155.841389592814</v>
      </c>
      <c r="F107"/>
      <c r="G107"/>
      <c r="H107"/>
      <c r="I107"/>
      <c r="K107"/>
      <c r="L107"/>
      <c r="M107"/>
      <c r="N107"/>
      <c r="O107"/>
      <c r="P107"/>
      <c r="AC107"/>
      <c r="AD107"/>
    </row>
    <row r="108" spans="1:30" ht="15">
      <c r="A108" s="5"/>
      <c r="B108" s="5"/>
      <c r="C108" s="348">
        <v>2078.9777864225</v>
      </c>
      <c r="D108" s="195">
        <v>4102.623877759015</v>
      </c>
      <c r="E108" s="232">
        <f>SUMPRODUCT('Cost Effectiveness'!$I$1:$J$1,C108:D108)</f>
        <v>2382.5247001229773</v>
      </c>
      <c r="F108"/>
      <c r="G108"/>
      <c r="H108"/>
      <c r="I108"/>
      <c r="K108"/>
      <c r="L108"/>
      <c r="M108"/>
      <c r="N108"/>
      <c r="O108"/>
      <c r="P108"/>
      <c r="AC108"/>
      <c r="AD108"/>
    </row>
    <row r="109" spans="1:30" ht="15">
      <c r="A109" s="5"/>
      <c r="B109" s="5"/>
      <c r="C109" s="348">
        <v>164.3966975309604</v>
      </c>
      <c r="D109" s="195">
        <v>324.96804017555405</v>
      </c>
      <c r="E109" s="232">
        <f>SUMPRODUCT('Cost Effectiveness'!$I$1:$J$1,C109:D109)</f>
        <v>188.48239892764946</v>
      </c>
      <c r="F109"/>
      <c r="G109"/>
      <c r="H109"/>
      <c r="I109" s="110"/>
      <c r="K109"/>
      <c r="L109"/>
      <c r="M109"/>
      <c r="N109"/>
      <c r="O109"/>
      <c r="P109"/>
      <c r="AC109"/>
      <c r="AD109"/>
    </row>
    <row r="110" spans="1:30" ht="15">
      <c r="A110" s="5"/>
      <c r="B110" s="5"/>
      <c r="C110" s="348">
        <v>615.7135591830547</v>
      </c>
      <c r="D110" s="195">
        <v>1214.001835335448</v>
      </c>
      <c r="E110" s="232">
        <f>SUMPRODUCT('Cost Effectiveness'!$I$1:$J$1,C110:D110)</f>
        <v>705.4568006059137</v>
      </c>
      <c r="F110"/>
      <c r="G110"/>
      <c r="H110"/>
      <c r="K110"/>
      <c r="L110"/>
      <c r="M110"/>
      <c r="N110"/>
      <c r="O110"/>
      <c r="P110"/>
      <c r="AC110"/>
      <c r="AD110"/>
    </row>
    <row r="111" spans="1:30" ht="15.75" thickBot="1">
      <c r="A111" s="5"/>
      <c r="B111" s="5"/>
      <c r="C111" s="349">
        <v>4784.049858634062</v>
      </c>
      <c r="D111" s="350">
        <v>8961.098380187083</v>
      </c>
      <c r="E111" s="351">
        <f>SUMPRODUCT('Cost Effectiveness'!$I$1:$J$1,C111:D111)</f>
        <v>5410.607136867015</v>
      </c>
      <c r="F111"/>
      <c r="G111"/>
      <c r="H111"/>
      <c r="AC111"/>
      <c r="AD111"/>
    </row>
    <row r="112" spans="1:8" ht="15.75" thickBot="1">
      <c r="A112" s="5"/>
      <c r="B112" s="5"/>
      <c r="C112" s="352">
        <f>SUMPRODUCT($B$88:$B$93,C106:C111)</f>
        <v>1976.3993504296864</v>
      </c>
      <c r="D112" s="202">
        <f>SUMPRODUCT($B$88:$B$93,D106:D111)</f>
        <v>3809.548189451564</v>
      </c>
      <c r="E112" s="204">
        <f>SUMPRODUCT($B$88:$B$93,E106:E111)</f>
        <v>2251.371676282968</v>
      </c>
      <c r="F112"/>
      <c r="G112"/>
      <c r="H112"/>
    </row>
    <row r="113" spans="1:6" ht="15.75" thickBot="1">
      <c r="A113" s="5"/>
      <c r="B113" s="5"/>
      <c r="C113" s="444" t="s">
        <v>282</v>
      </c>
      <c r="D113" s="445"/>
      <c r="E113" s="446"/>
      <c r="F113"/>
    </row>
    <row r="114" spans="1:6" ht="16.5" thickBot="1">
      <c r="A114" s="5"/>
      <c r="B114" s="5"/>
      <c r="C114" s="376">
        <v>924</v>
      </c>
      <c r="D114" s="213">
        <v>1568</v>
      </c>
      <c r="E114" s="214">
        <f>SUMPRODUCT('Cost Effectiveness'!$I$1:$J$1,C114:D114)</f>
        <v>1020.5999999999999</v>
      </c>
      <c r="F114"/>
    </row>
    <row r="115" spans="1:7" ht="15">
      <c r="A115" s="5"/>
      <c r="B115" s="5"/>
      <c r="C115" s="310">
        <v>2780.7931140252476</v>
      </c>
      <c r="D115" s="237">
        <v>5262.205647334613</v>
      </c>
      <c r="E115" s="239">
        <f>SUMPRODUCT('Cost Effectiveness'!$I$1:$J$1,C115:D115)</f>
        <v>3153.0049940216522</v>
      </c>
      <c r="F115"/>
      <c r="G115" s="139"/>
    </row>
    <row r="116" spans="1:8" ht="15">
      <c r="A116" s="5"/>
      <c r="B116" s="5"/>
      <c r="C116" s="348">
        <v>1191.1098474472292</v>
      </c>
      <c r="D116" s="195">
        <v>2359.640339073576</v>
      </c>
      <c r="E116" s="232">
        <f>SUMPRODUCT('Cost Effectiveness'!$I$1:$J$1,C116:D116)</f>
        <v>1366.389421191181</v>
      </c>
      <c r="F116"/>
      <c r="G116" s="112"/>
      <c r="H116" s="112"/>
    </row>
    <row r="117" spans="1:8" ht="15.75">
      <c r="A117" s="5"/>
      <c r="B117" s="5"/>
      <c r="C117" s="348">
        <v>2467.131160337998</v>
      </c>
      <c r="D117" s="195">
        <v>4823.85104510708</v>
      </c>
      <c r="E117" s="232">
        <f>SUMPRODUCT('Cost Effectiveness'!$I$1:$J$1,C117:D117)</f>
        <v>2820.6391430533604</v>
      </c>
      <c r="F117"/>
      <c r="G117" s="140"/>
      <c r="H117" s="138"/>
    </row>
    <row r="118" spans="1:8" ht="15.75">
      <c r="A118" s="5"/>
      <c r="B118" s="5"/>
      <c r="C118" s="348">
        <v>194.31115746888827</v>
      </c>
      <c r="D118" s="195">
        <v>384.82114898995496</v>
      </c>
      <c r="E118" s="232">
        <f>SUMPRODUCT('Cost Effectiveness'!$I$1:$J$1,C118:D118)</f>
        <v>222.88765619704827</v>
      </c>
      <c r="F118"/>
      <c r="G118" s="141"/>
      <c r="H118" s="141"/>
    </row>
    <row r="119" spans="1:8" ht="15.75">
      <c r="A119" s="5"/>
      <c r="B119" s="5"/>
      <c r="C119" s="348">
        <v>728.5233757133101</v>
      </c>
      <c r="D119" s="195">
        <v>1435.3101684643043</v>
      </c>
      <c r="E119" s="232">
        <f>SUMPRODUCT('Cost Effectiveness'!$I$1:$J$1,C119:D119)</f>
        <v>834.5413946259591</v>
      </c>
      <c r="F119"/>
      <c r="G119" s="141"/>
      <c r="H119" s="141"/>
    </row>
    <row r="120" spans="1:8" ht="16.5" thickBot="1">
      <c r="A120" s="5"/>
      <c r="B120" s="5"/>
      <c r="C120" s="349">
        <v>5622.030516464809</v>
      </c>
      <c r="D120" s="350">
        <v>10437.79255811244</v>
      </c>
      <c r="E120" s="351">
        <f>SUMPRODUCT('Cost Effectiveness'!$I$1:$J$1,C120:D120)</f>
        <v>6344.394822711954</v>
      </c>
      <c r="F120"/>
      <c r="G120" s="141"/>
      <c r="H120" s="141"/>
    </row>
    <row r="121" spans="1:8" ht="16.5" thickBot="1">
      <c r="A121" s="5"/>
      <c r="B121" s="5"/>
      <c r="C121" s="352">
        <f>SUMPRODUCT($B$88:$B$93,C115:C120)</f>
        <v>2334.136744069198</v>
      </c>
      <c r="D121" s="202">
        <f>SUMPRODUCT($B$88:$B$93,D115:D120)</f>
        <v>4463.950863588238</v>
      </c>
      <c r="E121" s="204">
        <f>SUMPRODUCT($B$88:$B$93,E115:E120)</f>
        <v>2653.608861997054</v>
      </c>
      <c r="F121"/>
      <c r="G121" s="141"/>
      <c r="H121" s="141"/>
    </row>
    <row r="122" spans="1:8" ht="16.5" thickBot="1">
      <c r="A122" s="5"/>
      <c r="B122" s="5"/>
      <c r="C122" s="444" t="s">
        <v>283</v>
      </c>
      <c r="D122" s="445"/>
      <c r="E122" s="446"/>
      <c r="F122"/>
      <c r="G122" s="141"/>
      <c r="H122" s="141"/>
    </row>
    <row r="123" spans="1:8" ht="16.5" thickBot="1">
      <c r="A123" s="5"/>
      <c r="B123" s="5"/>
      <c r="C123" s="376">
        <v>924</v>
      </c>
      <c r="D123" s="213">
        <v>1568</v>
      </c>
      <c r="E123" s="214">
        <f>SUMPRODUCT('Cost Effectiveness'!$I$1:$J$1,C123:D123)</f>
        <v>1020.5999999999999</v>
      </c>
      <c r="F123"/>
      <c r="G123" s="141"/>
      <c r="H123" s="141"/>
    </row>
    <row r="124" spans="1:8" ht="15">
      <c r="A124" s="5"/>
      <c r="B124" s="5"/>
      <c r="C124" s="310">
        <v>1972.9005389429876</v>
      </c>
      <c r="D124" s="237">
        <v>3817.192901490296</v>
      </c>
      <c r="E124" s="239">
        <f>SUMPRODUCT('Cost Effectiveness'!$I$1:$J$1,C124:D124)</f>
        <v>2249.544393325084</v>
      </c>
      <c r="F124"/>
      <c r="G124" s="112"/>
      <c r="H124" s="112"/>
    </row>
    <row r="125" spans="1:6" ht="15">
      <c r="A125" s="5"/>
      <c r="B125" s="5"/>
      <c r="C125" s="348">
        <v>822.2185800909792</v>
      </c>
      <c r="D125" s="195">
        <v>1668.2319861119104</v>
      </c>
      <c r="E125" s="232">
        <f>SUMPRODUCT('Cost Effectiveness'!$I$1:$J$1,C125:D125)</f>
        <v>949.1205909941189</v>
      </c>
      <c r="F125"/>
    </row>
    <row r="126" spans="1:6" ht="15">
      <c r="A126" s="5"/>
      <c r="B126" s="5"/>
      <c r="C126" s="348">
        <v>1720.5022373614838</v>
      </c>
      <c r="D126" s="195">
        <v>3457.626619533781</v>
      </c>
      <c r="E126" s="232">
        <f>SUMPRODUCT('Cost Effectiveness'!$I$1:$J$1,C126:D126)</f>
        <v>1981.0708946873283</v>
      </c>
      <c r="F126"/>
    </row>
    <row r="127" spans="1:6" ht="15">
      <c r="A127" s="5"/>
      <c r="B127" s="5"/>
      <c r="C127" s="348">
        <v>134.68763898370435</v>
      </c>
      <c r="D127" s="195">
        <v>273.1201921874308</v>
      </c>
      <c r="E127" s="232">
        <f>SUMPRODUCT('Cost Effectiveness'!$I$1:$J$1,C127:D127)</f>
        <v>155.4525219642633</v>
      </c>
      <c r="F127"/>
    </row>
    <row r="128" spans="1:6" ht="15">
      <c r="A128" s="5"/>
      <c r="B128" s="5"/>
      <c r="C128" s="348">
        <v>506.22544070129516</v>
      </c>
      <c r="D128" s="195">
        <v>1019.793946406131</v>
      </c>
      <c r="E128" s="232">
        <f>SUMPRODUCT('Cost Effectiveness'!$I$1:$J$1,C128:D128)</f>
        <v>583.2607165570205</v>
      </c>
      <c r="F128"/>
    </row>
    <row r="129" spans="1:6" ht="15.75" thickBot="1">
      <c r="A129" s="5"/>
      <c r="B129" s="5"/>
      <c r="C129" s="349">
        <v>4032.4989666492856</v>
      </c>
      <c r="D129" s="350">
        <v>7609.183983814142</v>
      </c>
      <c r="E129" s="351">
        <f>SUMPRODUCT('Cost Effectiveness'!$I$1:$J$1,C129:D129)</f>
        <v>4569.001719224014</v>
      </c>
      <c r="F129"/>
    </row>
    <row r="130" spans="1:6" ht="15.75" thickBot="1">
      <c r="A130" s="5"/>
      <c r="B130" s="5"/>
      <c r="C130" s="352">
        <f>SUMPRODUCT($B$88:$B$93,C124:C129)</f>
        <v>1647.528407444192</v>
      </c>
      <c r="D130" s="202">
        <f>SUMPRODUCT($B$88:$B$93,D124:D129)</f>
        <v>3219.9102085703316</v>
      </c>
      <c r="E130" s="204">
        <f>SUMPRODUCT($B$88:$B$93,E124:E129)</f>
        <v>1883.3856776131124</v>
      </c>
      <c r="F130"/>
    </row>
    <row r="131" spans="1:6" ht="15.75" thickBot="1">
      <c r="A131" s="5"/>
      <c r="B131" s="5"/>
      <c r="C131" s="447" t="str">
        <f>'Cost Effectiveness'!N29</f>
        <v>CASE =&gt; Heating Zone 3</v>
      </c>
      <c r="D131" s="448"/>
      <c r="E131" s="449"/>
      <c r="F131"/>
    </row>
    <row r="132" spans="1:6" ht="16.5" thickBot="1">
      <c r="A132" s="5"/>
      <c r="B132" s="5"/>
      <c r="C132" s="376">
        <v>924</v>
      </c>
      <c r="D132" s="213">
        <v>1568</v>
      </c>
      <c r="E132" s="214">
        <f>SUMPRODUCT('Cost Effectiveness'!$I$1:$J$1,C132:D132)</f>
        <v>1020.5999999999999</v>
      </c>
      <c r="F132"/>
    </row>
    <row r="133" spans="1:6" ht="15">
      <c r="A133" s="5"/>
      <c r="B133" s="5"/>
      <c r="C133" s="310">
        <f>VLOOKUP($A$88,$S$30:$Y$38,6,0)</f>
        <v>3163.9931872389934</v>
      </c>
      <c r="D133" s="237">
        <f>VLOOKUP($A$88,$Z$30:$AF$38,6,0)</f>
        <v>6053.5008161282385</v>
      </c>
      <c r="E133" s="239">
        <f>SUMPRODUCT('Cost Effectiveness'!$I$1:$J$1,C133:D133)</f>
        <v>3597.41933157238</v>
      </c>
      <c r="F133"/>
    </row>
    <row r="134" spans="1:6" ht="15">
      <c r="A134" s="5"/>
      <c r="B134" s="5"/>
      <c r="C134" s="348">
        <f>VLOOKUP($A$89,$S$30:$Y$38,6,0)</f>
        <v>949.4991992964806</v>
      </c>
      <c r="D134" s="195">
        <f>VLOOKUP($A$89,$Z$30:$AF$38,6,0)</f>
        <v>1881.3031300555303</v>
      </c>
      <c r="E134" s="232">
        <f>SUMPRODUCT('Cost Effectiveness'!$I$1:$J$1,C134:D134)</f>
        <v>1089.2697889103379</v>
      </c>
      <c r="F134"/>
    </row>
    <row r="135" spans="2:6" ht="15">
      <c r="B135"/>
      <c r="C135" s="348">
        <f>VLOOKUP($A$90,$S$30:$Y$38,6,0)</f>
        <v>3493.2136223043126</v>
      </c>
      <c r="D135" s="195">
        <f>VLOOKUP($A$90,$Z$30:$AF$38,6,0)</f>
        <v>6717.159205488948</v>
      </c>
      <c r="E135" s="232">
        <f>SUMPRODUCT('Cost Effectiveness'!$I$1:$J$1,C135:D135)</f>
        <v>3976.805459782008</v>
      </c>
      <c r="F135"/>
    </row>
    <row r="136" spans="2:6" ht="15">
      <c r="B136"/>
      <c r="C136" s="348">
        <f>VLOOKUP($A$91,$S$30:$Y$38,6,0)</f>
        <v>196.55161862934256</v>
      </c>
      <c r="D136" s="195">
        <f>VLOOKUP($A$91,$Z$30:$AF$38,6,0)</f>
        <v>388.6323508063724</v>
      </c>
      <c r="E136" s="232">
        <f>SUMPRODUCT('Cost Effectiveness'!$I$1:$J$1,C136:D136)</f>
        <v>225.36372845589702</v>
      </c>
      <c r="F136"/>
    </row>
    <row r="137" spans="2:6" ht="15">
      <c r="B137"/>
      <c r="C137" s="348">
        <f>VLOOKUP($A$92,$S$30:$Y$38,6,0)</f>
        <v>718.6496756696652</v>
      </c>
      <c r="D137" s="195">
        <f>VLOOKUP($A$92,$Z$30:$AF$38,6,0)</f>
        <v>1420.1838553277667</v>
      </c>
      <c r="E137" s="232">
        <f>SUMPRODUCT('Cost Effectiveness'!$I$1:$J$1,C137:D137)</f>
        <v>823.8798026183804</v>
      </c>
      <c r="F137"/>
    </row>
    <row r="138" spans="2:6" ht="15.75" thickBot="1">
      <c r="B138"/>
      <c r="C138" s="349">
        <f>VLOOKUP($A$93,$S$30:$Y$38,6,0)</f>
        <v>4851.5630736724415</v>
      </c>
      <c r="D138" s="350">
        <f>VLOOKUP($A$93,$Z$30:$AF$38,6,0)</f>
        <v>9405.773620358093</v>
      </c>
      <c r="E138" s="351">
        <f>SUMPRODUCT('Cost Effectiveness'!$I$1:$J$1,C138:D138)</f>
        <v>5534.694655675289</v>
      </c>
      <c r="F138"/>
    </row>
    <row r="139" spans="2:6" ht="15.75" thickBot="1">
      <c r="B139"/>
      <c r="C139" s="352">
        <f>SUMPRODUCT($B$88:$B$93,C133:C138)</f>
        <v>2584.185420365986</v>
      </c>
      <c r="D139" s="202">
        <f>SUMPRODUCT($B$88:$B$93,D133:D138)</f>
        <v>4993.133470814344</v>
      </c>
      <c r="E139" s="204">
        <f>SUMPRODUCT($B$88:$B$93,E133:E138)</f>
        <v>2945.5276279332397</v>
      </c>
      <c r="F139"/>
    </row>
    <row r="140" spans="2:6" ht="15">
      <c r="B140"/>
      <c r="C140"/>
      <c r="D140"/>
      <c r="E140"/>
      <c r="F140"/>
    </row>
    <row r="141" spans="2:6" ht="15">
      <c r="B141"/>
      <c r="C141"/>
      <c r="D141"/>
      <c r="E141"/>
      <c r="F141"/>
    </row>
    <row r="142" spans="2:6" ht="15">
      <c r="B142"/>
      <c r="C142"/>
      <c r="D142"/>
      <c r="E142"/>
      <c r="F142"/>
    </row>
    <row r="143" spans="2:6" ht="15">
      <c r="B143"/>
      <c r="C143"/>
      <c r="D143"/>
      <c r="E143"/>
      <c r="F143"/>
    </row>
    <row r="144" spans="2:6" ht="15">
      <c r="B144"/>
      <c r="C144"/>
      <c r="D144"/>
      <c r="E144"/>
      <c r="F144"/>
    </row>
    <row r="145" spans="2:6" ht="15">
      <c r="B145"/>
      <c r="C145"/>
      <c r="D145"/>
      <c r="E145"/>
      <c r="F145"/>
    </row>
    <row r="146" spans="2:6" ht="15">
      <c r="B146"/>
      <c r="C146"/>
      <c r="D146"/>
      <c r="E146"/>
      <c r="F146"/>
    </row>
    <row r="147" spans="2:6" ht="15">
      <c r="B147"/>
      <c r="C147"/>
      <c r="D147"/>
      <c r="E147"/>
      <c r="F147"/>
    </row>
    <row r="148" spans="2:6" ht="15">
      <c r="B148"/>
      <c r="C148"/>
      <c r="D148"/>
      <c r="E148"/>
      <c r="F148"/>
    </row>
    <row r="149" spans="2:6" ht="15">
      <c r="B149"/>
      <c r="C149"/>
      <c r="D149"/>
      <c r="E149"/>
      <c r="F149"/>
    </row>
    <row r="150" spans="2:6" ht="15">
      <c r="B150"/>
      <c r="C150"/>
      <c r="D150"/>
      <c r="E150"/>
      <c r="F150"/>
    </row>
    <row r="151" spans="2:6" ht="15">
      <c r="B151"/>
      <c r="C151"/>
      <c r="D151"/>
      <c r="E151"/>
      <c r="F151"/>
    </row>
    <row r="152" spans="2:6" ht="15">
      <c r="B152"/>
      <c r="C152"/>
      <c r="D152"/>
      <c r="E152"/>
      <c r="F152"/>
    </row>
    <row r="153" spans="2:6" ht="15">
      <c r="B153"/>
      <c r="C153"/>
      <c r="D153"/>
      <c r="E153"/>
      <c r="F153"/>
    </row>
    <row r="154" spans="2:6" ht="15">
      <c r="B154"/>
      <c r="C154"/>
      <c r="D154"/>
      <c r="E154"/>
      <c r="F154"/>
    </row>
    <row r="155" spans="2:6" ht="15">
      <c r="B155"/>
      <c r="C155"/>
      <c r="D155"/>
      <c r="E155"/>
      <c r="F155"/>
    </row>
    <row r="156" spans="2:6" ht="15">
      <c r="B156"/>
      <c r="C156"/>
      <c r="D156"/>
      <c r="E156"/>
      <c r="F156"/>
    </row>
    <row r="157" spans="2:6" ht="15">
      <c r="B157"/>
      <c r="C157"/>
      <c r="D157"/>
      <c r="E157"/>
      <c r="F157"/>
    </row>
    <row r="158" spans="2:6" ht="15">
      <c r="B158"/>
      <c r="C158"/>
      <c r="D158"/>
      <c r="E158"/>
      <c r="F158"/>
    </row>
    <row r="159" spans="2:6" ht="15">
      <c r="B159"/>
      <c r="C159"/>
      <c r="D159"/>
      <c r="E159"/>
      <c r="F159"/>
    </row>
    <row r="160" spans="2:6" ht="15">
      <c r="B160"/>
      <c r="C160"/>
      <c r="D160"/>
      <c r="E160"/>
      <c r="F160"/>
    </row>
    <row r="161" spans="2:6" ht="15">
      <c r="B161"/>
      <c r="C161"/>
      <c r="D161"/>
      <c r="E161"/>
      <c r="F161"/>
    </row>
    <row r="162" spans="2:6" ht="15">
      <c r="B162"/>
      <c r="C162"/>
      <c r="D162"/>
      <c r="E162"/>
      <c r="F162"/>
    </row>
    <row r="163" spans="2:6" ht="15">
      <c r="B163"/>
      <c r="C163"/>
      <c r="D163"/>
      <c r="E163"/>
      <c r="F163"/>
    </row>
    <row r="164" spans="2:6" ht="15">
      <c r="B164"/>
      <c r="C164"/>
      <c r="D164"/>
      <c r="E164"/>
      <c r="F164"/>
    </row>
    <row r="165" spans="2:6" ht="15">
      <c r="B165"/>
      <c r="C165"/>
      <c r="D165"/>
      <c r="E165"/>
      <c r="F165"/>
    </row>
    <row r="166" spans="2:6" ht="15">
      <c r="B166"/>
      <c r="C166"/>
      <c r="D166"/>
      <c r="E166"/>
      <c r="F166"/>
    </row>
    <row r="167" spans="2:6" ht="15">
      <c r="B167"/>
      <c r="C167"/>
      <c r="D167"/>
      <c r="E167"/>
      <c r="F167"/>
    </row>
    <row r="168" spans="2:6" ht="15">
      <c r="B168"/>
      <c r="C168"/>
      <c r="D168"/>
      <c r="E168"/>
      <c r="F168"/>
    </row>
    <row r="169" spans="2:6" ht="15">
      <c r="B169"/>
      <c r="C169"/>
      <c r="D169"/>
      <c r="E169"/>
      <c r="F169"/>
    </row>
    <row r="170" spans="2:6" ht="15">
      <c r="B170"/>
      <c r="C170"/>
      <c r="D170"/>
      <c r="E170"/>
      <c r="F170"/>
    </row>
    <row r="171" spans="2:6" ht="15">
      <c r="B171"/>
      <c r="C171"/>
      <c r="D171"/>
      <c r="E171"/>
      <c r="F171"/>
    </row>
    <row r="172" spans="2:6" ht="15">
      <c r="B172"/>
      <c r="C172"/>
      <c r="D172"/>
      <c r="E172"/>
      <c r="F172"/>
    </row>
    <row r="173" spans="2:6" ht="15">
      <c r="B173"/>
      <c r="C173"/>
      <c r="D173"/>
      <c r="E173"/>
      <c r="F173"/>
    </row>
    <row r="174" spans="2:6" ht="15">
      <c r="B174"/>
      <c r="C174"/>
      <c r="D174"/>
      <c r="E174"/>
      <c r="F174"/>
    </row>
    <row r="175" spans="2:6" ht="15">
      <c r="B175"/>
      <c r="C175"/>
      <c r="D175"/>
      <c r="E175"/>
      <c r="F175"/>
    </row>
    <row r="176" spans="2:6" ht="15">
      <c r="B176"/>
      <c r="C176"/>
      <c r="D176"/>
      <c r="E176"/>
      <c r="F176"/>
    </row>
    <row r="177" spans="2:6" ht="15">
      <c r="B177"/>
      <c r="C177"/>
      <c r="D177"/>
      <c r="E177"/>
      <c r="F177"/>
    </row>
    <row r="178" spans="2:6" ht="15">
      <c r="B178"/>
      <c r="C178"/>
      <c r="D178"/>
      <c r="E178"/>
      <c r="F178"/>
    </row>
    <row r="179" spans="2:6" ht="15">
      <c r="B179"/>
      <c r="C179"/>
      <c r="D179"/>
      <c r="E179"/>
      <c r="F179"/>
    </row>
    <row r="180" spans="2:6" ht="15">
      <c r="B180"/>
      <c r="C180"/>
      <c r="D180"/>
      <c r="E180"/>
      <c r="F180"/>
    </row>
    <row r="181" spans="2:6" ht="15">
      <c r="B181"/>
      <c r="C181"/>
      <c r="D181"/>
      <c r="E181"/>
      <c r="F181"/>
    </row>
    <row r="182" spans="2:6" ht="15">
      <c r="B182"/>
      <c r="C182"/>
      <c r="D182"/>
      <c r="E182"/>
      <c r="F182"/>
    </row>
    <row r="183" spans="2:6" ht="15">
      <c r="B183"/>
      <c r="C183"/>
      <c r="D183"/>
      <c r="E183"/>
      <c r="F183"/>
    </row>
    <row r="184" spans="2:6" ht="15">
      <c r="B184"/>
      <c r="C184"/>
      <c r="D184"/>
      <c r="E184"/>
      <c r="F184"/>
    </row>
    <row r="185" spans="2:6" ht="15">
      <c r="B185"/>
      <c r="C185"/>
      <c r="D185"/>
      <c r="E185"/>
      <c r="F185"/>
    </row>
    <row r="186" spans="2:6" ht="15">
      <c r="B186"/>
      <c r="C186"/>
      <c r="D186"/>
      <c r="E186"/>
      <c r="F186"/>
    </row>
    <row r="187" spans="2:6" ht="15">
      <c r="B187"/>
      <c r="C187"/>
      <c r="D187"/>
      <c r="E187"/>
      <c r="F187"/>
    </row>
    <row r="188" spans="2:6" ht="15">
      <c r="B188"/>
      <c r="C188"/>
      <c r="D188"/>
      <c r="E188"/>
      <c r="F188"/>
    </row>
    <row r="189" spans="2:6" ht="15">
      <c r="B189"/>
      <c r="C189"/>
      <c r="D189"/>
      <c r="E189"/>
      <c r="F189"/>
    </row>
    <row r="190" spans="2:6" ht="15">
      <c r="B190"/>
      <c r="C190"/>
      <c r="D190"/>
      <c r="E190"/>
      <c r="F190"/>
    </row>
    <row r="191" spans="2:6" ht="15">
      <c r="B191"/>
      <c r="C191"/>
      <c r="D191"/>
      <c r="E191"/>
      <c r="F191"/>
    </row>
    <row r="192" spans="2:6" ht="15">
      <c r="B192"/>
      <c r="C192"/>
      <c r="D192"/>
      <c r="E192"/>
      <c r="F192"/>
    </row>
    <row r="193" spans="2:6" ht="15">
      <c r="B193"/>
      <c r="C193"/>
      <c r="D193"/>
      <c r="E193"/>
      <c r="F193"/>
    </row>
    <row r="194" spans="2:6" ht="15">
      <c r="B194"/>
      <c r="C194"/>
      <c r="D194"/>
      <c r="E194"/>
      <c r="F194"/>
    </row>
    <row r="195" spans="2:6" ht="15">
      <c r="B195"/>
      <c r="C195"/>
      <c r="D195"/>
      <c r="E195"/>
      <c r="F195"/>
    </row>
    <row r="196" spans="2:6" ht="15">
      <c r="B196"/>
      <c r="C196"/>
      <c r="D196"/>
      <c r="E196"/>
      <c r="F196"/>
    </row>
    <row r="197" spans="2:6" ht="15">
      <c r="B197"/>
      <c r="C197"/>
      <c r="D197"/>
      <c r="E197"/>
      <c r="F197"/>
    </row>
    <row r="198" spans="2:6" ht="15">
      <c r="B198"/>
      <c r="C198"/>
      <c r="D198"/>
      <c r="E198"/>
      <c r="F198"/>
    </row>
    <row r="199" spans="2:6" ht="15">
      <c r="B199"/>
      <c r="C199"/>
      <c r="D199"/>
      <c r="E199"/>
      <c r="F199"/>
    </row>
    <row r="200" spans="2:6" ht="15">
      <c r="B200"/>
      <c r="C200"/>
      <c r="D200"/>
      <c r="E200"/>
      <c r="F200"/>
    </row>
    <row r="201" spans="2:6" ht="15">
      <c r="B201"/>
      <c r="C201"/>
      <c r="D201"/>
      <c r="E201"/>
      <c r="F201"/>
    </row>
    <row r="202" spans="2:6" ht="15">
      <c r="B202"/>
      <c r="C202"/>
      <c r="D202"/>
      <c r="E202"/>
      <c r="F202"/>
    </row>
    <row r="203" spans="2:6" ht="15">
      <c r="B203"/>
      <c r="C203"/>
      <c r="D203"/>
      <c r="E203"/>
      <c r="F203"/>
    </row>
    <row r="204" spans="2:6" ht="15">
      <c r="B204"/>
      <c r="C204"/>
      <c r="D204"/>
      <c r="E204"/>
      <c r="F204"/>
    </row>
    <row r="205" spans="2:6" ht="15">
      <c r="B205"/>
      <c r="C205"/>
      <c r="D205"/>
      <c r="E205"/>
      <c r="F205"/>
    </row>
    <row r="206" spans="2:6" ht="15">
      <c r="B206"/>
      <c r="C206"/>
      <c r="D206"/>
      <c r="E206"/>
      <c r="F206"/>
    </row>
    <row r="207" spans="2:6" ht="15">
      <c r="B207"/>
      <c r="C207"/>
      <c r="D207"/>
      <c r="E207"/>
      <c r="F207"/>
    </row>
    <row r="208" spans="2:6" ht="15">
      <c r="B208"/>
      <c r="C208"/>
      <c r="D208"/>
      <c r="E208"/>
      <c r="F208"/>
    </row>
    <row r="209" spans="2:6" ht="15">
      <c r="B209"/>
      <c r="C209"/>
      <c r="D209"/>
      <c r="E209"/>
      <c r="F209"/>
    </row>
    <row r="210" spans="2:6" ht="15">
      <c r="B210"/>
      <c r="C210"/>
      <c r="D210"/>
      <c r="E210"/>
      <c r="F210"/>
    </row>
    <row r="211" spans="2:6" ht="15">
      <c r="B211"/>
      <c r="C211"/>
      <c r="D211"/>
      <c r="E211"/>
      <c r="F211"/>
    </row>
    <row r="212" spans="2:6" ht="15">
      <c r="B212"/>
      <c r="C212"/>
      <c r="D212"/>
      <c r="E212"/>
      <c r="F212"/>
    </row>
    <row r="213" spans="2:6" ht="15">
      <c r="B213"/>
      <c r="C213"/>
      <c r="D213"/>
      <c r="E213"/>
      <c r="F213"/>
    </row>
    <row r="214" spans="2:6" ht="15">
      <c r="B214"/>
      <c r="C214"/>
      <c r="D214"/>
      <c r="E214"/>
      <c r="F214"/>
    </row>
    <row r="215" spans="2:6" ht="15">
      <c r="B215"/>
      <c r="C215"/>
      <c r="D215"/>
      <c r="E215"/>
      <c r="F215"/>
    </row>
    <row r="216" spans="2:6" ht="15">
      <c r="B216"/>
      <c r="C216"/>
      <c r="D216"/>
      <c r="E216"/>
      <c r="F216"/>
    </row>
    <row r="217" spans="2:6" ht="15">
      <c r="B217"/>
      <c r="C217"/>
      <c r="D217"/>
      <c r="E217"/>
      <c r="F217"/>
    </row>
    <row r="218" spans="2:6" ht="15">
      <c r="B218"/>
      <c r="C218"/>
      <c r="D218"/>
      <c r="E218"/>
      <c r="F218"/>
    </row>
    <row r="219" spans="2:6" ht="15">
      <c r="B219"/>
      <c r="C219"/>
      <c r="D219"/>
      <c r="E219"/>
      <c r="F219"/>
    </row>
    <row r="220" spans="2:6" ht="15">
      <c r="B220"/>
      <c r="C220"/>
      <c r="D220"/>
      <c r="E220"/>
      <c r="F220"/>
    </row>
    <row r="221" spans="2:6" ht="15">
      <c r="B221"/>
      <c r="C221"/>
      <c r="D221"/>
      <c r="E221"/>
      <c r="F221"/>
    </row>
    <row r="222" spans="2:6" ht="15">
      <c r="B222"/>
      <c r="C222"/>
      <c r="D222"/>
      <c r="E222"/>
      <c r="F222"/>
    </row>
    <row r="223" spans="2:6" ht="15">
      <c r="B223"/>
      <c r="C223"/>
      <c r="D223"/>
      <c r="E223"/>
      <c r="F223"/>
    </row>
    <row r="224" spans="2:6" ht="15">
      <c r="B224"/>
      <c r="C224"/>
      <c r="D224"/>
      <c r="E224"/>
      <c r="F224"/>
    </row>
    <row r="225" spans="2:6" ht="15">
      <c r="B225"/>
      <c r="C225"/>
      <c r="D225"/>
      <c r="E225"/>
      <c r="F225"/>
    </row>
    <row r="226" spans="2:6" ht="15">
      <c r="B226"/>
      <c r="C226"/>
      <c r="D226"/>
      <c r="E226"/>
      <c r="F226"/>
    </row>
    <row r="227" spans="2:6" ht="15">
      <c r="B227"/>
      <c r="C227"/>
      <c r="D227"/>
      <c r="E227"/>
      <c r="F227"/>
    </row>
    <row r="228" spans="2:6" ht="15">
      <c r="B228"/>
      <c r="C228"/>
      <c r="D228"/>
      <c r="E228"/>
      <c r="F228"/>
    </row>
    <row r="229" spans="2:6" ht="15">
      <c r="B229"/>
      <c r="C229"/>
      <c r="D229"/>
      <c r="E229"/>
      <c r="F229"/>
    </row>
    <row r="230" spans="2:6" ht="15">
      <c r="B230"/>
      <c r="C230"/>
      <c r="D230"/>
      <c r="E230"/>
      <c r="F230"/>
    </row>
    <row r="231" spans="2:6" ht="15">
      <c r="B231"/>
      <c r="C231"/>
      <c r="D231"/>
      <c r="E231"/>
      <c r="F231"/>
    </row>
    <row r="232" spans="2:6" ht="15">
      <c r="B232"/>
      <c r="C232"/>
      <c r="D232"/>
      <c r="E232"/>
      <c r="F232"/>
    </row>
    <row r="233" spans="2:6" ht="15">
      <c r="B233"/>
      <c r="C233"/>
      <c r="D233"/>
      <c r="E233"/>
      <c r="F233"/>
    </row>
    <row r="234" spans="2:6" ht="15">
      <c r="B234"/>
      <c r="C234"/>
      <c r="D234"/>
      <c r="E234"/>
      <c r="F234"/>
    </row>
    <row r="235" spans="2:6" ht="15">
      <c r="B235"/>
      <c r="C235"/>
      <c r="D235"/>
      <c r="E235"/>
      <c r="F235"/>
    </row>
    <row r="236" spans="2:6" ht="15">
      <c r="B236"/>
      <c r="C236"/>
      <c r="D236"/>
      <c r="E236"/>
      <c r="F236"/>
    </row>
    <row r="237" spans="2:6" ht="15">
      <c r="B237"/>
      <c r="C237"/>
      <c r="D237"/>
      <c r="E237"/>
      <c r="F237"/>
    </row>
    <row r="238" spans="2:6" ht="15">
      <c r="B238"/>
      <c r="C238"/>
      <c r="D238"/>
      <c r="E238"/>
      <c r="F238"/>
    </row>
    <row r="239" spans="2:6" ht="15">
      <c r="B239"/>
      <c r="C239"/>
      <c r="D239"/>
      <c r="E239"/>
      <c r="F239"/>
    </row>
    <row r="240" spans="2:6" ht="15">
      <c r="B240"/>
      <c r="C240"/>
      <c r="D240"/>
      <c r="E240"/>
      <c r="F240"/>
    </row>
    <row r="241" spans="2:6" ht="15">
      <c r="B241"/>
      <c r="C241"/>
      <c r="D241"/>
      <c r="E241"/>
      <c r="F241"/>
    </row>
    <row r="242" spans="2:6" ht="15">
      <c r="B242"/>
      <c r="C242"/>
      <c r="D242"/>
      <c r="E242"/>
      <c r="F242"/>
    </row>
    <row r="243" spans="2:6" ht="15">
      <c r="B243"/>
      <c r="C243"/>
      <c r="D243"/>
      <c r="E243"/>
      <c r="F243"/>
    </row>
    <row r="244" spans="2:6" ht="15">
      <c r="B244"/>
      <c r="C244"/>
      <c r="D244"/>
      <c r="E244"/>
      <c r="F244"/>
    </row>
    <row r="245" spans="2:6" ht="15">
      <c r="B245"/>
      <c r="C245"/>
      <c r="D245"/>
      <c r="E245"/>
      <c r="F245"/>
    </row>
    <row r="246" spans="3:6" ht="15">
      <c r="C246"/>
      <c r="D246"/>
      <c r="E246"/>
      <c r="F246"/>
    </row>
    <row r="247" spans="3:6" ht="15">
      <c r="C247"/>
      <c r="D247"/>
      <c r="E247"/>
      <c r="F247"/>
    </row>
    <row r="248" spans="3:5" ht="15">
      <c r="C248"/>
      <c r="D248"/>
      <c r="E248"/>
    </row>
    <row r="249" spans="3:5" ht="15">
      <c r="C249"/>
      <c r="D249"/>
      <c r="E249"/>
    </row>
    <row r="250" spans="3:5" ht="15">
      <c r="C250"/>
      <c r="D250"/>
      <c r="E250"/>
    </row>
  </sheetData>
  <mergeCells count="15">
    <mergeCell ref="C131:E131"/>
    <mergeCell ref="C95:E95"/>
    <mergeCell ref="C104:E104"/>
    <mergeCell ref="C113:E113"/>
    <mergeCell ref="C122:E122"/>
    <mergeCell ref="B40:D40"/>
    <mergeCell ref="C3:D3"/>
    <mergeCell ref="E3:F3"/>
    <mergeCell ref="C86:E86"/>
    <mergeCell ref="G3:H3"/>
    <mergeCell ref="A28:D28"/>
    <mergeCell ref="J3:K3"/>
    <mergeCell ref="I3:I4"/>
    <mergeCell ref="E28:G28"/>
    <mergeCell ref="H28:J28"/>
  </mergeCells>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CU130"/>
  <sheetViews>
    <sheetView zoomScale="75" zoomScaleNormal="75" workbookViewId="0" topLeftCell="K13">
      <selection activeCell="L29" sqref="L29"/>
    </sheetView>
  </sheetViews>
  <sheetFormatPr defaultColWidth="9.140625" defaultRowHeight="12.75"/>
  <cols>
    <col min="1" max="1" width="40.7109375" style="0" customWidth="1"/>
    <col min="2" max="3" width="9.8515625" style="0" customWidth="1"/>
    <col min="4" max="4" width="15.421875" style="0" customWidth="1"/>
    <col min="5" max="5" width="18.00390625" style="0" customWidth="1"/>
    <col min="6" max="6" width="13.57421875" style="0" customWidth="1"/>
    <col min="7" max="7" width="14.7109375" style="142" customWidth="1"/>
    <col min="8" max="8" width="16.00390625" style="0" customWidth="1"/>
    <col min="9" max="9" width="9.7109375" style="0" customWidth="1"/>
    <col min="10" max="10" width="10.28125" style="0" customWidth="1"/>
    <col min="11" max="11" width="10.57421875" style="0" customWidth="1"/>
    <col min="12" max="12" width="21.7109375" style="0" customWidth="1"/>
    <col min="13" max="13" width="22.00390625" style="0" customWidth="1"/>
    <col min="14" max="14" width="31.28125" style="0" customWidth="1"/>
    <col min="15" max="15" width="17.57421875" style="0" customWidth="1"/>
    <col min="16" max="16" width="15.421875" style="0" customWidth="1"/>
    <col min="17" max="17" width="12.00390625" style="0" customWidth="1"/>
    <col min="18" max="18" width="13.8515625" style="0" customWidth="1"/>
    <col min="27" max="27" width="16.140625" style="0" customWidth="1"/>
    <col min="37" max="37" width="17.00390625" style="0" customWidth="1"/>
    <col min="38" max="39" width="11.421875" style="0" bestFit="1" customWidth="1"/>
    <col min="40" max="41" width="9.28125" style="0" bestFit="1" customWidth="1"/>
    <col min="42" max="43" width="6.7109375" style="0" customWidth="1"/>
    <col min="44" max="45" width="10.140625" style="0" bestFit="1" customWidth="1"/>
    <col min="46" max="46" width="10.57421875" style="0" bestFit="1" customWidth="1"/>
    <col min="47" max="47" width="10.57421875" style="0" customWidth="1"/>
    <col min="49" max="49" width="11.421875" style="0" bestFit="1" customWidth="1"/>
    <col min="50" max="50" width="9.28125" style="0" bestFit="1" customWidth="1"/>
    <col min="51" max="51" width="6.7109375" style="0" customWidth="1"/>
    <col min="52" max="52" width="10.140625" style="0" bestFit="1" customWidth="1"/>
    <col min="53" max="53" width="10.57421875" style="0" bestFit="1" customWidth="1"/>
  </cols>
  <sheetData>
    <row r="1" spans="1:97" ht="21.75" customHeight="1" thickBot="1">
      <c r="A1" s="268" t="s">
        <v>262</v>
      </c>
      <c r="B1" s="454"/>
      <c r="C1" s="455"/>
      <c r="G1"/>
      <c r="H1" s="322"/>
      <c r="I1" s="290">
        <v>0.85</v>
      </c>
      <c r="J1" s="291">
        <v>0.15</v>
      </c>
      <c r="K1" s="292">
        <f>SUM(I1:J1)</f>
        <v>1</v>
      </c>
      <c r="S1" s="5"/>
      <c r="T1" s="5"/>
      <c r="U1" s="5"/>
      <c r="V1" s="5"/>
      <c r="W1" s="5"/>
      <c r="X1" s="5"/>
      <c r="Y1" s="5"/>
      <c r="Z1" s="5"/>
      <c r="AK1" t="s">
        <v>322</v>
      </c>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row>
    <row r="2" spans="1:97" ht="26.25" thickBot="1">
      <c r="A2" s="269" t="s">
        <v>206</v>
      </c>
      <c r="B2" s="270" t="s">
        <v>181</v>
      </c>
      <c r="C2" s="270" t="s">
        <v>182</v>
      </c>
      <c r="D2" s="270" t="s">
        <v>207</v>
      </c>
      <c r="E2" s="270" t="s">
        <v>184</v>
      </c>
      <c r="F2" s="271"/>
      <c r="G2"/>
      <c r="H2" s="323" t="s">
        <v>198</v>
      </c>
      <c r="I2" s="324">
        <v>924</v>
      </c>
      <c r="J2" s="324">
        <v>1568</v>
      </c>
      <c r="K2" s="321">
        <f>SUMPRODUCT($I$1:$J$1,I2:J2)</f>
        <v>1020.5999999999999</v>
      </c>
      <c r="S2" s="5"/>
      <c r="T2" s="5"/>
      <c r="U2" s="5"/>
      <c r="V2" s="5"/>
      <c r="W2" s="5"/>
      <c r="X2" s="5"/>
      <c r="Y2" s="5"/>
      <c r="Z2" s="5"/>
      <c r="AA2" s="156" t="s">
        <v>173</v>
      </c>
      <c r="AB2" s="157" t="s">
        <v>180</v>
      </c>
      <c r="AC2" s="158">
        <v>924</v>
      </c>
      <c r="AD2" s="159" t="s">
        <v>180</v>
      </c>
      <c r="AE2" s="160">
        <v>1568</v>
      </c>
      <c r="AF2" s="161" t="s">
        <v>180</v>
      </c>
      <c r="AG2" s="160">
        <f>K2</f>
        <v>1020.5999999999999</v>
      </c>
      <c r="AH2" s="162" t="s">
        <v>180</v>
      </c>
      <c r="AI2" s="5"/>
      <c r="AJ2" s="5"/>
      <c r="AK2" s="415" t="s">
        <v>118</v>
      </c>
      <c r="AL2" s="419" t="s">
        <v>319</v>
      </c>
      <c r="AM2" s="419" t="s">
        <v>319</v>
      </c>
      <c r="AN2" s="419" t="s">
        <v>320</v>
      </c>
      <c r="AO2" s="419" t="s">
        <v>320</v>
      </c>
      <c r="AP2" s="419" t="s">
        <v>317</v>
      </c>
      <c r="AQ2" s="419" t="s">
        <v>317</v>
      </c>
      <c r="AR2" s="419" t="s">
        <v>321</v>
      </c>
      <c r="AS2" s="419" t="s">
        <v>321</v>
      </c>
      <c r="AT2" s="419" t="s">
        <v>318</v>
      </c>
      <c r="AU2" s="419" t="s">
        <v>318</v>
      </c>
      <c r="AV2" s="5"/>
      <c r="AW2" s="419" t="s">
        <v>319</v>
      </c>
      <c r="AX2" s="419" t="s">
        <v>320</v>
      </c>
      <c r="AY2" s="419" t="s">
        <v>317</v>
      </c>
      <c r="AZ2" s="419" t="s">
        <v>321</v>
      </c>
      <c r="BA2" s="419" t="s">
        <v>318</v>
      </c>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row>
    <row r="3" spans="1:97" ht="13.5" thickBot="1">
      <c r="A3" s="272" t="s">
        <v>208</v>
      </c>
      <c r="B3" s="273">
        <f>INDEX($B5:$E14,$A14,B14)</f>
        <v>0</v>
      </c>
      <c r="C3" s="273">
        <f>INDEX($B5:$E14,$A14,C14)</f>
        <v>0</v>
      </c>
      <c r="D3" s="273">
        <f>INDEX($B5:$E14,$A14,D14)</f>
        <v>0</v>
      </c>
      <c r="E3" s="273">
        <f>INDEX($B5:$E14,$A14,E14)</f>
        <v>1</v>
      </c>
      <c r="F3" s="274">
        <f>SUM(B3:E3)</f>
        <v>1</v>
      </c>
      <c r="G3" s="5"/>
      <c r="S3" s="5"/>
      <c r="T3" s="5"/>
      <c r="U3" s="5"/>
      <c r="V3" s="5"/>
      <c r="W3" s="5"/>
      <c r="X3" s="5"/>
      <c r="Y3" s="5"/>
      <c r="Z3" s="5"/>
      <c r="AB3" s="167">
        <f aca="true" t="shared" si="0" ref="AB3:AH11">AB4+10</f>
        <v>900</v>
      </c>
      <c r="AC3" s="164">
        <f>UAOptimizer!AP8</f>
        <v>47651.094414404535</v>
      </c>
      <c r="AD3" s="167">
        <f t="shared" si="0"/>
        <v>900</v>
      </c>
      <c r="AE3" s="164">
        <f>UAOptimizer!AZ8</f>
        <v>47651.094414404535</v>
      </c>
      <c r="AF3" s="167">
        <f t="shared" si="0"/>
        <v>900</v>
      </c>
      <c r="AG3" s="165">
        <f aca="true" t="shared" si="1" ref="AG3:AG44">($I$1*AC3)+($J$1*AE3)</f>
        <v>47651.094414404535</v>
      </c>
      <c r="AH3" s="167">
        <f t="shared" si="0"/>
        <v>900</v>
      </c>
      <c r="AI3" s="5"/>
      <c r="AJ3" s="5"/>
      <c r="AK3" s="415" t="s">
        <v>313</v>
      </c>
      <c r="AL3" s="257">
        <v>924</v>
      </c>
      <c r="AM3" s="257">
        <v>1568</v>
      </c>
      <c r="AN3" s="257">
        <v>924</v>
      </c>
      <c r="AO3" s="257">
        <v>1568</v>
      </c>
      <c r="AP3" s="257">
        <v>924</v>
      </c>
      <c r="AQ3" s="257">
        <v>1568</v>
      </c>
      <c r="AR3" s="257">
        <v>924</v>
      </c>
      <c r="AS3" s="257">
        <v>1568</v>
      </c>
      <c r="AT3" s="257">
        <v>924</v>
      </c>
      <c r="AU3" s="257">
        <v>1568</v>
      </c>
      <c r="AV3" s="257"/>
      <c r="AW3" s="257">
        <f>SUMPRODUCT($I$1:$J$1,AL3:AM3)</f>
        <v>1020.5999999999999</v>
      </c>
      <c r="AX3" s="257">
        <f>SUMPRODUCT($I$1:$J$1,AN3:AO3)</f>
        <v>1020.5999999999999</v>
      </c>
      <c r="AY3" s="257">
        <f>SUMPRODUCT($I$1:$J$1,AP3:AQ3)</f>
        <v>1020.5999999999999</v>
      </c>
      <c r="AZ3" s="257">
        <f>SUMPRODUCT($I$1:$J$1,AR3:AS3)</f>
        <v>1020.5999999999999</v>
      </c>
      <c r="BA3" s="257">
        <f>SUMPRODUCT($I$1:$J$1,AT3:AU3)</f>
        <v>1020.5999999999999</v>
      </c>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row>
    <row r="4" spans="1:97" ht="12.75">
      <c r="A4" s="275" t="s">
        <v>263</v>
      </c>
      <c r="B4" s="276"/>
      <c r="C4" s="276"/>
      <c r="D4" s="276"/>
      <c r="E4" s="276"/>
      <c r="F4" s="277"/>
      <c r="G4" s="5"/>
      <c r="J4" s="4"/>
      <c r="S4" s="5"/>
      <c r="T4" s="5"/>
      <c r="U4" s="5"/>
      <c r="V4" s="5"/>
      <c r="W4" s="5"/>
      <c r="X4" s="5"/>
      <c r="Y4" s="5"/>
      <c r="Z4" s="5"/>
      <c r="AB4" s="167">
        <f t="shared" si="0"/>
        <v>890</v>
      </c>
      <c r="AC4" s="164">
        <f>UAOptimizer!AP9</f>
        <v>46947.695215779364</v>
      </c>
      <c r="AD4" s="167">
        <f t="shared" si="0"/>
        <v>890</v>
      </c>
      <c r="AE4" s="164">
        <f>UAOptimizer!AZ9</f>
        <v>46947.695215779364</v>
      </c>
      <c r="AF4" s="167">
        <f t="shared" si="0"/>
        <v>890</v>
      </c>
      <c r="AG4" s="165">
        <f t="shared" si="1"/>
        <v>46947.69521577936</v>
      </c>
      <c r="AH4" s="167">
        <f t="shared" si="0"/>
        <v>890</v>
      </c>
      <c r="AI4" s="5"/>
      <c r="AJ4" s="5"/>
      <c r="AK4" s="415" t="s">
        <v>180</v>
      </c>
      <c r="AL4" s="186">
        <f>$B23</f>
        <v>371.2489805511402</v>
      </c>
      <c r="AM4" s="186">
        <f>$C23</f>
        <v>546.3396699673208</v>
      </c>
      <c r="AN4" s="186">
        <f>$B23</f>
        <v>371.2489805511402</v>
      </c>
      <c r="AO4" s="186">
        <f>$C23</f>
        <v>546.3396699673208</v>
      </c>
      <c r="AP4" s="186">
        <f>$B23</f>
        <v>371.2489805511402</v>
      </c>
      <c r="AQ4" s="186">
        <f>$C23</f>
        <v>546.3396699673208</v>
      </c>
      <c r="AR4" s="186">
        <f>$B23</f>
        <v>371.2489805511402</v>
      </c>
      <c r="AS4" s="186">
        <f>$C23</f>
        <v>546.3396699673208</v>
      </c>
      <c r="AT4" s="186">
        <f>$B23</f>
        <v>371.2489805511402</v>
      </c>
      <c r="AU4" s="186">
        <f>$C23</f>
        <v>546.3396699673208</v>
      </c>
      <c r="AV4" s="186"/>
      <c r="AW4" s="186">
        <f>SUMPRODUCT($I$1:$J$1,AL4:AM4)</f>
        <v>397.5125839635673</v>
      </c>
      <c r="AX4" s="186">
        <f>SUMPRODUCT($I$1:$J$1,AN4:AO4)</f>
        <v>397.5125839635673</v>
      </c>
      <c r="AY4" s="186">
        <f>SUMPRODUCT($I$1:$J$1,AP4:AQ4)</f>
        <v>397.5125839635673</v>
      </c>
      <c r="AZ4" s="186">
        <f>SUMPRODUCT($I$1:$J$1,AR4:AS4)</f>
        <v>397.5125839635673</v>
      </c>
      <c r="BA4" s="186">
        <f>SUMPRODUCT($I$1:$J$1,AT4:AU4)</f>
        <v>397.5125839635673</v>
      </c>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row>
    <row r="5" spans="1:98" ht="12.75">
      <c r="A5" s="278" t="s">
        <v>160</v>
      </c>
      <c r="B5" s="147">
        <v>0.4</v>
      </c>
      <c r="C5" s="147">
        <v>0.45</v>
      </c>
      <c r="D5" s="147">
        <v>0.15</v>
      </c>
      <c r="E5" s="147">
        <v>0</v>
      </c>
      <c r="F5" s="279">
        <f aca="true" t="shared" si="2" ref="F5:F13">SUM(B5:E5)</f>
        <v>1</v>
      </c>
      <c r="G5" s="5"/>
      <c r="J5" s="4"/>
      <c r="T5" s="5"/>
      <c r="U5" s="5"/>
      <c r="V5" s="5"/>
      <c r="W5" s="5"/>
      <c r="X5" s="5"/>
      <c r="Y5" s="5"/>
      <c r="Z5" s="5"/>
      <c r="AB5" s="167">
        <f t="shared" si="0"/>
        <v>880</v>
      </c>
      <c r="AC5" s="164">
        <f>UAOptimizer!AP10</f>
        <v>46244.29601715419</v>
      </c>
      <c r="AD5" s="167">
        <f t="shared" si="0"/>
        <v>880</v>
      </c>
      <c r="AE5" s="164">
        <f>UAOptimizer!AZ10</f>
        <v>46244.29601715419</v>
      </c>
      <c r="AF5" s="167">
        <f t="shared" si="0"/>
        <v>880</v>
      </c>
      <c r="AG5" s="165">
        <f t="shared" si="1"/>
        <v>46244.29601715419</v>
      </c>
      <c r="AH5" s="167">
        <f t="shared" si="0"/>
        <v>880</v>
      </c>
      <c r="AI5" s="5"/>
      <c r="AJ5" s="5"/>
      <c r="AK5" s="415" t="s">
        <v>314</v>
      </c>
      <c r="AL5" s="416">
        <f aca="true" t="shared" si="3" ref="AL5:AU5">AL4/AL3</f>
        <v>0.4017846109860825</v>
      </c>
      <c r="AM5" s="416">
        <f t="shared" si="3"/>
        <v>0.3484309119689546</v>
      </c>
      <c r="AN5" s="416">
        <f t="shared" si="3"/>
        <v>0.4017846109860825</v>
      </c>
      <c r="AO5" s="416">
        <f t="shared" si="3"/>
        <v>0.3484309119689546</v>
      </c>
      <c r="AP5" s="416">
        <f t="shared" si="3"/>
        <v>0.4017846109860825</v>
      </c>
      <c r="AQ5" s="416">
        <f t="shared" si="3"/>
        <v>0.3484309119689546</v>
      </c>
      <c r="AR5" s="416">
        <f t="shared" si="3"/>
        <v>0.4017846109860825</v>
      </c>
      <c r="AS5" s="416">
        <f t="shared" si="3"/>
        <v>0.3484309119689546</v>
      </c>
      <c r="AT5" s="416">
        <f t="shared" si="3"/>
        <v>0.4017846109860825</v>
      </c>
      <c r="AU5" s="416">
        <f t="shared" si="3"/>
        <v>0.3484309119689546</v>
      </c>
      <c r="AV5" s="416"/>
      <c r="AW5" s="416">
        <f>SUMPRODUCT($I$1:$J$1,AL5:AM5)</f>
        <v>0.3937815561335133</v>
      </c>
      <c r="AX5" s="416">
        <f>SUMPRODUCT($I$1:$J$1,AN5:AO5)</f>
        <v>0.3937815561335133</v>
      </c>
      <c r="AY5" s="416">
        <f>SUMPRODUCT($I$1:$J$1,AP5:AQ5)</f>
        <v>0.3937815561335133</v>
      </c>
      <c r="AZ5" s="416">
        <f>SUMPRODUCT($I$1:$J$1,AR5:AS5)</f>
        <v>0.3937815561335133</v>
      </c>
      <c r="BA5" s="416">
        <f>SUMPRODUCT($I$1:$J$1,AT5:AU5)</f>
        <v>0.3937815561335133</v>
      </c>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ht="12.75">
      <c r="A6" s="278" t="s">
        <v>164</v>
      </c>
      <c r="B6" s="147">
        <v>0</v>
      </c>
      <c r="C6" s="147">
        <v>0.07</v>
      </c>
      <c r="D6" s="147">
        <v>0.93</v>
      </c>
      <c r="E6" s="147">
        <v>0</v>
      </c>
      <c r="F6" s="279">
        <f t="shared" si="2"/>
        <v>1</v>
      </c>
      <c r="G6" s="5"/>
      <c r="J6" s="4"/>
      <c r="T6" s="5"/>
      <c r="U6" s="5"/>
      <c r="V6" s="5"/>
      <c r="W6" s="5"/>
      <c r="X6" s="5"/>
      <c r="Y6" s="5"/>
      <c r="Z6" s="5"/>
      <c r="AB6" s="167">
        <f t="shared" si="0"/>
        <v>870</v>
      </c>
      <c r="AC6" s="164">
        <f>UAOptimizer!AP11</f>
        <v>45540.89681852902</v>
      </c>
      <c r="AD6" s="167">
        <f t="shared" si="0"/>
        <v>870</v>
      </c>
      <c r="AE6" s="164">
        <f>UAOptimizer!AZ11</f>
        <v>45540.89681852902</v>
      </c>
      <c r="AF6" s="167">
        <f t="shared" si="0"/>
        <v>870</v>
      </c>
      <c r="AG6" s="165">
        <f t="shared" si="1"/>
        <v>45540.896818529014</v>
      </c>
      <c r="AH6" s="167">
        <f t="shared" si="0"/>
        <v>870</v>
      </c>
      <c r="AI6" s="5"/>
      <c r="AJ6" s="5"/>
      <c r="AK6" s="415" t="s">
        <v>315</v>
      </c>
      <c r="AL6" s="418">
        <f>6.8884*AL5-0.6494</f>
        <v>2.1182531143165306</v>
      </c>
      <c r="AM6" s="418">
        <f>5.205*AM5-0.4214</f>
        <v>1.3921828967984087</v>
      </c>
      <c r="AN6" s="418">
        <f>4.2756*AN5-0.5065</f>
        <v>1.2113702827320942</v>
      </c>
      <c r="AO6" s="418">
        <f>3.0362*AO5-0.3058</f>
        <v>0.7521059349201398</v>
      </c>
      <c r="AP6" s="417">
        <f>10.627*AP5-0.5654</f>
        <v>3.704365060949099</v>
      </c>
      <c r="AQ6" s="418">
        <f>12.352*AQ5-0.69</f>
        <v>3.6138186246405275</v>
      </c>
      <c r="AR6" s="418">
        <f>8.3136*AR5-0.5783</f>
        <v>2.761976541893895</v>
      </c>
      <c r="AS6" s="418">
        <f>6.94*AS5-0.4419</f>
        <v>1.976210529064545</v>
      </c>
      <c r="AT6" s="418">
        <f>7.8386*AT5-0.5286</f>
        <v>2.620828851675506</v>
      </c>
      <c r="AU6" s="418">
        <f>6.7231*AU5-0.4693</f>
        <v>1.8732358642584783</v>
      </c>
      <c r="AV6" s="418"/>
      <c r="AW6" s="418">
        <f>SUMPRODUCT($I$1:$J$1,AL6:AM6)</f>
        <v>2.0093425816888124</v>
      </c>
      <c r="AX6" s="418">
        <f>SUMPRODUCT($I$1:$J$1,AN6:AO6)</f>
        <v>1.142480630560301</v>
      </c>
      <c r="AY6" s="418">
        <f>SUMPRODUCT($I$1:$J$1,AP6:AQ6)</f>
        <v>3.690783095502813</v>
      </c>
      <c r="AZ6" s="418">
        <f>SUMPRODUCT($I$1:$J$1,AR6:AS6)</f>
        <v>2.644111639969492</v>
      </c>
      <c r="BA6" s="418">
        <f>SUMPRODUCT($I$1:$J$1,AT6:AU6)</f>
        <v>2.508689903562952</v>
      </c>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98" ht="12.75">
      <c r="A7" s="278" t="s">
        <v>163</v>
      </c>
      <c r="B7" s="147">
        <v>0</v>
      </c>
      <c r="C7" s="147">
        <v>0</v>
      </c>
      <c r="D7" s="147">
        <v>0</v>
      </c>
      <c r="E7" s="147">
        <v>1</v>
      </c>
      <c r="F7" s="279">
        <f t="shared" si="2"/>
        <v>1</v>
      </c>
      <c r="G7" s="5"/>
      <c r="J7" s="4"/>
      <c r="T7" s="5"/>
      <c r="U7" s="5"/>
      <c r="V7" s="5"/>
      <c r="W7" s="5"/>
      <c r="X7" s="5"/>
      <c r="Y7" s="5"/>
      <c r="Z7" s="5"/>
      <c r="AB7" s="167">
        <f t="shared" si="0"/>
        <v>860</v>
      </c>
      <c r="AC7" s="164">
        <f>UAOptimizer!AP12</f>
        <v>44837.49761990385</v>
      </c>
      <c r="AD7" s="167">
        <f t="shared" si="0"/>
        <v>860</v>
      </c>
      <c r="AE7" s="164">
        <f>UAOptimizer!AZ12</f>
        <v>44837.49761990385</v>
      </c>
      <c r="AF7" s="167">
        <f t="shared" si="0"/>
        <v>860</v>
      </c>
      <c r="AG7" s="165">
        <f t="shared" si="1"/>
        <v>44837.49761990384</v>
      </c>
      <c r="AH7" s="167">
        <f t="shared" si="0"/>
        <v>860</v>
      </c>
      <c r="AI7" s="5"/>
      <c r="AJ7" s="5"/>
      <c r="AK7" s="415" t="s">
        <v>316</v>
      </c>
      <c r="AL7" s="257">
        <f aca="true" t="shared" si="4" ref="AL7:AU7">AL3*AL6</f>
        <v>1957.2658776284743</v>
      </c>
      <c r="AM7" s="257">
        <f t="shared" si="4"/>
        <v>2182.942782179905</v>
      </c>
      <c r="AN7" s="257">
        <f t="shared" si="4"/>
        <v>1119.3061412444551</v>
      </c>
      <c r="AO7" s="257">
        <f t="shared" si="4"/>
        <v>1179.302105954779</v>
      </c>
      <c r="AP7" s="257">
        <f t="shared" si="4"/>
        <v>3422.8333163169673</v>
      </c>
      <c r="AQ7" s="257">
        <f t="shared" si="4"/>
        <v>5666.467603436347</v>
      </c>
      <c r="AR7" s="257">
        <f t="shared" si="4"/>
        <v>2552.0663247099587</v>
      </c>
      <c r="AS7" s="257">
        <f t="shared" si="4"/>
        <v>3098.6981095732067</v>
      </c>
      <c r="AT7" s="257">
        <f t="shared" si="4"/>
        <v>2421.6458589481676</v>
      </c>
      <c r="AU7" s="257">
        <f t="shared" si="4"/>
        <v>2937.233835157294</v>
      </c>
      <c r="AV7" s="257"/>
      <c r="AW7" s="421">
        <f>SUMPRODUCT($I$1:$J$1,AL7:AM7)</f>
        <v>1991.117413311189</v>
      </c>
      <c r="AX7" s="421">
        <f>SUMPRODUCT($I$1:$J$1,AN7:AO7)</f>
        <v>1128.3055359510038</v>
      </c>
      <c r="AY7" s="421">
        <f>SUMPRODUCT($I$1:$J$1,AP7:AQ7)</f>
        <v>3759.378459384874</v>
      </c>
      <c r="AZ7" s="421">
        <f>SUMPRODUCT($I$1:$J$1,AR7:AS7)</f>
        <v>2634.061092439446</v>
      </c>
      <c r="BA7" s="421">
        <f>SUMPRODUCT($I$1:$J$1,AT7:AU7)</f>
        <v>2498.9840553795366</v>
      </c>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ht="12.75">
      <c r="A8" s="280" t="s">
        <v>264</v>
      </c>
      <c r="B8" s="147">
        <v>0.2</v>
      </c>
      <c r="C8" s="147">
        <v>0.5</v>
      </c>
      <c r="D8" s="147">
        <v>0.25</v>
      </c>
      <c r="E8" s="147">
        <v>0.05</v>
      </c>
      <c r="F8" s="279">
        <f t="shared" si="2"/>
        <v>1</v>
      </c>
      <c r="G8" s="5"/>
      <c r="J8" s="4"/>
      <c r="T8" s="5"/>
      <c r="U8" s="5"/>
      <c r="V8" s="5"/>
      <c r="W8" s="5"/>
      <c r="X8" s="5"/>
      <c r="Y8" s="5"/>
      <c r="Z8" s="5"/>
      <c r="AB8" s="167">
        <f t="shared" si="0"/>
        <v>850</v>
      </c>
      <c r="AC8" s="164">
        <f>UAOptimizer!AP13</f>
        <v>44134.09842127868</v>
      </c>
      <c r="AD8" s="167">
        <f t="shared" si="0"/>
        <v>850</v>
      </c>
      <c r="AE8" s="164">
        <f>UAOptimizer!AZ13</f>
        <v>44134.09842127868</v>
      </c>
      <c r="AF8" s="167">
        <f t="shared" si="0"/>
        <v>850</v>
      </c>
      <c r="AG8" s="165">
        <f t="shared" si="1"/>
        <v>44134.09842127868</v>
      </c>
      <c r="AH8" s="167">
        <f t="shared" si="0"/>
        <v>850</v>
      </c>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ht="12.75">
      <c r="A9" s="280" t="s">
        <v>181</v>
      </c>
      <c r="B9" s="147">
        <v>1</v>
      </c>
      <c r="C9" s="147">
        <v>0</v>
      </c>
      <c r="D9" s="147">
        <v>0</v>
      </c>
      <c r="E9" s="147">
        <v>0</v>
      </c>
      <c r="F9" s="279">
        <f t="shared" si="2"/>
        <v>1</v>
      </c>
      <c r="G9" s="5"/>
      <c r="H9" s="5"/>
      <c r="I9" s="5"/>
      <c r="J9" s="4"/>
      <c r="T9" s="5"/>
      <c r="U9" s="5"/>
      <c r="V9" s="5"/>
      <c r="W9" s="5"/>
      <c r="X9" s="5"/>
      <c r="Y9" s="5"/>
      <c r="Z9" s="5"/>
      <c r="AB9" s="167">
        <f t="shared" si="0"/>
        <v>840</v>
      </c>
      <c r="AC9" s="164">
        <f>UAOptimizer!AP14</f>
        <v>43430.69922265351</v>
      </c>
      <c r="AD9" s="167">
        <f t="shared" si="0"/>
        <v>840</v>
      </c>
      <c r="AE9" s="164">
        <f>UAOptimizer!AZ14</f>
        <v>43430.69922265351</v>
      </c>
      <c r="AF9" s="167">
        <f t="shared" si="0"/>
        <v>840</v>
      </c>
      <c r="AG9" s="165">
        <f t="shared" si="1"/>
        <v>43430.69922265351</v>
      </c>
      <c r="AH9" s="167">
        <f t="shared" si="0"/>
        <v>840</v>
      </c>
      <c r="AI9" s="5"/>
      <c r="AJ9" s="5"/>
      <c r="AK9" t="s">
        <v>323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98" ht="12.75">
      <c r="A10" s="280" t="s">
        <v>182</v>
      </c>
      <c r="B10" s="147">
        <v>0</v>
      </c>
      <c r="C10" s="147">
        <v>1</v>
      </c>
      <c r="D10" s="147">
        <v>0</v>
      </c>
      <c r="E10" s="147">
        <v>0</v>
      </c>
      <c r="F10" s="279">
        <f t="shared" si="2"/>
        <v>1</v>
      </c>
      <c r="G10" s="5"/>
      <c r="H10" s="5"/>
      <c r="I10" s="5"/>
      <c r="J10" s="4"/>
      <c r="T10" s="5"/>
      <c r="U10" s="5"/>
      <c r="V10" s="5"/>
      <c r="W10" s="5"/>
      <c r="X10" s="5"/>
      <c r="Y10" s="5"/>
      <c r="Z10" s="5"/>
      <c r="AB10" s="167">
        <f t="shared" si="0"/>
        <v>830</v>
      </c>
      <c r="AC10" s="164">
        <f>UAOptimizer!AP15</f>
        <v>42727.300024028336</v>
      </c>
      <c r="AD10" s="167">
        <f t="shared" si="0"/>
        <v>830</v>
      </c>
      <c r="AE10" s="164">
        <f>UAOptimizer!AZ15</f>
        <v>42727.300024028336</v>
      </c>
      <c r="AF10" s="167">
        <f t="shared" si="0"/>
        <v>830</v>
      </c>
      <c r="AG10" s="165">
        <f t="shared" si="1"/>
        <v>42727.300024028336</v>
      </c>
      <c r="AH10" s="167">
        <f t="shared" si="0"/>
        <v>830</v>
      </c>
      <c r="AI10" s="5"/>
      <c r="AJ10" s="5"/>
      <c r="AK10" s="415" t="s">
        <v>118</v>
      </c>
      <c r="AL10" s="419" t="s">
        <v>319</v>
      </c>
      <c r="AM10" s="419" t="s">
        <v>319</v>
      </c>
      <c r="AN10" s="419" t="s">
        <v>320</v>
      </c>
      <c r="AO10" s="419" t="s">
        <v>320</v>
      </c>
      <c r="AP10" s="419" t="s">
        <v>317</v>
      </c>
      <c r="AQ10" s="419" t="s">
        <v>317</v>
      </c>
      <c r="AR10" s="419" t="s">
        <v>321</v>
      </c>
      <c r="AS10" s="419" t="s">
        <v>321</v>
      </c>
      <c r="AT10" s="419" t="s">
        <v>318</v>
      </c>
      <c r="AU10" s="419" t="s">
        <v>318</v>
      </c>
      <c r="AV10" s="5"/>
      <c r="AW10" s="419" t="s">
        <v>319</v>
      </c>
      <c r="AX10" s="419" t="s">
        <v>320</v>
      </c>
      <c r="AY10" s="419" t="s">
        <v>317</v>
      </c>
      <c r="AZ10" s="419" t="s">
        <v>321</v>
      </c>
      <c r="BA10" s="419" t="s">
        <v>318</v>
      </c>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row>
    <row r="11" spans="1:98" ht="12.75">
      <c r="A11" s="280" t="s">
        <v>202</v>
      </c>
      <c r="B11" s="147">
        <v>0</v>
      </c>
      <c r="C11" s="147">
        <v>0.44</v>
      </c>
      <c r="D11" s="147">
        <v>0.56</v>
      </c>
      <c r="E11" s="147">
        <v>0</v>
      </c>
      <c r="F11" s="279">
        <f t="shared" si="2"/>
        <v>1</v>
      </c>
      <c r="G11" s="5"/>
      <c r="H11" s="5"/>
      <c r="I11" s="5"/>
      <c r="J11" s="4"/>
      <c r="T11" s="5"/>
      <c r="U11" s="5"/>
      <c r="V11" s="5"/>
      <c r="W11" s="5"/>
      <c r="X11" s="5"/>
      <c r="Y11" s="5"/>
      <c r="Z11" s="5"/>
      <c r="AB11" s="167">
        <f t="shared" si="0"/>
        <v>820</v>
      </c>
      <c r="AC11" s="164">
        <f>UAOptimizer!AP16</f>
        <v>42023.900825403165</v>
      </c>
      <c r="AD11" s="167">
        <f t="shared" si="0"/>
        <v>820</v>
      </c>
      <c r="AE11" s="164">
        <f>UAOptimizer!AZ16</f>
        <v>42023.900825403165</v>
      </c>
      <c r="AF11" s="167">
        <f t="shared" si="0"/>
        <v>820</v>
      </c>
      <c r="AG11" s="165">
        <f t="shared" si="1"/>
        <v>42023.900825403165</v>
      </c>
      <c r="AH11" s="167">
        <f t="shared" si="0"/>
        <v>820</v>
      </c>
      <c r="AI11" s="5"/>
      <c r="AJ11" s="5"/>
      <c r="AK11" s="415" t="s">
        <v>313</v>
      </c>
      <c r="AL11" s="257">
        <v>924</v>
      </c>
      <c r="AM11" s="257">
        <v>1568</v>
      </c>
      <c r="AN11" s="257">
        <v>924</v>
      </c>
      <c r="AO11" s="257">
        <v>1568</v>
      </c>
      <c r="AP11" s="257">
        <v>924</v>
      </c>
      <c r="AQ11" s="257">
        <v>1568</v>
      </c>
      <c r="AR11" s="257">
        <v>924</v>
      </c>
      <c r="AS11" s="257">
        <v>1568</v>
      </c>
      <c r="AT11" s="257">
        <v>924</v>
      </c>
      <c r="AU11" s="257">
        <v>1568</v>
      </c>
      <c r="AV11" s="5"/>
      <c r="AW11" s="257">
        <f>SUMPRODUCT($I$1:$J$1,AL11:AM11)</f>
        <v>1020.5999999999999</v>
      </c>
      <c r="AX11" s="257">
        <f>SUMPRODUCT($I$1:$J$1,AN11:AO11)</f>
        <v>1020.5999999999999</v>
      </c>
      <c r="AY11" s="257">
        <f>SUMPRODUCT($I$1:$J$1,AP11:AQ11)</f>
        <v>1020.5999999999999</v>
      </c>
      <c r="AZ11" s="257">
        <f>SUMPRODUCT($I$1:$J$1,AR11:AS11)</f>
        <v>1020.5999999999999</v>
      </c>
      <c r="BA11" s="257">
        <f>SUMPRODUCT($I$1:$J$1,AT11:AU11)</f>
        <v>1020.5999999999999</v>
      </c>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row>
    <row r="12" spans="1:99" ht="13.5" thickBot="1">
      <c r="A12" s="280" t="s">
        <v>183</v>
      </c>
      <c r="B12" s="147">
        <v>0</v>
      </c>
      <c r="C12" s="147">
        <v>0</v>
      </c>
      <c r="D12" s="147">
        <v>1</v>
      </c>
      <c r="E12" s="147">
        <v>0</v>
      </c>
      <c r="F12" s="279">
        <f t="shared" si="2"/>
        <v>1</v>
      </c>
      <c r="G12" s="5"/>
      <c r="H12" s="5"/>
      <c r="I12" s="5"/>
      <c r="J12" s="4"/>
      <c r="T12" s="5"/>
      <c r="W12" s="5"/>
      <c r="X12" s="5"/>
      <c r="Y12" s="5"/>
      <c r="Z12" s="5"/>
      <c r="AB12" s="167">
        <f>AB13+10</f>
        <v>810</v>
      </c>
      <c r="AC12" s="164">
        <f>UAOptimizer!AP17</f>
        <v>41320.501626777994</v>
      </c>
      <c r="AD12" s="167">
        <f>AD13+10</f>
        <v>810</v>
      </c>
      <c r="AE12" s="164">
        <f>UAOptimizer!AZ17</f>
        <v>41320.501626777994</v>
      </c>
      <c r="AF12" s="167">
        <f>AF13+10</f>
        <v>810</v>
      </c>
      <c r="AG12" s="165">
        <f t="shared" si="1"/>
        <v>41320.501626777994</v>
      </c>
      <c r="AH12" s="167">
        <f>AH13+10</f>
        <v>810</v>
      </c>
      <c r="AI12" s="5"/>
      <c r="AJ12" s="5"/>
      <c r="AK12" s="415" t="s">
        <v>180</v>
      </c>
      <c r="AL12" s="186">
        <f>$B24</f>
        <v>320.2573634241245</v>
      </c>
      <c r="AM12" s="186">
        <f>$C24</f>
        <v>459.86391750972757</v>
      </c>
      <c r="AN12" s="186">
        <f>$B24</f>
        <v>320.2573634241245</v>
      </c>
      <c r="AO12" s="186">
        <f>$C24</f>
        <v>459.86391750972757</v>
      </c>
      <c r="AP12" s="186">
        <f>$B24</f>
        <v>320.2573634241245</v>
      </c>
      <c r="AQ12" s="186">
        <f>$C24</f>
        <v>459.86391750972757</v>
      </c>
      <c r="AR12" s="186">
        <f>$B24</f>
        <v>320.2573634241245</v>
      </c>
      <c r="AS12" s="186">
        <f>$C24</f>
        <v>459.86391750972757</v>
      </c>
      <c r="AT12" s="186">
        <f>$B24</f>
        <v>320.2573634241245</v>
      </c>
      <c r="AU12" s="186">
        <f>$C24</f>
        <v>459.86391750972757</v>
      </c>
      <c r="AV12" s="5"/>
      <c r="AW12" s="186">
        <f>SUMPRODUCT($I$1:$J$1,AL12:AM12)</f>
        <v>341.19834653696495</v>
      </c>
      <c r="AX12" s="186">
        <f>SUMPRODUCT($I$1:$J$1,AN12:AO12)</f>
        <v>341.19834653696495</v>
      </c>
      <c r="AY12" s="186">
        <f>SUMPRODUCT($I$1:$J$1,AP12:AQ12)</f>
        <v>341.19834653696495</v>
      </c>
      <c r="AZ12" s="186">
        <f>SUMPRODUCT($I$1:$J$1,AR12:AS12)</f>
        <v>341.19834653696495</v>
      </c>
      <c r="BA12" s="186">
        <f>SUMPRODUCT($I$1:$J$1,AT12:AU12)</f>
        <v>341.19834653696495</v>
      </c>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row>
    <row r="13" spans="1:96" ht="19.5" customHeight="1" thickBot="1">
      <c r="A13" s="281" t="s">
        <v>184</v>
      </c>
      <c r="B13" s="282">
        <v>0</v>
      </c>
      <c r="C13" s="282">
        <v>0</v>
      </c>
      <c r="D13" s="282">
        <v>0</v>
      </c>
      <c r="E13" s="282">
        <v>1</v>
      </c>
      <c r="F13" s="283">
        <f t="shared" si="2"/>
        <v>1</v>
      </c>
      <c r="G13" s="5"/>
      <c r="H13" s="5"/>
      <c r="I13" s="5"/>
      <c r="J13" s="4"/>
      <c r="N13" s="465" t="s">
        <v>304</v>
      </c>
      <c r="O13" s="466"/>
      <c r="P13" s="466"/>
      <c r="Q13" s="467"/>
      <c r="T13" s="5"/>
      <c r="W13" s="5"/>
      <c r="Y13" s="5"/>
      <c r="Z13" s="5"/>
      <c r="AB13" s="167">
        <v>800</v>
      </c>
      <c r="AC13" s="164">
        <f>UAOptimizer!AP18</f>
        <v>40698.20991789484</v>
      </c>
      <c r="AD13" s="167">
        <v>800</v>
      </c>
      <c r="AE13" s="164">
        <f>UAOptimizer!AZ18</f>
        <v>40698.20991789484</v>
      </c>
      <c r="AF13" s="167">
        <v>800</v>
      </c>
      <c r="AG13" s="165">
        <f t="shared" si="1"/>
        <v>40698.20991789484</v>
      </c>
      <c r="AH13" s="167">
        <v>800</v>
      </c>
      <c r="AI13" s="5"/>
      <c r="AJ13" s="5"/>
      <c r="AK13" s="415" t="s">
        <v>314</v>
      </c>
      <c r="AL13" s="416">
        <f aca="true" t="shared" si="5" ref="AL13:AU13">AL12/AL11</f>
        <v>0.3465988781646369</v>
      </c>
      <c r="AM13" s="416">
        <f t="shared" si="5"/>
        <v>0.29328055963630584</v>
      </c>
      <c r="AN13" s="416">
        <f t="shared" si="5"/>
        <v>0.3465988781646369</v>
      </c>
      <c r="AO13" s="416">
        <f t="shared" si="5"/>
        <v>0.29328055963630584</v>
      </c>
      <c r="AP13" s="416">
        <f t="shared" si="5"/>
        <v>0.3465988781646369</v>
      </c>
      <c r="AQ13" s="416">
        <f t="shared" si="5"/>
        <v>0.29328055963630584</v>
      </c>
      <c r="AR13" s="416">
        <f t="shared" si="5"/>
        <v>0.3465988781646369</v>
      </c>
      <c r="AS13" s="416">
        <f t="shared" si="5"/>
        <v>0.29328055963630584</v>
      </c>
      <c r="AT13" s="416">
        <f t="shared" si="5"/>
        <v>0.3465988781646369</v>
      </c>
      <c r="AU13" s="416">
        <f t="shared" si="5"/>
        <v>0.29328055963630584</v>
      </c>
      <c r="AV13" s="5"/>
      <c r="AW13" s="416">
        <f>SUMPRODUCT($I$1:$J$1,AL13:AM13)</f>
        <v>0.3386011303853872</v>
      </c>
      <c r="AX13" s="416">
        <f>SUMPRODUCT($I$1:$J$1,AN13:AO13)</f>
        <v>0.3386011303853872</v>
      </c>
      <c r="AY13" s="416">
        <f>SUMPRODUCT($I$1:$J$1,AP13:AQ13)</f>
        <v>0.3386011303853872</v>
      </c>
      <c r="AZ13" s="416">
        <f>SUMPRODUCT($I$1:$J$1,AR13:AS13)</f>
        <v>0.3386011303853872</v>
      </c>
      <c r="BA13" s="416">
        <f>SUMPRODUCT($I$1:$J$1,AT13:AU13)</f>
        <v>0.3386011303853872</v>
      </c>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row>
    <row r="14" spans="1:95" ht="15.75" thickBot="1">
      <c r="A14" s="284">
        <v>3</v>
      </c>
      <c r="B14" s="285">
        <v>1</v>
      </c>
      <c r="C14" s="285">
        <v>2</v>
      </c>
      <c r="D14" s="285">
        <v>3</v>
      </c>
      <c r="E14" s="285">
        <v>4</v>
      </c>
      <c r="F14" s="286"/>
      <c r="J14" s="4"/>
      <c r="T14" s="5"/>
      <c r="W14" s="5"/>
      <c r="X14" t="s">
        <v>305</v>
      </c>
      <c r="Y14" s="5"/>
      <c r="Z14" s="5"/>
      <c r="AB14" s="167">
        <v>790</v>
      </c>
      <c r="AC14" s="168">
        <f>UAOptimizer!AP19</f>
        <v>39971.23598021344</v>
      </c>
      <c r="AD14" s="167">
        <v>790</v>
      </c>
      <c r="AE14" s="168">
        <f>UAOptimizer!AZ19</f>
        <v>39971.23598021344</v>
      </c>
      <c r="AF14" s="167">
        <v>790</v>
      </c>
      <c r="AG14" s="144">
        <f t="shared" si="1"/>
        <v>39971.23598021344</v>
      </c>
      <c r="AH14" s="167">
        <v>790</v>
      </c>
      <c r="AI14" s="5"/>
      <c r="AJ14" s="5"/>
      <c r="AK14" s="415" t="s">
        <v>315</v>
      </c>
      <c r="AL14" s="418">
        <f>6.8884*AL13-0.6494</f>
        <v>1.7381117123492849</v>
      </c>
      <c r="AM14" s="418">
        <f>5.205*AM13-0.4214</f>
        <v>1.1051253129069718</v>
      </c>
      <c r="AN14" s="418">
        <f>4.2756*AN13-0.5065</f>
        <v>0.9754181634807215</v>
      </c>
      <c r="AO14" s="418">
        <f>3.0362*AO13-0.3058</f>
        <v>0.5846584351677517</v>
      </c>
      <c r="AP14" s="417">
        <f>10.627*AP13-0.5654</f>
        <v>3.117906278255597</v>
      </c>
      <c r="AQ14" s="418">
        <f>12.352*AQ13-0.69</f>
        <v>2.93260147262765</v>
      </c>
      <c r="AR14" s="418">
        <f>8.3136*AR13-0.5783</f>
        <v>2.303184433509525</v>
      </c>
      <c r="AS14" s="418">
        <f>6.94*AS13-0.4419</f>
        <v>1.5934670838759626</v>
      </c>
      <c r="AT14" s="418">
        <f>7.8386*AT13-0.5286</f>
        <v>2.188249966381323</v>
      </c>
      <c r="AU14" s="418">
        <f>6.7231*AU13-0.4693</f>
        <v>1.5024545304908477</v>
      </c>
      <c r="AV14" s="5"/>
      <c r="AW14" s="418">
        <f>SUMPRODUCT($I$1:$J$1,AL14:AM14)</f>
        <v>1.6431637524329379</v>
      </c>
      <c r="AX14" s="418">
        <f>SUMPRODUCT($I$1:$J$1,AN14:AO14)</f>
        <v>0.9168042042337761</v>
      </c>
      <c r="AY14" s="418">
        <f>SUMPRODUCT($I$1:$J$1,AP14:AQ14)</f>
        <v>3.0901105574114047</v>
      </c>
      <c r="AZ14" s="418">
        <f>SUMPRODUCT($I$1:$J$1,AR14:AS14)</f>
        <v>2.1967268310644905</v>
      </c>
      <c r="BA14" s="418">
        <f>SUMPRODUCT($I$1:$J$1,AT14:AU14)</f>
        <v>2.0853806509977515</v>
      </c>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row>
    <row r="15" spans="1:95" ht="15.75" thickBot="1">
      <c r="A15" s="287"/>
      <c r="B15" s="288"/>
      <c r="C15" s="288"/>
      <c r="D15" s="288"/>
      <c r="E15" s="288"/>
      <c r="F15" s="289"/>
      <c r="J15" s="4"/>
      <c r="T15" s="5"/>
      <c r="W15" s="5"/>
      <c r="X15" t="s">
        <v>306</v>
      </c>
      <c r="Y15" s="5"/>
      <c r="Z15" s="5"/>
      <c r="AB15" s="167">
        <v>780</v>
      </c>
      <c r="AC15" s="168">
        <f>UAOptimizer!AP20</f>
        <v>39246.40501134778</v>
      </c>
      <c r="AD15" s="167">
        <v>780</v>
      </c>
      <c r="AE15" s="168">
        <f>UAOptimizer!AZ20</f>
        <v>39246.40501134778</v>
      </c>
      <c r="AF15" s="167">
        <v>780</v>
      </c>
      <c r="AG15" s="144">
        <f t="shared" si="1"/>
        <v>39246.40501134778</v>
      </c>
      <c r="AH15" s="167">
        <v>780</v>
      </c>
      <c r="AI15" s="5"/>
      <c r="AJ15" s="5"/>
      <c r="AK15" s="415" t="s">
        <v>316</v>
      </c>
      <c r="AL15" s="257">
        <f aca="true" t="shared" si="6" ref="AL15:AU15">AL11*AL14</f>
        <v>1606.0152222107392</v>
      </c>
      <c r="AM15" s="257">
        <f t="shared" si="6"/>
        <v>1732.8364906381319</v>
      </c>
      <c r="AN15" s="257">
        <f t="shared" si="6"/>
        <v>901.2863830561867</v>
      </c>
      <c r="AO15" s="257">
        <f t="shared" si="6"/>
        <v>916.7444263430348</v>
      </c>
      <c r="AP15" s="257">
        <f t="shared" si="6"/>
        <v>2880.9454011081716</v>
      </c>
      <c r="AQ15" s="257">
        <f t="shared" si="6"/>
        <v>4598.319109080155</v>
      </c>
      <c r="AR15" s="257">
        <f t="shared" si="6"/>
        <v>2128.1424165628014</v>
      </c>
      <c r="AS15" s="257">
        <f t="shared" si="6"/>
        <v>2498.5563875175094</v>
      </c>
      <c r="AT15" s="257">
        <f t="shared" si="6"/>
        <v>2021.9429689363424</v>
      </c>
      <c r="AU15" s="257">
        <f t="shared" si="6"/>
        <v>2355.848703809649</v>
      </c>
      <c r="AV15" s="5"/>
      <c r="AW15" s="421">
        <f>SUMPRODUCT($I$1:$J$1,AL15:AM15)</f>
        <v>1625.038412474848</v>
      </c>
      <c r="AX15" s="421">
        <f>SUMPRODUCT($I$1:$J$1,AN15:AO15)</f>
        <v>903.6050895492137</v>
      </c>
      <c r="AY15" s="421">
        <f>SUMPRODUCT($I$1:$J$1,AP15:AQ15)</f>
        <v>3138.551457303969</v>
      </c>
      <c r="AZ15" s="421">
        <f>SUMPRODUCT($I$1:$J$1,AR15:AS15)</f>
        <v>2183.7045122060076</v>
      </c>
      <c r="BA15" s="421">
        <f>SUMPRODUCT($I$1:$J$1,AT15:AU15)</f>
        <v>2072.0288291673382</v>
      </c>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row>
    <row r="16" spans="1:95" ht="15.75" thickBot="1">
      <c r="A16" s="456" t="s">
        <v>265</v>
      </c>
      <c r="B16" s="457"/>
      <c r="C16" s="457"/>
      <c r="D16" s="457"/>
      <c r="E16" s="457"/>
      <c r="F16" s="458"/>
      <c r="J16" s="4"/>
      <c r="T16" s="5"/>
      <c r="W16" s="5"/>
      <c r="X16">
        <v>2</v>
      </c>
      <c r="Y16" s="5"/>
      <c r="Z16" s="5"/>
      <c r="AB16" s="167">
        <v>770</v>
      </c>
      <c r="AC16" s="168">
        <f>UAOptimizer!AP21</f>
        <v>38523.87869988683</v>
      </c>
      <c r="AD16" s="167">
        <v>770</v>
      </c>
      <c r="AE16" s="168">
        <f>UAOptimizer!AZ21</f>
        <v>38523.87869988683</v>
      </c>
      <c r="AF16" s="167">
        <v>770</v>
      </c>
      <c r="AG16" s="144">
        <f t="shared" si="1"/>
        <v>38523.87869988683</v>
      </c>
      <c r="AH16" s="167">
        <v>770</v>
      </c>
      <c r="AI16" s="5"/>
      <c r="AJ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row>
    <row r="17" spans="10:95" ht="15.75" thickBot="1">
      <c r="J17" s="4"/>
      <c r="T17" s="5"/>
      <c r="W17" s="5"/>
      <c r="X17" s="5"/>
      <c r="Y17" s="5"/>
      <c r="Z17" s="5"/>
      <c r="AB17" s="167">
        <v>760</v>
      </c>
      <c r="AC17" s="168">
        <f>UAOptimizer!AP22</f>
        <v>37803.68807922311</v>
      </c>
      <c r="AD17" s="167">
        <v>760</v>
      </c>
      <c r="AE17" s="168">
        <f>UAOptimizer!AZ22</f>
        <v>37803.68807922311</v>
      </c>
      <c r="AF17" s="167">
        <v>760</v>
      </c>
      <c r="AG17" s="144">
        <f t="shared" si="1"/>
        <v>37803.68807922311</v>
      </c>
      <c r="AH17" s="167">
        <v>760</v>
      </c>
      <c r="AI17" s="5"/>
      <c r="AJ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row>
    <row r="18" spans="1:95" ht="13.5" customHeight="1" thickBot="1">
      <c r="A18" s="471" t="s">
        <v>266</v>
      </c>
      <c r="B18" s="472"/>
      <c r="C18" s="472"/>
      <c r="D18" s="472"/>
      <c r="E18" s="472"/>
      <c r="F18" s="472"/>
      <c r="G18" s="472"/>
      <c r="H18" s="472"/>
      <c r="I18" s="472"/>
      <c r="J18" s="473"/>
      <c r="N18" s="453" t="s">
        <v>258</v>
      </c>
      <c r="O18" s="423"/>
      <c r="P18" s="423"/>
      <c r="Q18" s="423"/>
      <c r="R18" s="424"/>
      <c r="T18" s="5"/>
      <c r="W18" s="5"/>
      <c r="X18" s="5"/>
      <c r="Y18" s="5"/>
      <c r="Z18" s="5"/>
      <c r="AB18" s="167">
        <v>750</v>
      </c>
      <c r="AC18" s="168">
        <f>UAOptimizer!AP23</f>
        <v>37085.83273221432</v>
      </c>
      <c r="AD18" s="167">
        <v>750</v>
      </c>
      <c r="AE18" s="168">
        <f>UAOptimizer!AZ23</f>
        <v>37085.83273221432</v>
      </c>
      <c r="AF18" s="167">
        <v>750</v>
      </c>
      <c r="AG18" s="144">
        <f t="shared" si="1"/>
        <v>37085.83273221432</v>
      </c>
      <c r="AH18" s="167">
        <v>750</v>
      </c>
      <c r="AI18" s="5"/>
      <c r="AJ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row>
    <row r="19" spans="1:95" ht="42.75" customHeight="1" thickBot="1">
      <c r="A19" s="319"/>
      <c r="B19" s="459" t="s">
        <v>267</v>
      </c>
      <c r="C19" s="460"/>
      <c r="D19" s="461"/>
      <c r="E19" s="463" t="s">
        <v>268</v>
      </c>
      <c r="F19" s="463"/>
      <c r="G19" s="464"/>
      <c r="H19" s="462" t="s">
        <v>269</v>
      </c>
      <c r="I19" s="463"/>
      <c r="J19" s="463"/>
      <c r="K19" s="459" t="s">
        <v>301</v>
      </c>
      <c r="L19" s="463"/>
      <c r="M19" s="463"/>
      <c r="N19" s="260" t="s">
        <v>118</v>
      </c>
      <c r="O19" s="261" t="s">
        <v>259</v>
      </c>
      <c r="P19" s="261" t="s">
        <v>260</v>
      </c>
      <c r="Q19" s="261" t="s">
        <v>205</v>
      </c>
      <c r="R19" s="262" t="s">
        <v>261</v>
      </c>
      <c r="T19" s="5"/>
      <c r="U19" s="5"/>
      <c r="V19" s="5"/>
      <c r="W19" s="5"/>
      <c r="X19" s="5"/>
      <c r="Y19" s="5"/>
      <c r="Z19" s="5"/>
      <c r="AB19" s="167">
        <v>740</v>
      </c>
      <c r="AC19" s="168">
        <f>UAOptimizer!AP24</f>
        <v>36370.28136319859</v>
      </c>
      <c r="AD19" s="167">
        <v>740</v>
      </c>
      <c r="AE19" s="168">
        <f>UAOptimizer!AZ24</f>
        <v>36370.28136319859</v>
      </c>
      <c r="AF19" s="167">
        <v>740</v>
      </c>
      <c r="AG19" s="144">
        <f t="shared" si="1"/>
        <v>36370.28136319859</v>
      </c>
      <c r="AH19" s="167">
        <v>740</v>
      </c>
      <c r="AI19" s="5"/>
      <c r="AJ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row>
    <row r="20" spans="1:98" ht="13.5" thickBot="1">
      <c r="A20" s="317" t="s">
        <v>273</v>
      </c>
      <c r="B20" s="342">
        <v>924</v>
      </c>
      <c r="C20" s="343">
        <v>1568</v>
      </c>
      <c r="D20" s="339">
        <f>SUMPRODUCT($I$1:$J$1,B20:C20)</f>
        <v>1020.5999999999999</v>
      </c>
      <c r="E20" s="318">
        <v>924</v>
      </c>
      <c r="F20" s="295">
        <v>1568</v>
      </c>
      <c r="G20" s="339">
        <f>SUMPRODUCT($I$1:$J$1,E20:F20)</f>
        <v>1020.5999999999999</v>
      </c>
      <c r="H20" s="295">
        <v>924</v>
      </c>
      <c r="I20" s="295">
        <v>1568</v>
      </c>
      <c r="J20" s="400">
        <f>SUMPRODUCT($I$1:$J$1,H20:I20)</f>
        <v>1020.5999999999999</v>
      </c>
      <c r="K20" s="401">
        <v>924</v>
      </c>
      <c r="L20" s="295">
        <v>1568</v>
      </c>
      <c r="M20" s="400">
        <f>SUMPRODUCT($I$1:$J$1,K20:L20)</f>
        <v>1020.5999999999999</v>
      </c>
      <c r="N20" s="267" t="s">
        <v>199</v>
      </c>
      <c r="O20" s="258">
        <v>8238.177253732387</v>
      </c>
      <c r="P20" s="258">
        <v>6143.337291582022</v>
      </c>
      <c r="Q20" s="259">
        <v>2094.839962150363</v>
      </c>
      <c r="R20" s="146">
        <v>1715.235183131445</v>
      </c>
      <c r="U20" s="5"/>
      <c r="V20" s="5"/>
      <c r="W20" s="5"/>
      <c r="X20" s="5"/>
      <c r="Y20" s="5"/>
      <c r="Z20" s="5"/>
      <c r="AB20" s="167">
        <v>730</v>
      </c>
      <c r="AC20" s="168">
        <f>UAOptimizer!AP25</f>
        <v>35657.583450502054</v>
      </c>
      <c r="AD20" s="167">
        <v>730</v>
      </c>
      <c r="AE20" s="168">
        <f>UAOptimizer!AZ25</f>
        <v>35657.583450502054</v>
      </c>
      <c r="AF20" s="167">
        <v>730</v>
      </c>
      <c r="AG20" s="144">
        <f t="shared" si="1"/>
        <v>35657.583450502054</v>
      </c>
      <c r="AH20" s="167">
        <v>730</v>
      </c>
      <c r="AI20" s="5"/>
      <c r="AJ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row>
    <row r="21" spans="1:98" ht="13.5" thickBot="1">
      <c r="A21" s="303" t="s">
        <v>278</v>
      </c>
      <c r="B21" s="304">
        <f>UAOptimizer!B49</f>
        <v>574.6042994152047</v>
      </c>
      <c r="C21" s="296">
        <f>UAOptimizer!C49</f>
        <v>847.9688093567252</v>
      </c>
      <c r="D21" s="299">
        <f>SUMPRODUCT(I$1:J$1,B21:C21)</f>
        <v>615.6089759064326</v>
      </c>
      <c r="E21" s="302">
        <f ca="1">IF(ISNA(INDEX($AB$3:$AC$82,MATCH(B21,$AB$3:$AB$82,0),1)),TREND(OFFSET(INDEX($AB$3:$AC$82,MATCH(B21,$AB$3:$AB$82,-1),2),0,0,2,1),OFFSET(INDEX($AB$3:$AC$82,MATCH(B21,$AB$3:$AB$82,-1),1),0,0,2,1),B21),INDEX($AB$3:$AC$82,MATCH(B21,$AB$3:$AB$82,0),2))</f>
        <v>24932.185442440295</v>
      </c>
      <c r="F21" s="297">
        <f ca="1">IF(ISNA(INDEX($AD$3:$AE$82,MATCH(C21,$AD$3:$AD$82,0),1)),TREND(OFFSET(INDEX($AD$3:$AE$82,MATCH(C21,$AD$3:$AD$82,-1),2),0,0,2,1),OFFSET(INDEX($AD$3:$AE$82,MATCH(C21,$AD$3:$AD$82,-1),1),0,0,2,1),C21),INDEX($AD$3:$AE$82,MATCH(C21,$AD$3:$AD$82,0),2))</f>
        <v>43991.224634204686</v>
      </c>
      <c r="G21" s="395">
        <f>SUMPRODUCT($I$1:$J$1,E21:F21)</f>
        <v>27791.041321204953</v>
      </c>
      <c r="H21" s="474"/>
      <c r="I21" s="475"/>
      <c r="J21" s="476"/>
      <c r="K21" s="480"/>
      <c r="L21" s="481"/>
      <c r="M21" s="481"/>
      <c r="N21" s="175" t="s">
        <v>201</v>
      </c>
      <c r="O21" s="143">
        <v>11527.655640687162</v>
      </c>
      <c r="P21" s="143">
        <v>8792.784023606202</v>
      </c>
      <c r="Q21" s="257">
        <v>2734.871617080959</v>
      </c>
      <c r="R21" s="263">
        <v>1715.235183131445</v>
      </c>
      <c r="S21" s="5"/>
      <c r="U21" s="5"/>
      <c r="V21" s="5"/>
      <c r="W21" s="5"/>
      <c r="X21" s="5"/>
      <c r="Y21" s="5"/>
      <c r="Z21" s="5"/>
      <c r="AB21" s="167">
        <v>720</v>
      </c>
      <c r="AC21" s="168">
        <f>UAOptimizer!AP26</f>
        <v>34947.481278183055</v>
      </c>
      <c r="AD21" s="167">
        <v>720</v>
      </c>
      <c r="AE21" s="168">
        <f>UAOptimizer!AZ26</f>
        <v>34947.481278183055</v>
      </c>
      <c r="AF21" s="167">
        <v>720</v>
      </c>
      <c r="AG21" s="144">
        <f t="shared" si="1"/>
        <v>34947.481278183055</v>
      </c>
      <c r="AH21" s="167">
        <v>720</v>
      </c>
      <c r="AI21" s="5"/>
      <c r="AJ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row>
    <row r="22" spans="1:98" ht="25.5">
      <c r="A22" s="303" t="s">
        <v>303</v>
      </c>
      <c r="B22" s="305">
        <f>UAOptimizer!B62</f>
        <v>513.0202994152047</v>
      </c>
      <c r="C22" s="293">
        <f>UAOptimizer!C62</f>
        <v>786.3508093567251</v>
      </c>
      <c r="D22" s="300">
        <f>SUMPRODUCT(I$1:J$1,B22:C22)</f>
        <v>554.0198759064327</v>
      </c>
      <c r="E22" s="149">
        <f ca="1">IF(ISNA(INDEX($AB$3:$AC$82,MATCH(B22,$AB$3:$AB$82,0),1)),TREND(OFFSET(INDEX($AB$3:$AC$82,MATCH(B22,$AB$3:$AB$82,-1),2),0,0,2,1),OFFSET(INDEX($AB$3:$AC$82,MATCH(B22,$AB$3:$AB$82,-1),1),0,0,2,1),B22),INDEX($AB$3:$AC$82,MATCH(B22,$AB$3:$AB$82,0),2))</f>
        <v>20897.88032014139</v>
      </c>
      <c r="F22" s="148">
        <f ca="1">IF(ISNA(INDEX($AD$3:$AE$82,MATCH(C22,$AD$3:$AD$82,0),1)),TREND(OFFSET(INDEX($AD$3:$AE$82,MATCH(C22,$AD$3:$AD$82,-1),2),0,0,2,1),OFFSET(INDEX($AD$3:$AE$82,MATCH(C22,$AD$3:$AD$82,-1),1),0,0,2,1),C22),INDEX($AD$3:$AE$82,MATCH(C22,$AD$3:$AD$82,0),2))</f>
        <v>39706.73134125967</v>
      </c>
      <c r="G22" s="392">
        <f>SUMPRODUCT($I$1:$J$1,E22:F22)</f>
        <v>23719.20797330913</v>
      </c>
      <c r="H22" s="396">
        <f aca="true" t="shared" si="7" ref="H22:I24">E21-E22</f>
        <v>4034.305122298905</v>
      </c>
      <c r="I22" s="394">
        <f t="shared" si="7"/>
        <v>4284.493292945015</v>
      </c>
      <c r="J22" s="397"/>
      <c r="K22" s="402">
        <f>0.0619994521*($B22^2)-73.4903254248*$B22+21562.5558683131</f>
        <v>178.15222500293385</v>
      </c>
      <c r="L22" s="399">
        <f>0.0334820194*($C22^2)-63.6166461393*$C22+29586.9805350107</f>
        <v>265.5055391335627</v>
      </c>
      <c r="M22" s="407">
        <f>SUMPRODUCT($I$1:$J$1,K22:L22)</f>
        <v>191.25522212252815</v>
      </c>
      <c r="N22" s="175" t="s">
        <v>203</v>
      </c>
      <c r="O22" s="143">
        <v>13847.789189750798</v>
      </c>
      <c r="P22" s="143">
        <v>10610.288526279455</v>
      </c>
      <c r="Q22" s="257">
        <v>3237.500663471342</v>
      </c>
      <c r="R22" s="263">
        <v>1715.235183131445</v>
      </c>
      <c r="S22" s="5"/>
      <c r="U22" s="5"/>
      <c r="V22" s="5"/>
      <c r="W22" s="5"/>
      <c r="X22" s="5"/>
      <c r="Y22" s="5"/>
      <c r="Z22" s="5"/>
      <c r="AB22" s="167">
        <v>710</v>
      </c>
      <c r="AC22" s="168">
        <f>UAOptimizer!AP27</f>
        <v>34239.81792208037</v>
      </c>
      <c r="AD22" s="167">
        <v>710</v>
      </c>
      <c r="AE22" s="168">
        <f>UAOptimizer!AZ27</f>
        <v>34239.81792208037</v>
      </c>
      <c r="AF22" s="167">
        <v>710</v>
      </c>
      <c r="AG22" s="144">
        <f t="shared" si="1"/>
        <v>34239.81792208037</v>
      </c>
      <c r="AH22" s="167">
        <v>710</v>
      </c>
      <c r="AI22" s="5"/>
      <c r="AJ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row>
    <row r="23" spans="1:98" ht="12.75">
      <c r="A23" s="390" t="s">
        <v>300</v>
      </c>
      <c r="B23" s="391">
        <f>UAOptimizer!B83</f>
        <v>371.2489805511402</v>
      </c>
      <c r="C23" s="391">
        <f>UAOptimizer!C83</f>
        <v>546.3396699673208</v>
      </c>
      <c r="D23" s="300">
        <f>SUMPRODUCT(I$1:J$1,B23:C23)</f>
        <v>397.5125839635673</v>
      </c>
      <c r="E23" s="149">
        <f ca="1">IF(ISNA(INDEX($AB$3:$AC$82,MATCH(B23,$AB$3:$AB$82,0),1)),TREND(OFFSET(INDEX($AB$3:$AC$82,MATCH(B23,$AB$3:$AB$82,-1),2),0,0,2,1),OFFSET(INDEX($AB$3:$AC$82,MATCH(B23,$AB$3:$AB$82,-1),1),0,0,2,1),B23),INDEX($AB$3:$AC$82,MATCH(B23,$AB$3:$AB$82,0),2))</f>
        <v>12221.264930730296</v>
      </c>
      <c r="F23" s="148">
        <f ca="1">IF(ISNA(INDEX($AD$3:$AE$82,MATCH(C23,$AD$3:$AD$82,0),1)),TREND(OFFSET(INDEX($AD$3:$AE$82,MATCH(C23,$AD$3:$AD$82,-1),2),0,0,2,1),OFFSET(INDEX($AD$3:$AE$82,MATCH(C23,$AD$3:$AD$82,-1),1),0,0,2,1),C23),INDEX($AD$3:$AE$82,MATCH(C23,$AD$3:$AD$82,0),2))</f>
        <v>23064.75999086697</v>
      </c>
      <c r="G23" s="392">
        <f>SUMPRODUCT($I$1:$J$1,E23:F23)</f>
        <v>13847.789189750798</v>
      </c>
      <c r="H23" s="396">
        <f t="shared" si="7"/>
        <v>8676.615389411094</v>
      </c>
      <c r="I23" s="394">
        <f t="shared" si="7"/>
        <v>16641.9713503927</v>
      </c>
      <c r="J23" s="397"/>
      <c r="K23" s="403">
        <f>0.0619994521*($B23^2)-73.4903254248*$B23+21562.5558683131</f>
        <v>2824.4719039618612</v>
      </c>
      <c r="L23" s="398">
        <f>0.0334820194*($C23^2)-63.6166461393*$C23+29586.9805350107</f>
        <v>4824.631774686579</v>
      </c>
      <c r="M23" s="408">
        <f>SUMPRODUCT($I$1:$J$1,K23:L23)</f>
        <v>3124.4958845705687</v>
      </c>
      <c r="N23" s="175" t="s">
        <v>204</v>
      </c>
      <c r="O23" s="143">
        <v>9100.505150420864</v>
      </c>
      <c r="P23" s="143">
        <v>6826.879794061241</v>
      </c>
      <c r="Q23" s="257">
        <v>2273.6253563596215</v>
      </c>
      <c r="R23" s="263">
        <v>1715.235183131445</v>
      </c>
      <c r="S23" s="5"/>
      <c r="U23" s="5"/>
      <c r="V23" s="5"/>
      <c r="W23" s="5"/>
      <c r="X23" s="5"/>
      <c r="Y23" s="5"/>
      <c r="Z23" s="5"/>
      <c r="AB23" s="167">
        <v>700</v>
      </c>
      <c r="AC23" s="168">
        <f>UAOptimizer!AP28</f>
        <v>33534.88587317589</v>
      </c>
      <c r="AD23" s="167">
        <v>700</v>
      </c>
      <c r="AE23" s="168">
        <f>UAOptimizer!AZ28</f>
        <v>33534.88587317589</v>
      </c>
      <c r="AF23" s="167">
        <v>700</v>
      </c>
      <c r="AG23" s="144">
        <f t="shared" si="1"/>
        <v>33534.88587317589</v>
      </c>
      <c r="AH23" s="167">
        <v>700</v>
      </c>
      <c r="AI23" s="5"/>
      <c r="AJ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row>
    <row r="24" spans="1:98" ht="13.5" thickBot="1">
      <c r="A24" s="320" t="s">
        <v>200</v>
      </c>
      <c r="B24" s="306">
        <f>INDEX(B25:B34,MATCH(TRUE,C25:C34,0))</f>
        <v>320.2573634241245</v>
      </c>
      <c r="C24" s="298">
        <f>INDEX(D25:D34,MATCH(TRUE,E25:E34,0))</f>
        <v>459.86391750972757</v>
      </c>
      <c r="D24" s="301">
        <f>SUMPRODUCT(I$1:J$1,B24:C24)</f>
        <v>341.19834653696495</v>
      </c>
      <c r="E24" s="151">
        <f ca="1">IF(ISNA(INDEX($AB$3:$AC$82,MATCH(B24,$AB$3:$AB$82,0),1)),TREND(OFFSET(INDEX($AB$3:$AC$82,MATCH(B24,$AB$3:$AB$82,-1),2),0,0,2,1),OFFSET(INDEX($AB$3:$AC$82,MATCH(B24,$AB$3:$AB$82,-1),1),0,0,2,1),B24),INDEX($AB$3:$AC$82,MATCH(B24,$AB$3:$AB$82,0),2))</f>
        <v>9389.110436925643</v>
      </c>
      <c r="F24" s="152">
        <f ca="1">IF(ISNA(INDEX($AD$3:$AE$82,MATCH(C24,$AD$3:$AD$82,0),1)),TREND(OFFSET(INDEX($AD$3:$AE$82,MATCH(C24,$AD$3:$AD$82,-1),2),0,0,2,1),OFFSET(INDEX($AD$3:$AE$82,MATCH(C24,$AD$3:$AD$82,-1),1),0,0,2,1),C24),INDEX($AD$3:$AE$82,MATCH(C24,$AD$3:$AD$82,0),2))</f>
        <v>17530.29769928439</v>
      </c>
      <c r="G24" s="393">
        <f>SUMPRODUCT($I$1:$J$1,E24:F24)</f>
        <v>10610.288526279455</v>
      </c>
      <c r="H24" s="340">
        <f t="shared" si="7"/>
        <v>2832.1544938046536</v>
      </c>
      <c r="I24" s="341">
        <f t="shared" si="7"/>
        <v>5534.4622915825785</v>
      </c>
      <c r="J24" s="393">
        <f>SUMPRODUCT($I$1:$J$1,H24:I24)</f>
        <v>3237.500663471342</v>
      </c>
      <c r="K24" s="403">
        <f>0.0619994521*($B$24^2)-73.4903254248*$B$24+21562.5558683131</f>
        <v>4385.698102640476</v>
      </c>
      <c r="L24" s="398">
        <f>0.0334820194*($C$24^2)-63.6166461393*$C$24+29586.9805350107</f>
        <v>7412.5845363840635</v>
      </c>
      <c r="M24" s="408">
        <f>SUMPRODUCT($I$1:$J$1,K24:L24)</f>
        <v>4839.731067702014</v>
      </c>
      <c r="N24" s="175" t="s">
        <v>181</v>
      </c>
      <c r="O24" s="143">
        <v>7067.353240967346</v>
      </c>
      <c r="P24" s="143">
        <v>5235.685511573807</v>
      </c>
      <c r="Q24" s="143">
        <v>1831.6677293935381</v>
      </c>
      <c r="R24" s="411">
        <v>1715.235183131445</v>
      </c>
      <c r="S24" s="5"/>
      <c r="U24" s="5"/>
      <c r="V24" s="5"/>
      <c r="W24" s="5"/>
      <c r="X24" s="5"/>
      <c r="Y24" s="5"/>
      <c r="Z24" s="5"/>
      <c r="AB24" s="167">
        <v>690</v>
      </c>
      <c r="AC24" s="168">
        <f>UAOptimizer!AP29</f>
        <v>32832.56291271077</v>
      </c>
      <c r="AD24" s="167">
        <v>690</v>
      </c>
      <c r="AE24" s="168">
        <f>UAOptimizer!AZ29</f>
        <v>32832.56291271077</v>
      </c>
      <c r="AF24" s="167">
        <v>690</v>
      </c>
      <c r="AG24" s="144">
        <f t="shared" si="1"/>
        <v>32832.56291271077</v>
      </c>
      <c r="AH24" s="167">
        <v>690</v>
      </c>
      <c r="AI24" s="5"/>
      <c r="AJ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row>
    <row r="25" spans="2:98" ht="13.5" thickBot="1">
      <c r="B25" s="165">
        <f>IF('924 SF'!AD29&gt;=1,UAOptimizer!T31,UAOptimizer!T30)</f>
        <v>463.1242994152047</v>
      </c>
      <c r="C25" s="294" t="b">
        <f aca="true" t="shared" si="8" ref="C25:C30">AND(B25=B26,B26&gt;B27)</f>
        <v>0</v>
      </c>
      <c r="D25" s="165">
        <f>IF('1568 SF'!AD29&gt;=1,UAOptimizer!AA31,UAOptimizer!AA30)</f>
        <v>701.6788093567251</v>
      </c>
      <c r="E25" s="294" t="b">
        <f aca="true" t="shared" si="9" ref="E25:E32">AND(D25=D26,D26&gt;D27)</f>
        <v>0</v>
      </c>
      <c r="F25" s="4"/>
      <c r="G25" s="4"/>
      <c r="H25" s="477" t="s">
        <v>302</v>
      </c>
      <c r="I25" s="478"/>
      <c r="J25" s="479"/>
      <c r="K25" s="404">
        <f>K24-K23</f>
        <v>1561.2261986786143</v>
      </c>
      <c r="L25" s="405">
        <f>L24-L23</f>
        <v>2587.9527616974847</v>
      </c>
      <c r="M25" s="409">
        <f>SUMPRODUCT($I$1:$J$1,K25:L25)</f>
        <v>1715.235183131445</v>
      </c>
      <c r="N25" s="175" t="s">
        <v>182</v>
      </c>
      <c r="O25" s="143">
        <v>8096.326211343598</v>
      </c>
      <c r="P25" s="143">
        <v>5996.8408512864635</v>
      </c>
      <c r="Q25" s="143">
        <v>2099.4853600571346</v>
      </c>
      <c r="R25" s="411">
        <v>1715.235183131445</v>
      </c>
      <c r="S25" s="5"/>
      <c r="U25" s="5"/>
      <c r="V25" s="5"/>
      <c r="W25" s="5"/>
      <c r="X25" s="5"/>
      <c r="Y25" s="5"/>
      <c r="Z25" s="5"/>
      <c r="AB25" s="167">
        <v>680</v>
      </c>
      <c r="AC25" s="168">
        <f>UAOptimizer!AP30</f>
        <v>32132.98313769757</v>
      </c>
      <c r="AD25" s="167">
        <v>680</v>
      </c>
      <c r="AE25" s="168">
        <f>UAOptimizer!AZ30</f>
        <v>32132.98313769757</v>
      </c>
      <c r="AF25" s="167">
        <v>680</v>
      </c>
      <c r="AG25" s="144">
        <f t="shared" si="1"/>
        <v>32132.98313769757</v>
      </c>
      <c r="AH25" s="167">
        <v>680</v>
      </c>
      <c r="AI25" s="5"/>
      <c r="AJ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row>
    <row r="26" spans="2:98" ht="12.75">
      <c r="B26" s="165">
        <f>IF('924 SF'!AD30&gt;=1,UAOptimizer!T32,UAOptimizer!T31)</f>
        <v>405.8362994152047</v>
      </c>
      <c r="C26" s="294" t="b">
        <f t="shared" si="8"/>
        <v>0</v>
      </c>
      <c r="D26" s="165">
        <f>IF('1568 SF'!AD30&gt;=1,UAOptimizer!AA32,UAOptimizer!AA31)</f>
        <v>604.4628093567251</v>
      </c>
      <c r="E26" s="294" t="b">
        <f t="shared" si="9"/>
        <v>0</v>
      </c>
      <c r="F26" s="4"/>
      <c r="G26" s="4"/>
      <c r="H26" s="4"/>
      <c r="I26" s="4"/>
      <c r="N26" s="175" t="s">
        <v>202</v>
      </c>
      <c r="O26" s="143">
        <v>10162.503072023665</v>
      </c>
      <c r="P26" s="143">
        <v>7680.419535694032</v>
      </c>
      <c r="Q26" s="143">
        <v>2482.0835363296333</v>
      </c>
      <c r="R26" s="411">
        <v>1715.235183131445</v>
      </c>
      <c r="S26" s="5"/>
      <c r="U26" s="5"/>
      <c r="V26" s="5"/>
      <c r="W26" s="5"/>
      <c r="X26" s="5"/>
      <c r="Y26" s="5"/>
      <c r="Z26" s="5"/>
      <c r="AB26" s="167">
        <v>670</v>
      </c>
      <c r="AC26" s="168">
        <f>UAOptimizer!AP31</f>
        <v>31436.123146651415</v>
      </c>
      <c r="AD26" s="167">
        <v>670</v>
      </c>
      <c r="AE26" s="168">
        <f>UAOptimizer!AZ31</f>
        <v>31436.123146651415</v>
      </c>
      <c r="AF26" s="167">
        <v>670</v>
      </c>
      <c r="AG26" s="144">
        <f t="shared" si="1"/>
        <v>31436.123146651415</v>
      </c>
      <c r="AH26" s="167">
        <v>670</v>
      </c>
      <c r="AI26" s="5"/>
      <c r="AJ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row>
    <row r="27" spans="2:98" ht="12.75">
      <c r="B27" s="165">
        <f>IF('924 SF'!AD31&gt;=1,UAOptimizer!T33,UAOptimizer!T32)</f>
        <v>320.2573634241245</v>
      </c>
      <c r="C27" s="294" t="b">
        <f t="shared" si="8"/>
        <v>1</v>
      </c>
      <c r="D27" s="165">
        <f>IF('1568 SF'!AD31&gt;=1,UAOptimizer!AA33,UAOptimizer!AA32)</f>
        <v>459.86391750972757</v>
      </c>
      <c r="E27" s="294" t="b">
        <f t="shared" si="9"/>
        <v>1</v>
      </c>
      <c r="F27" s="4"/>
      <c r="G27" s="4"/>
      <c r="H27" s="4"/>
      <c r="I27" s="4"/>
      <c r="N27" s="175" t="s">
        <v>183</v>
      </c>
      <c r="O27" s="143">
        <v>11785.927748272281</v>
      </c>
      <c r="P27" s="143">
        <v>9003.231359157162</v>
      </c>
      <c r="Q27" s="143">
        <v>2782.6963891151195</v>
      </c>
      <c r="R27" s="411">
        <v>1715.235183131445</v>
      </c>
      <c r="S27" s="5"/>
      <c r="T27" s="5"/>
      <c r="U27" s="5"/>
      <c r="V27" s="5"/>
      <c r="W27" s="5"/>
      <c r="X27" s="5"/>
      <c r="Y27" s="5"/>
      <c r="Z27" s="5"/>
      <c r="AB27" s="167">
        <v>660</v>
      </c>
      <c r="AC27" s="168">
        <f>UAOptimizer!AP32</f>
        <v>30741.993207904332</v>
      </c>
      <c r="AD27" s="167">
        <v>660</v>
      </c>
      <c r="AE27" s="168">
        <f>UAOptimizer!AZ32</f>
        <v>30741.993207904332</v>
      </c>
      <c r="AF27" s="167">
        <v>660</v>
      </c>
      <c r="AG27" s="144">
        <f t="shared" si="1"/>
        <v>30741.993207904332</v>
      </c>
      <c r="AH27" s="167">
        <v>660</v>
      </c>
      <c r="AI27" s="5"/>
      <c r="AJ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row>
    <row r="28" spans="2:94" ht="13.5" thickBot="1">
      <c r="B28" s="165">
        <f>IF('924 SF'!AD32&gt;=1,UAOptimizer!T34,UAOptimizer!T33)</f>
        <v>320.2573634241245</v>
      </c>
      <c r="C28" s="294" t="b">
        <f t="shared" si="8"/>
        <v>0</v>
      </c>
      <c r="D28" s="165">
        <f>IF('1568 SF'!AD32&gt;=1,UAOptimizer!AA34,UAOptimizer!AA33)</f>
        <v>459.86391750972757</v>
      </c>
      <c r="E28" s="294" t="b">
        <f t="shared" si="9"/>
        <v>0</v>
      </c>
      <c r="F28" s="4"/>
      <c r="G28" s="4"/>
      <c r="H28" s="4"/>
      <c r="I28" s="4"/>
      <c r="N28" s="264" t="s">
        <v>184</v>
      </c>
      <c r="O28" s="143">
        <v>13847.789189750798</v>
      </c>
      <c r="P28" s="143">
        <v>10610.288526279455</v>
      </c>
      <c r="Q28" s="257">
        <v>3237.500663471342</v>
      </c>
      <c r="R28" s="263">
        <v>1715.235183131445</v>
      </c>
      <c r="S28" s="5"/>
      <c r="T28" s="5"/>
      <c r="U28" s="5"/>
      <c r="V28" s="5"/>
      <c r="W28" s="5"/>
      <c r="X28" s="5"/>
      <c r="Y28" s="5"/>
      <c r="Z28" s="5"/>
      <c r="AB28" s="167">
        <v>650</v>
      </c>
      <c r="AC28" s="168">
        <f>UAOptimizer!AP33</f>
        <v>30050.386818915093</v>
      </c>
      <c r="AD28" s="167">
        <v>650</v>
      </c>
      <c r="AE28" s="168">
        <f>UAOptimizer!AZ33</f>
        <v>30050.386818915093</v>
      </c>
      <c r="AF28" s="167">
        <v>650</v>
      </c>
      <c r="AG28" s="144">
        <f t="shared" si="1"/>
        <v>30050.386818915093</v>
      </c>
      <c r="AH28" s="167">
        <v>650</v>
      </c>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row>
    <row r="29" spans="2:94" ht="13.5" thickBot="1">
      <c r="B29" s="165">
        <f>IF('924 SF'!AD33&gt;=1,UAOptimizer!T35,UAOptimizer!T34)</f>
        <v>316.56136342412447</v>
      </c>
      <c r="C29" s="294" t="b">
        <f t="shared" si="8"/>
        <v>0</v>
      </c>
      <c r="D29" s="165">
        <f>IF('1568 SF'!AD33&gt;=1,UAOptimizer!AA35,UAOptimizer!AA34)</f>
        <v>453.5919175097276</v>
      </c>
      <c r="E29" s="294" t="b">
        <f t="shared" si="9"/>
        <v>0</v>
      </c>
      <c r="F29" s="4"/>
      <c r="G29" s="4"/>
      <c r="H29" s="4"/>
      <c r="I29" s="4"/>
      <c r="N29" s="410" t="str">
        <f>"CASE =&gt; "&amp;(INDEX($A$5:$A$13,$A$14,1))</f>
        <v>CASE =&gt; Heating Zone 3</v>
      </c>
      <c r="O29" s="266">
        <f>G$23</f>
        <v>13847.789189750798</v>
      </c>
      <c r="P29" s="266">
        <f>G$24</f>
        <v>10610.288526279455</v>
      </c>
      <c r="Q29" s="266">
        <f>J$24</f>
        <v>3237.500663471342</v>
      </c>
      <c r="R29" s="406">
        <f>M$25</f>
        <v>1715.235183131445</v>
      </c>
      <c r="S29" s="5"/>
      <c r="T29" s="5"/>
      <c r="U29" s="5"/>
      <c r="V29" s="5"/>
      <c r="W29" s="5"/>
      <c r="X29" s="5"/>
      <c r="Y29" s="5"/>
      <c r="Z29" s="5"/>
      <c r="AB29" s="167">
        <v>640</v>
      </c>
      <c r="AC29" s="168">
        <f>UAOptimizer!AP34</f>
        <v>29361.25853407231</v>
      </c>
      <c r="AD29" s="167">
        <v>640</v>
      </c>
      <c r="AE29" s="168">
        <f>UAOptimizer!AZ34</f>
        <v>29361.25853407231</v>
      </c>
      <c r="AF29" s="167">
        <v>640</v>
      </c>
      <c r="AG29" s="144">
        <f t="shared" si="1"/>
        <v>29361.25853407231</v>
      </c>
      <c r="AH29" s="167">
        <v>640</v>
      </c>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row>
    <row r="30" spans="2:94" ht="12.75">
      <c r="B30" s="165">
        <f>IF('924 SF'!AD34&gt;=1,UAOptimizer!T36,UAOptimizer!T35)</f>
        <v>302.92312342412447</v>
      </c>
      <c r="C30" s="294" t="b">
        <f t="shared" si="8"/>
        <v>0</v>
      </c>
      <c r="D30" s="165">
        <f>IF('1568 SF'!AD34&gt;=1,UAOptimizer!AA36,UAOptimizer!AA35)</f>
        <v>430.4482375097276</v>
      </c>
      <c r="E30" s="294" t="b">
        <f t="shared" si="9"/>
        <v>0</v>
      </c>
      <c r="F30" s="4"/>
      <c r="G30" s="4"/>
      <c r="H30" s="4"/>
      <c r="I30" s="4"/>
      <c r="S30" s="5"/>
      <c r="T30" s="5"/>
      <c r="U30" s="5"/>
      <c r="V30" s="5"/>
      <c r="W30" s="5"/>
      <c r="X30" s="5"/>
      <c r="Y30" s="5"/>
      <c r="Z30" s="5"/>
      <c r="AB30" s="167">
        <v>630</v>
      </c>
      <c r="AC30" s="168">
        <f>UAOptimizer!AP35</f>
        <v>28674.659094789873</v>
      </c>
      <c r="AD30" s="167">
        <v>630</v>
      </c>
      <c r="AE30" s="168">
        <f>UAOptimizer!AZ35</f>
        <v>28674.659094789873</v>
      </c>
      <c r="AF30" s="167">
        <v>630</v>
      </c>
      <c r="AG30" s="144">
        <f t="shared" si="1"/>
        <v>28674.659094789873</v>
      </c>
      <c r="AH30" s="167">
        <v>630</v>
      </c>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row>
    <row r="31" spans="2:94" ht="12.75">
      <c r="B31" s="165">
        <f>IF('924 SF'!AD35&gt;=1,UAOptimizer!T37,UAOptimizer!T36)</f>
        <v>284.44312342412445</v>
      </c>
      <c r="C31" s="294" t="b">
        <f>AND(B31=B32,B32&gt;B34)</f>
        <v>0</v>
      </c>
      <c r="D31" s="165">
        <f>IF('1568 SF'!AD35&gt;=1,UAOptimizer!AA37,UAOptimizer!AA36)</f>
        <v>399.0882375097276</v>
      </c>
      <c r="E31" s="294" t="b">
        <f t="shared" si="9"/>
        <v>0</v>
      </c>
      <c r="F31" s="4"/>
      <c r="G31" s="4"/>
      <c r="H31" s="4"/>
      <c r="I31" s="4"/>
      <c r="S31" s="5"/>
      <c r="T31" s="5"/>
      <c r="U31" s="5"/>
      <c r="V31" s="5"/>
      <c r="W31" s="5"/>
      <c r="X31" s="5"/>
      <c r="Y31" s="5"/>
      <c r="Z31" s="5"/>
      <c r="AB31" s="167">
        <v>620</v>
      </c>
      <c r="AC31" s="168">
        <f>UAOptimizer!AP36</f>
        <v>27991.16584927455</v>
      </c>
      <c r="AD31" s="167">
        <v>620</v>
      </c>
      <c r="AE31" s="168">
        <f>UAOptimizer!AZ36</f>
        <v>27991.16584927455</v>
      </c>
      <c r="AF31" s="167">
        <v>620</v>
      </c>
      <c r="AG31" s="144">
        <f t="shared" si="1"/>
        <v>27991.16584927455</v>
      </c>
      <c r="AH31" s="167">
        <v>620</v>
      </c>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row>
    <row r="32" spans="2:94" ht="12.75">
      <c r="B32" s="165">
        <f>IF('924 SF'!AD36&gt;=1,UAOptimizer!T38,UAOptimizer!T37)</f>
        <v>276.8431234241244</v>
      </c>
      <c r="C32" s="294" t="b">
        <f>AND(B32=B34,B34&gt;B35)</f>
        <v>0</v>
      </c>
      <c r="D32" s="165">
        <f>IF('1568 SF'!AD36&gt;=1,UAOptimizer!AA38,UAOptimizer!AA37)</f>
        <v>391.4882375097276</v>
      </c>
      <c r="E32" s="294" t="b">
        <f t="shared" si="9"/>
        <v>0</v>
      </c>
      <c r="F32" s="4"/>
      <c r="G32" s="4"/>
      <c r="H32" s="4"/>
      <c r="I32" s="4"/>
      <c r="S32" s="5"/>
      <c r="T32" s="5"/>
      <c r="U32" s="5"/>
      <c r="V32" s="5"/>
      <c r="W32" s="5"/>
      <c r="X32" s="5"/>
      <c r="Y32" s="5"/>
      <c r="Z32" s="5"/>
      <c r="AB32" s="167">
        <v>610</v>
      </c>
      <c r="AC32" s="168">
        <f>UAOptimizer!AP37</f>
        <v>27310.980447643073</v>
      </c>
      <c r="AD32" s="167">
        <v>610</v>
      </c>
      <c r="AE32" s="168">
        <f>UAOptimizer!AZ37</f>
        <v>27310.980447643073</v>
      </c>
      <c r="AF32" s="167">
        <v>610</v>
      </c>
      <c r="AG32" s="144">
        <f t="shared" si="1"/>
        <v>27310.98044764307</v>
      </c>
      <c r="AH32" s="167">
        <v>610</v>
      </c>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row>
    <row r="33" spans="6:94" ht="15.75">
      <c r="F33" s="4"/>
      <c r="G33" s="4"/>
      <c r="H33" s="4"/>
      <c r="I33" s="4"/>
      <c r="N33" s="111"/>
      <c r="O33" s="111"/>
      <c r="S33" s="5"/>
      <c r="T33" s="5"/>
      <c r="U33" s="5"/>
      <c r="V33" s="5"/>
      <c r="W33" s="5"/>
      <c r="X33" s="5"/>
      <c r="Y33" s="5"/>
      <c r="Z33" s="5"/>
      <c r="AB33" s="167">
        <v>600</v>
      </c>
      <c r="AC33" s="168">
        <f>UAOptimizer!AP38</f>
        <v>26633.905822343822</v>
      </c>
      <c r="AD33" s="167">
        <v>600</v>
      </c>
      <c r="AE33" s="168">
        <f>UAOptimizer!AZ38</f>
        <v>26633.905822343822</v>
      </c>
      <c r="AF33" s="167">
        <v>600</v>
      </c>
      <c r="AG33" s="144">
        <f t="shared" si="1"/>
        <v>26633.905822343822</v>
      </c>
      <c r="AH33" s="167">
        <v>600</v>
      </c>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row>
    <row r="34" spans="2:94" ht="39" customHeight="1" thickBot="1">
      <c r="B34" s="172"/>
      <c r="C34" s="4"/>
      <c r="D34" s="172"/>
      <c r="E34" s="4"/>
      <c r="F34" s="4"/>
      <c r="G34" s="4"/>
      <c r="H34" s="4"/>
      <c r="I34" s="4"/>
      <c r="N34" s="115"/>
      <c r="O34" s="115"/>
      <c r="S34" s="5"/>
      <c r="T34" s="5"/>
      <c r="U34" s="5"/>
      <c r="V34" s="5"/>
      <c r="W34" s="5"/>
      <c r="X34" s="5"/>
      <c r="Y34" s="5"/>
      <c r="Z34" s="5"/>
      <c r="AB34" s="167">
        <v>590</v>
      </c>
      <c r="AC34" s="168">
        <f>UAOptimizer!AP39</f>
        <v>25960.878660917508</v>
      </c>
      <c r="AD34" s="167">
        <v>590</v>
      </c>
      <c r="AE34" s="168">
        <f>UAOptimizer!AZ39</f>
        <v>25960.878660917508</v>
      </c>
      <c r="AF34" s="167">
        <v>590</v>
      </c>
      <c r="AG34" s="144">
        <f t="shared" si="1"/>
        <v>25960.878660917508</v>
      </c>
      <c r="AH34" s="167">
        <v>590</v>
      </c>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row>
    <row r="35" spans="1:91" ht="13.5" thickBot="1">
      <c r="A35" s="468" t="s">
        <v>270</v>
      </c>
      <c r="B35" s="469"/>
      <c r="C35" s="469"/>
      <c r="D35" s="469"/>
      <c r="E35" s="470"/>
      <c r="G35"/>
      <c r="Q35" s="5"/>
      <c r="R35" s="5"/>
      <c r="S35" s="5"/>
      <c r="T35" s="5"/>
      <c r="U35" s="5"/>
      <c r="V35" s="5"/>
      <c r="W35" s="5"/>
      <c r="X35" s="5"/>
      <c r="Y35" s="5"/>
      <c r="Z35" s="5"/>
      <c r="AB35" s="167">
        <v>580</v>
      </c>
      <c r="AC35" s="168">
        <f>UAOptimizer!AP40</f>
        <v>25291.395990035602</v>
      </c>
      <c r="AD35" s="167">
        <v>580</v>
      </c>
      <c r="AE35" s="168">
        <f>UAOptimizer!AZ40</f>
        <v>25291.395990035602</v>
      </c>
      <c r="AF35" s="167">
        <v>580</v>
      </c>
      <c r="AG35" s="144">
        <f t="shared" si="1"/>
        <v>25291.395990035602</v>
      </c>
      <c r="AH35" s="167">
        <v>580</v>
      </c>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row>
    <row r="36" spans="1:91" ht="13.5" thickBot="1">
      <c r="A36" s="307" t="s">
        <v>173</v>
      </c>
      <c r="B36" s="355">
        <f>B20</f>
        <v>924</v>
      </c>
      <c r="C36" s="355">
        <f>C20</f>
        <v>1568</v>
      </c>
      <c r="D36" s="388">
        <f>SUMPRODUCT($I$1:$J$1,B36:C36)</f>
        <v>1020.5999999999999</v>
      </c>
      <c r="G36"/>
      <c r="H36" s="5"/>
      <c r="I36" s="5"/>
      <c r="M36" s="5"/>
      <c r="Q36" s="5"/>
      <c r="R36" s="5"/>
      <c r="S36" s="5"/>
      <c r="T36" s="5"/>
      <c r="U36" s="5"/>
      <c r="V36" s="5"/>
      <c r="W36" s="5"/>
      <c r="X36" s="5"/>
      <c r="Y36" s="5"/>
      <c r="Z36" s="5"/>
      <c r="AB36" s="167">
        <v>570</v>
      </c>
      <c r="AC36" s="168">
        <f>UAOptimizer!AP41</f>
        <v>24625.66122223265</v>
      </c>
      <c r="AD36" s="167">
        <v>570</v>
      </c>
      <c r="AE36" s="168">
        <f>UAOptimizer!AZ41</f>
        <v>24625.66122223265</v>
      </c>
      <c r="AF36" s="167">
        <v>570</v>
      </c>
      <c r="AG36" s="144">
        <f t="shared" si="1"/>
        <v>24625.661222232648</v>
      </c>
      <c r="AH36" s="167">
        <v>570</v>
      </c>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row>
    <row r="37" spans="1:91" ht="26.25" thickBot="1">
      <c r="A37" s="308" t="s">
        <v>277</v>
      </c>
      <c r="B37" s="153">
        <v>924</v>
      </c>
      <c r="C37" s="154">
        <v>1568</v>
      </c>
      <c r="D37" s="155">
        <f>SUMPRODUCT($I$1:$J$1,B37:C37)</f>
        <v>1020.5999999999999</v>
      </c>
      <c r="G37" s="5"/>
      <c r="H37" s="5"/>
      <c r="I37" s="5"/>
      <c r="K37" s="5"/>
      <c r="L37" s="5"/>
      <c r="M37" s="5"/>
      <c r="N37" s="450" t="s">
        <v>272</v>
      </c>
      <c r="O37" s="451"/>
      <c r="P37" s="451"/>
      <c r="Q37" s="451"/>
      <c r="R37" s="452"/>
      <c r="S37" s="5"/>
      <c r="T37" s="5"/>
      <c r="U37" s="5"/>
      <c r="V37" s="5"/>
      <c r="W37" s="5"/>
      <c r="X37" s="5"/>
      <c r="Y37" s="5"/>
      <c r="Z37" s="5"/>
      <c r="AB37" s="167">
        <v>560</v>
      </c>
      <c r="AC37" s="168">
        <f>UAOptimizer!AP42</f>
        <v>23963.305913479046</v>
      </c>
      <c r="AD37" s="167">
        <v>560</v>
      </c>
      <c r="AE37" s="168">
        <f>UAOptimizer!AZ42</f>
        <v>23963.305913479046</v>
      </c>
      <c r="AF37" s="167">
        <v>560</v>
      </c>
      <c r="AG37" s="144">
        <f t="shared" si="1"/>
        <v>23963.305913479046</v>
      </c>
      <c r="AH37" s="167">
        <v>560</v>
      </c>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row>
    <row r="38" spans="1:91" ht="39" thickBot="1">
      <c r="A38" s="308" t="s">
        <v>271</v>
      </c>
      <c r="B38" s="325">
        <f>INDEX(B39:B47,MATCH(TRUE,C39:C47,0))</f>
        <v>4093.216507763552</v>
      </c>
      <c r="C38" s="326">
        <f>INDEX(D39:D47,MATCH(TRUE,E39:E47,0))</f>
        <v>6932.480134386634</v>
      </c>
      <c r="D38" s="163">
        <f>SUMPRODUCT($I$1:$J$1,B38:C38)</f>
        <v>4519.106051757014</v>
      </c>
      <c r="E38" s="145"/>
      <c r="G38" s="5"/>
      <c r="H38" s="5"/>
      <c r="I38" s="5"/>
      <c r="K38" s="5"/>
      <c r="L38" s="5"/>
      <c r="M38" s="5"/>
      <c r="N38" s="256" t="s">
        <v>118</v>
      </c>
      <c r="O38" s="256" t="s">
        <v>259</v>
      </c>
      <c r="P38" s="256" t="s">
        <v>260</v>
      </c>
      <c r="Q38" s="256" t="s">
        <v>205</v>
      </c>
      <c r="R38" s="256" t="s">
        <v>261</v>
      </c>
      <c r="S38" s="5"/>
      <c r="T38" s="5"/>
      <c r="U38" s="5"/>
      <c r="V38" s="5"/>
      <c r="W38" s="5"/>
      <c r="X38" s="5"/>
      <c r="Y38" s="5"/>
      <c r="Z38" s="5"/>
      <c r="AB38" s="167">
        <v>550</v>
      </c>
      <c r="AC38" s="168">
        <f>UAOptimizer!AP43</f>
        <v>23304.630089131937</v>
      </c>
      <c r="AD38" s="167">
        <v>550</v>
      </c>
      <c r="AE38" s="168">
        <f>UAOptimizer!AZ43</f>
        <v>23304.630089131937</v>
      </c>
      <c r="AF38" s="167">
        <v>550</v>
      </c>
      <c r="AG38" s="144">
        <f t="shared" si="1"/>
        <v>23304.630089131937</v>
      </c>
      <c r="AH38" s="167">
        <v>550</v>
      </c>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row>
    <row r="39" spans="1:91" ht="12.75" customHeight="1">
      <c r="A39" s="5"/>
      <c r="B39" s="166">
        <f>IF('924 SF'!AD29&gt;=1,UAOptimizer!V31,UAOptimizer!V30)</f>
        <v>1006.6708580768181</v>
      </c>
      <c r="C39" s="145" t="b">
        <f>AND(B39=B40,B41&lt;B42)</f>
        <v>0</v>
      </c>
      <c r="D39" s="166">
        <f>IF('1568 SF'!AD29&gt;=1,UAOptimizer!AC31,UAOptimizer!AC30)</f>
        <v>1708.2899409788429</v>
      </c>
      <c r="E39" s="145" t="b">
        <f>AND(D39=D40,D41&lt;D42)</f>
        <v>0</v>
      </c>
      <c r="G39" s="5"/>
      <c r="H39" s="5"/>
      <c r="I39" s="5"/>
      <c r="K39" s="5"/>
      <c r="L39" s="5"/>
      <c r="M39" s="5"/>
      <c r="N39" s="309" t="s">
        <v>160</v>
      </c>
      <c r="O39" s="310">
        <f>P39+Q39</f>
        <v>7882.024937964557</v>
      </c>
      <c r="P39" s="310">
        <f>P20</f>
        <v>6143.337291582022</v>
      </c>
      <c r="Q39" s="237">
        <f>UAOptimizer!E103</f>
        <v>1738.6876463825347</v>
      </c>
      <c r="R39" s="311">
        <f>UAOptimizer!E$94</f>
        <v>1166.0540289912392</v>
      </c>
      <c r="S39" s="5"/>
      <c r="T39" s="5"/>
      <c r="U39" s="5"/>
      <c r="V39" s="5"/>
      <c r="W39" s="5"/>
      <c r="X39" s="5"/>
      <c r="Y39" s="5"/>
      <c r="Z39" s="5"/>
      <c r="AB39" s="167">
        <v>540</v>
      </c>
      <c r="AC39" s="168">
        <f>UAOptimizer!AP44</f>
        <v>22649.306399400415</v>
      </c>
      <c r="AD39" s="167">
        <v>540</v>
      </c>
      <c r="AE39" s="168">
        <f>UAOptimizer!AZ44</f>
        <v>22649.306399400415</v>
      </c>
      <c r="AF39" s="167">
        <v>540</v>
      </c>
      <c r="AG39" s="144">
        <f t="shared" si="1"/>
        <v>22649.306399400415</v>
      </c>
      <c r="AH39" s="167">
        <v>540</v>
      </c>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row>
    <row r="40" spans="1:91" ht="12.75">
      <c r="A40" s="5"/>
      <c r="B40" s="166">
        <f>IF('924 SF'!AD30&gt;=1,UAOptimizer!V32,UAOptimizer!V31)</f>
        <v>2236.056507763552</v>
      </c>
      <c r="C40" s="145" t="b">
        <f aca="true" t="shared" si="10" ref="C40:C46">AND(B40=B41,B42&lt;B43)</f>
        <v>0</v>
      </c>
      <c r="D40" s="166">
        <f>IF('1568 SF'!AD30&gt;=1,UAOptimizer!AC32,UAOptimizer!AC31)</f>
        <v>3794.520134386634</v>
      </c>
      <c r="E40" s="145" t="b">
        <f aca="true" t="shared" si="11" ref="E40:E46">AND(D40=D41,D42&lt;D43)</f>
        <v>0</v>
      </c>
      <c r="G40" s="5"/>
      <c r="H40" s="5"/>
      <c r="I40" s="5"/>
      <c r="K40" s="5"/>
      <c r="L40" s="5"/>
      <c r="N40" s="312" t="s">
        <v>164</v>
      </c>
      <c r="O40" s="310">
        <f>P40+Q40</f>
        <v>11044.15569988917</v>
      </c>
      <c r="P40" s="310">
        <f>P21</f>
        <v>8792.784023606202</v>
      </c>
      <c r="Q40" s="195">
        <f>UAOptimizer!E112</f>
        <v>2251.371676282968</v>
      </c>
      <c r="R40" s="311">
        <f>UAOptimizer!E$94</f>
        <v>1166.0540289912392</v>
      </c>
      <c r="S40" s="5"/>
      <c r="T40" s="5"/>
      <c r="U40" s="5"/>
      <c r="V40" s="5"/>
      <c r="W40" s="5"/>
      <c r="X40" s="5"/>
      <c r="Y40" s="5"/>
      <c r="Z40" s="5"/>
      <c r="AB40" s="167">
        <v>530</v>
      </c>
      <c r="AC40" s="168">
        <f>UAOptimizer!AP45</f>
        <v>21996.988159179684</v>
      </c>
      <c r="AD40" s="167">
        <v>530</v>
      </c>
      <c r="AE40" s="168">
        <f>UAOptimizer!AZ45</f>
        <v>21996.988159179684</v>
      </c>
      <c r="AF40" s="167">
        <v>530</v>
      </c>
      <c r="AG40" s="144">
        <f t="shared" si="1"/>
        <v>21996.98815917968</v>
      </c>
      <c r="AH40" s="167">
        <v>530</v>
      </c>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row>
    <row r="41" spans="1:91" ht="12.75">
      <c r="A41" s="5"/>
      <c r="B41" s="166">
        <f>IF('924 SF'!AD31&gt;=1,UAOptimizer!V33,UAOptimizer!V32)</f>
        <v>4093.216507763552</v>
      </c>
      <c r="C41" s="145" t="b">
        <f t="shared" si="10"/>
        <v>1</v>
      </c>
      <c r="D41" s="166">
        <f>IF('1568 SF'!AD31&gt;=1,UAOptimizer!AC33,UAOptimizer!AC32)</f>
        <v>6932.480134386634</v>
      </c>
      <c r="E41" s="145" t="b">
        <f t="shared" si="11"/>
        <v>1</v>
      </c>
      <c r="G41" s="5"/>
      <c r="H41" s="5"/>
      <c r="I41" s="5"/>
      <c r="N41" s="312" t="s">
        <v>163</v>
      </c>
      <c r="O41" s="310">
        <f>P41+Q41</f>
        <v>13263.89738827651</v>
      </c>
      <c r="P41" s="310">
        <f>P22</f>
        <v>10610.288526279455</v>
      </c>
      <c r="Q41" s="195">
        <f>UAOptimizer!E121</f>
        <v>2653.608861997054</v>
      </c>
      <c r="R41" s="311">
        <f>UAOptimizer!E$94</f>
        <v>1166.0540289912392</v>
      </c>
      <c r="S41" s="5"/>
      <c r="T41" s="5"/>
      <c r="U41" s="5"/>
      <c r="V41" s="5"/>
      <c r="W41" s="5"/>
      <c r="X41" s="5"/>
      <c r="Y41" s="5"/>
      <c r="Z41" s="5"/>
      <c r="AB41" s="167">
        <v>520</v>
      </c>
      <c r="AC41" s="168">
        <f>UAOptimizer!AP46</f>
        <v>21348.16549385746</v>
      </c>
      <c r="AD41" s="167">
        <v>520</v>
      </c>
      <c r="AE41" s="168">
        <f>UAOptimizer!AZ46</f>
        <v>21348.16549385746</v>
      </c>
      <c r="AF41" s="167">
        <v>520</v>
      </c>
      <c r="AG41" s="144">
        <f t="shared" si="1"/>
        <v>21348.165493857457</v>
      </c>
      <c r="AH41" s="167">
        <v>520</v>
      </c>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row>
    <row r="42" spans="1:91" ht="13.5" thickBot="1">
      <c r="A42" s="5"/>
      <c r="B42" s="166">
        <f>IF('924 SF'!AD32&gt;=1,UAOptimizer!V34,UAOptimizer!V33)</f>
        <v>4093.216507763552</v>
      </c>
      <c r="C42" s="145" t="b">
        <f t="shared" si="10"/>
        <v>0</v>
      </c>
      <c r="D42" s="166">
        <f>IF('1568 SF'!AD32&gt;=1,UAOptimizer!AC34,UAOptimizer!AC33)</f>
        <v>6932.480134386634</v>
      </c>
      <c r="E42" s="145" t="b">
        <f t="shared" si="11"/>
        <v>0</v>
      </c>
      <c r="G42" s="5"/>
      <c r="H42" s="5"/>
      <c r="I42" s="5"/>
      <c r="N42" s="313" t="s">
        <v>264</v>
      </c>
      <c r="O42" s="310">
        <f>P42+Q42</f>
        <v>8710.265471674353</v>
      </c>
      <c r="P42" s="310">
        <f>P23</f>
        <v>6826.879794061241</v>
      </c>
      <c r="Q42" s="195">
        <f>UAOptimizer!E130</f>
        <v>1883.3856776131124</v>
      </c>
      <c r="R42" s="311">
        <f>UAOptimizer!E$94</f>
        <v>1166.0540289912392</v>
      </c>
      <c r="S42" s="5"/>
      <c r="T42" s="5"/>
      <c r="U42" s="5"/>
      <c r="V42" s="5"/>
      <c r="W42" s="5"/>
      <c r="X42" s="5"/>
      <c r="Y42" s="5"/>
      <c r="Z42" s="5"/>
      <c r="AB42" s="167">
        <v>510</v>
      </c>
      <c r="AC42" s="168">
        <f>UAOptimizer!AP47</f>
        <v>20703.030121293017</v>
      </c>
      <c r="AD42" s="167">
        <v>510</v>
      </c>
      <c r="AE42" s="168">
        <f>UAOptimizer!AZ47</f>
        <v>20703.030121293017</v>
      </c>
      <c r="AF42" s="167">
        <v>510</v>
      </c>
      <c r="AG42" s="144">
        <f t="shared" si="1"/>
        <v>20703.030121293017</v>
      </c>
      <c r="AH42" s="167">
        <v>510</v>
      </c>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row>
    <row r="43" spans="1:91" ht="13.5" thickBot="1">
      <c r="A43" s="5"/>
      <c r="B43" s="166">
        <f>IF('924 SF'!AD33&gt;=1,UAOptimizer!V35,UAOptimizer!V34)</f>
        <v>4235.753974393898</v>
      </c>
      <c r="C43" s="145" t="b">
        <f t="shared" si="10"/>
        <v>0</v>
      </c>
      <c r="D43" s="166">
        <f>IF('1568 SF'!AD33&gt;=1,UAOptimizer!AC35,UAOptimizer!AC34)</f>
        <v>7174.361895941161</v>
      </c>
      <c r="E43" s="145" t="b">
        <f t="shared" si="11"/>
        <v>0</v>
      </c>
      <c r="G43" s="5"/>
      <c r="H43" s="5"/>
      <c r="I43" s="5"/>
      <c r="N43" s="412" t="str">
        <f>"CASE =&gt; "&amp;(INDEX($A$5:$A$13,$A$14,1))</f>
        <v>CASE =&gt; Heating Zone 3</v>
      </c>
      <c r="O43" s="314">
        <f>P43+Q43</f>
        <v>13555.816154212695</v>
      </c>
      <c r="P43" s="315">
        <f>P$29</f>
        <v>10610.288526279455</v>
      </c>
      <c r="Q43" s="315">
        <f>UAOptimizer!E$139</f>
        <v>2945.5276279332397</v>
      </c>
      <c r="R43" s="316">
        <f>UAOptimizer!E$94</f>
        <v>1166.0540289912392</v>
      </c>
      <c r="S43" s="5"/>
      <c r="T43" s="5"/>
      <c r="U43" s="5"/>
      <c r="V43" s="5"/>
      <c r="W43" s="5"/>
      <c r="X43" s="5"/>
      <c r="Y43" s="5"/>
      <c r="Z43" s="5"/>
      <c r="AB43" s="167">
        <v>500</v>
      </c>
      <c r="AC43" s="168">
        <f>UAOptimizer!AP48</f>
        <v>20061.92050281498</v>
      </c>
      <c r="AD43" s="167">
        <v>500</v>
      </c>
      <c r="AE43" s="168">
        <f>UAOptimizer!AZ48</f>
        <v>20061.92050281498</v>
      </c>
      <c r="AF43" s="167">
        <v>500</v>
      </c>
      <c r="AG43" s="144">
        <f t="shared" si="1"/>
        <v>20061.92050281498</v>
      </c>
      <c r="AH43" s="167">
        <v>500</v>
      </c>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row>
    <row r="44" spans="1:91" ht="12.75">
      <c r="A44" s="5"/>
      <c r="B44" s="166">
        <f>IF('924 SF'!AD34&gt;=1,UAOptimizer!V36,UAOptimizer!V35)</f>
        <v>4766.129974393898</v>
      </c>
      <c r="C44" s="145" t="b">
        <f t="shared" si="10"/>
        <v>0</v>
      </c>
      <c r="D44" s="166">
        <f>IF('1568 SF'!AD34&gt;=1,UAOptimizer!AC36,UAOptimizer!AC35)</f>
        <v>8074.393895941161</v>
      </c>
      <c r="E44" s="145" t="b">
        <f t="shared" si="11"/>
        <v>0</v>
      </c>
      <c r="G44" s="5"/>
      <c r="H44" s="5"/>
      <c r="I44" s="5"/>
      <c r="S44" s="5"/>
      <c r="T44" s="5"/>
      <c r="U44" s="5"/>
      <c r="V44" s="5"/>
      <c r="W44" s="5"/>
      <c r="X44" s="5"/>
      <c r="Y44" s="5"/>
      <c r="Z44" s="5"/>
      <c r="AB44" s="167">
        <v>490</v>
      </c>
      <c r="AC44" s="168">
        <f>UAOptimizer!AP49</f>
        <v>19424.91184603727</v>
      </c>
      <c r="AD44" s="167">
        <v>490</v>
      </c>
      <c r="AE44" s="168">
        <f>UAOptimizer!AZ49</f>
        <v>19424.91184603727</v>
      </c>
      <c r="AF44" s="167">
        <v>490</v>
      </c>
      <c r="AG44" s="144">
        <f t="shared" si="1"/>
        <v>19424.911846037267</v>
      </c>
      <c r="AH44" s="167">
        <v>490</v>
      </c>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row>
    <row r="45" spans="1:91" ht="12.75">
      <c r="A45" s="5"/>
      <c r="B45" s="166">
        <f>IF('924 SF'!AD35&gt;=1,UAOptimizer!V37,UAOptimizer!V36)</f>
        <v>5772.800832470716</v>
      </c>
      <c r="C45" s="145" t="b">
        <f t="shared" si="10"/>
        <v>0</v>
      </c>
      <c r="D45" s="166">
        <f>IF('1568 SF'!AD35&gt;=1,UAOptimizer!AC37,UAOptimizer!AC36)</f>
        <v>9782.683836920003</v>
      </c>
      <c r="E45" s="145" t="b">
        <f t="shared" si="11"/>
        <v>0</v>
      </c>
      <c r="G45" s="5"/>
      <c r="H45" s="5"/>
      <c r="I45" s="5"/>
      <c r="S45" s="5"/>
      <c r="T45" s="5"/>
      <c r="U45" s="5"/>
      <c r="V45" s="5"/>
      <c r="W45" s="5"/>
      <c r="X45" s="5"/>
      <c r="Y45" s="5"/>
      <c r="Z45" s="5"/>
      <c r="AB45" s="167">
        <v>480</v>
      </c>
      <c r="AC45" s="168">
        <f>UAOptimizer!AP50</f>
        <v>18792.140690341923</v>
      </c>
      <c r="AD45" s="167">
        <v>480</v>
      </c>
      <c r="AE45" s="168">
        <f>UAOptimizer!AZ50</f>
        <v>18792.140690341923</v>
      </c>
      <c r="AF45" s="167">
        <v>480</v>
      </c>
      <c r="AG45" s="144">
        <f aca="true" t="shared" si="12" ref="AG45:AG76">($I$1*AC45)+($J$1*AE45)</f>
        <v>18792.140690341923</v>
      </c>
      <c r="AH45" s="167">
        <v>480</v>
      </c>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row>
    <row r="46" spans="1:91" ht="12.75">
      <c r="A46" s="5"/>
      <c r="B46" s="166">
        <f>IF('924 SF'!AD36&gt;=1,UAOptimizer!V38,UAOptimizer!V37)</f>
        <v>6372.800832470716</v>
      </c>
      <c r="C46" s="145" t="b">
        <f t="shared" si="10"/>
        <v>0</v>
      </c>
      <c r="D46" s="166">
        <f>IF('1568 SF'!AD36&gt;=1,UAOptimizer!AC38,UAOptimizer!AC37)</f>
        <v>10382.683836920003</v>
      </c>
      <c r="E46" s="145" t="b">
        <f t="shared" si="11"/>
        <v>0</v>
      </c>
      <c r="G46" s="5"/>
      <c r="H46" s="5"/>
      <c r="I46" s="5"/>
      <c r="S46" s="5"/>
      <c r="T46" s="5"/>
      <c r="U46" s="5"/>
      <c r="V46" s="5"/>
      <c r="W46" s="5"/>
      <c r="X46" s="5"/>
      <c r="Y46" s="5"/>
      <c r="Z46" s="5"/>
      <c r="AB46" s="167">
        <v>470</v>
      </c>
      <c r="AC46" s="168">
        <f>UAOptimizer!AP51</f>
        <v>18163.373329548827</v>
      </c>
      <c r="AD46" s="167">
        <v>470</v>
      </c>
      <c r="AE46" s="168">
        <f>UAOptimizer!AZ51</f>
        <v>18163.373329548827</v>
      </c>
      <c r="AF46" s="167">
        <v>470</v>
      </c>
      <c r="AG46" s="144">
        <f t="shared" si="12"/>
        <v>18163.373329548827</v>
      </c>
      <c r="AH46" s="167">
        <v>470</v>
      </c>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row>
    <row r="47" spans="7:91" ht="12.75">
      <c r="G47"/>
      <c r="N47" s="5"/>
      <c r="O47" s="5"/>
      <c r="P47" s="5"/>
      <c r="Q47" s="5"/>
      <c r="R47" s="5"/>
      <c r="S47" s="5"/>
      <c r="T47" s="5"/>
      <c r="U47" s="5"/>
      <c r="V47" s="5"/>
      <c r="W47" s="5"/>
      <c r="X47" s="5"/>
      <c r="Y47" s="5"/>
      <c r="Z47" s="5"/>
      <c r="AB47" s="167">
        <v>460</v>
      </c>
      <c r="AC47" s="168">
        <f>UAOptimizer!AP52</f>
        <v>17538.729787629385</v>
      </c>
      <c r="AD47" s="167">
        <v>460</v>
      </c>
      <c r="AE47" s="168">
        <f>UAOptimizer!AZ52</f>
        <v>17538.729787629385</v>
      </c>
      <c r="AF47" s="167">
        <v>460</v>
      </c>
      <c r="AG47" s="144">
        <f t="shared" si="12"/>
        <v>17538.729787629385</v>
      </c>
      <c r="AH47" s="167">
        <v>460</v>
      </c>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row>
    <row r="48" spans="7:91" ht="12.75">
      <c r="G48"/>
      <c r="N48" s="5"/>
      <c r="O48" s="5"/>
      <c r="P48" s="5"/>
      <c r="Q48" s="5"/>
      <c r="R48" s="5"/>
      <c r="S48" s="5"/>
      <c r="T48" s="5"/>
      <c r="U48" s="5"/>
      <c r="V48" s="5"/>
      <c r="W48" s="5"/>
      <c r="X48" s="5"/>
      <c r="Y48" s="5"/>
      <c r="Z48" s="5"/>
      <c r="AB48" s="167">
        <v>450</v>
      </c>
      <c r="AC48" s="168">
        <f>UAOptimizer!AP53</f>
        <v>16919.099126266654</v>
      </c>
      <c r="AD48" s="167">
        <v>450</v>
      </c>
      <c r="AE48" s="168">
        <f>UAOptimizer!AZ53</f>
        <v>16919.099126266654</v>
      </c>
      <c r="AF48" s="167">
        <v>450</v>
      </c>
      <c r="AG48" s="144">
        <f t="shared" si="12"/>
        <v>16919.099126266654</v>
      </c>
      <c r="AH48" s="167">
        <v>450</v>
      </c>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row>
    <row r="49" spans="7:91" ht="12.75">
      <c r="G49"/>
      <c r="I49" s="5"/>
      <c r="J49" s="5"/>
      <c r="N49" s="5"/>
      <c r="O49" s="5"/>
      <c r="P49" s="5"/>
      <c r="Q49" s="5"/>
      <c r="R49" s="5"/>
      <c r="S49" s="5"/>
      <c r="T49" s="5"/>
      <c r="U49" s="5"/>
      <c r="V49" s="5"/>
      <c r="W49" s="5"/>
      <c r="X49" s="5"/>
      <c r="Y49" s="5"/>
      <c r="Z49" s="5"/>
      <c r="AB49" s="167">
        <v>440</v>
      </c>
      <c r="AC49" s="168">
        <f>UAOptimizer!AP54</f>
        <v>16304.2574384053</v>
      </c>
      <c r="AD49" s="167">
        <v>440</v>
      </c>
      <c r="AE49" s="168">
        <f>UAOptimizer!AZ54</f>
        <v>16304.2574384053</v>
      </c>
      <c r="AF49" s="167">
        <v>440</v>
      </c>
      <c r="AG49" s="144">
        <f t="shared" si="12"/>
        <v>16304.2574384053</v>
      </c>
      <c r="AH49" s="167">
        <v>440</v>
      </c>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row>
    <row r="50" spans="7:91" ht="12.75">
      <c r="G50"/>
      <c r="I50" s="150"/>
      <c r="J50" s="5"/>
      <c r="N50" s="5"/>
      <c r="O50" s="5"/>
      <c r="P50" s="5"/>
      <c r="Q50" s="5"/>
      <c r="R50" s="5"/>
      <c r="S50" s="5"/>
      <c r="T50" s="5"/>
      <c r="U50" s="5"/>
      <c r="V50" s="5"/>
      <c r="W50" s="5"/>
      <c r="X50" s="5"/>
      <c r="Y50" s="5"/>
      <c r="Z50" s="5"/>
      <c r="AB50" s="167">
        <v>430</v>
      </c>
      <c r="AC50" s="168">
        <f>UAOptimizer!AP55</f>
        <v>15694.133447311004</v>
      </c>
      <c r="AD50" s="167">
        <v>430</v>
      </c>
      <c r="AE50" s="168">
        <f>UAOptimizer!AZ55</f>
        <v>15694.133447311004</v>
      </c>
      <c r="AF50" s="167">
        <v>430</v>
      </c>
      <c r="AG50" s="144">
        <f t="shared" si="12"/>
        <v>15694.133447311004</v>
      </c>
      <c r="AH50" s="167">
        <v>430</v>
      </c>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row>
    <row r="51" spans="7:91" ht="12.75">
      <c r="G51"/>
      <c r="I51" s="5"/>
      <c r="J51" s="5"/>
      <c r="N51" s="5"/>
      <c r="O51" s="5"/>
      <c r="P51" s="5"/>
      <c r="Q51" s="5"/>
      <c r="R51" s="5"/>
      <c r="S51" s="5"/>
      <c r="T51" s="5"/>
      <c r="U51" s="5"/>
      <c r="V51" s="5"/>
      <c r="W51" s="5"/>
      <c r="X51" s="5"/>
      <c r="Y51" s="5"/>
      <c r="Z51" s="5"/>
      <c r="AB51" s="167">
        <v>420</v>
      </c>
      <c r="AC51" s="168">
        <f>UAOptimizer!AP56</f>
        <v>15088.610189717758</v>
      </c>
      <c r="AD51" s="167">
        <v>420</v>
      </c>
      <c r="AE51" s="168">
        <f>UAOptimizer!AZ56</f>
        <v>15088.610189717758</v>
      </c>
      <c r="AF51" s="167">
        <v>420</v>
      </c>
      <c r="AG51" s="144">
        <f t="shared" si="12"/>
        <v>15088.610189717756</v>
      </c>
      <c r="AH51" s="167">
        <v>420</v>
      </c>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row>
    <row r="52" spans="7:91" ht="12.75">
      <c r="G52"/>
      <c r="I52" s="5"/>
      <c r="J52" s="5"/>
      <c r="N52" s="5"/>
      <c r="O52" s="5"/>
      <c r="P52" s="5"/>
      <c r="Q52" s="5"/>
      <c r="R52" s="5"/>
      <c r="S52" s="5"/>
      <c r="T52" s="5"/>
      <c r="U52" s="5"/>
      <c r="V52" s="5"/>
      <c r="W52" s="5"/>
      <c r="X52" s="5"/>
      <c r="Y52" s="5"/>
      <c r="Z52" s="5"/>
      <c r="AB52" s="167">
        <v>410</v>
      </c>
      <c r="AC52" s="168">
        <f>UAOptimizer!AP57</f>
        <v>14488.18999361644</v>
      </c>
      <c r="AD52" s="167">
        <v>410</v>
      </c>
      <c r="AE52" s="168">
        <f>UAOptimizer!AZ57</f>
        <v>14488.18999361644</v>
      </c>
      <c r="AF52" s="167">
        <v>410</v>
      </c>
      <c r="AG52" s="144">
        <f t="shared" si="12"/>
        <v>14488.189993616437</v>
      </c>
      <c r="AH52" s="167">
        <v>410</v>
      </c>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row>
    <row r="53" spans="7:48" ht="12.75">
      <c r="G53"/>
      <c r="I53" s="5"/>
      <c r="J53" s="5"/>
      <c r="N53" s="5"/>
      <c r="O53" s="5"/>
      <c r="P53" s="5"/>
      <c r="Q53" s="5"/>
      <c r="R53" s="5"/>
      <c r="AB53" s="167">
        <v>400</v>
      </c>
      <c r="AC53" s="168">
        <f>UAOptimizer!AP58</f>
        <v>13893.72726033964</v>
      </c>
      <c r="AD53" s="167">
        <v>400</v>
      </c>
      <c r="AE53" s="168">
        <f>UAOptimizer!AZ58</f>
        <v>13893.72726033964</v>
      </c>
      <c r="AF53" s="167">
        <v>400</v>
      </c>
      <c r="AG53" s="144">
        <f t="shared" si="12"/>
        <v>13893.727260339638</v>
      </c>
      <c r="AH53" s="167">
        <v>400</v>
      </c>
      <c r="AI53" s="5"/>
      <c r="AJ53" s="5"/>
      <c r="AK53" s="5"/>
      <c r="AL53" s="5"/>
      <c r="AM53" s="5"/>
      <c r="AN53" s="5"/>
      <c r="AO53" s="5"/>
      <c r="AP53" s="5"/>
      <c r="AQ53" s="5"/>
      <c r="AR53" s="5"/>
      <c r="AS53" s="5"/>
      <c r="AT53" s="5"/>
      <c r="AU53" s="5"/>
      <c r="AV53" s="5"/>
    </row>
    <row r="54" spans="9:34" ht="15">
      <c r="I54" s="5"/>
      <c r="J54" s="5"/>
      <c r="N54" s="5"/>
      <c r="O54" s="5"/>
      <c r="P54" s="5"/>
      <c r="Q54" s="5"/>
      <c r="R54" s="5"/>
      <c r="AB54" s="167">
        <v>390</v>
      </c>
      <c r="AC54" s="168">
        <f>UAOptimizer!AP59</f>
        <v>13306.415347245098</v>
      </c>
      <c r="AD54" s="167">
        <v>390</v>
      </c>
      <c r="AE54" s="168">
        <f>UAOptimizer!AZ59</f>
        <v>13306.415347245098</v>
      </c>
      <c r="AF54" s="167">
        <v>390</v>
      </c>
      <c r="AG54" s="144">
        <f t="shared" si="12"/>
        <v>13306.415347245096</v>
      </c>
      <c r="AH54" s="167">
        <v>390</v>
      </c>
    </row>
    <row r="55" spans="9:91" ht="15">
      <c r="I55" s="5"/>
      <c r="J55" s="5"/>
      <c r="K55" s="5"/>
      <c r="L55" s="5"/>
      <c r="M55" s="5"/>
      <c r="N55" s="5"/>
      <c r="O55" s="5"/>
      <c r="P55" s="5"/>
      <c r="Q55" s="5"/>
      <c r="R55" s="5"/>
      <c r="S55" s="5"/>
      <c r="T55" s="5"/>
      <c r="U55" s="5"/>
      <c r="V55" s="5"/>
      <c r="W55" s="5"/>
      <c r="X55" s="5"/>
      <c r="Y55" s="5"/>
      <c r="Z55" s="5"/>
      <c r="AB55" s="167">
        <v>380</v>
      </c>
      <c r="AC55" s="168">
        <f>UAOptimizer!AP60</f>
        <v>12725.01873728402</v>
      </c>
      <c r="AD55" s="167">
        <v>380</v>
      </c>
      <c r="AE55" s="168">
        <f>UAOptimizer!AZ60</f>
        <v>12725.01873728402</v>
      </c>
      <c r="AF55" s="167">
        <v>380</v>
      </c>
      <c r="AG55" s="144">
        <f t="shared" si="12"/>
        <v>12725.01873728402</v>
      </c>
      <c r="AH55" s="167">
        <v>380</v>
      </c>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row>
    <row r="56" spans="9:91" ht="15">
      <c r="I56" s="5"/>
      <c r="J56" s="5"/>
      <c r="K56" s="5"/>
      <c r="L56" s="5"/>
      <c r="M56" s="5"/>
      <c r="N56" s="5"/>
      <c r="O56" s="5"/>
      <c r="P56" s="5"/>
      <c r="Q56" s="5"/>
      <c r="R56" s="5"/>
      <c r="S56" s="5"/>
      <c r="T56" s="5"/>
      <c r="U56" s="5"/>
      <c r="V56" s="5"/>
      <c r="W56" s="5"/>
      <c r="X56" s="5"/>
      <c r="Y56" s="5"/>
      <c r="Z56" s="5"/>
      <c r="AB56" s="167">
        <v>370</v>
      </c>
      <c r="AC56" s="168">
        <f>UAOptimizer!AP61</f>
        <v>12149.36716948919</v>
      </c>
      <c r="AD56" s="167">
        <v>370</v>
      </c>
      <c r="AE56" s="168">
        <f>UAOptimizer!AZ61</f>
        <v>12149.36716948919</v>
      </c>
      <c r="AF56" s="167">
        <v>370</v>
      </c>
      <c r="AG56" s="144">
        <f t="shared" si="12"/>
        <v>12149.367169489187</v>
      </c>
      <c r="AH56" s="167">
        <v>370</v>
      </c>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row>
    <row r="57" spans="9:91" ht="15">
      <c r="I57" s="5"/>
      <c r="J57" s="5"/>
      <c r="K57" s="5"/>
      <c r="L57" s="5"/>
      <c r="M57" s="5"/>
      <c r="N57" s="5"/>
      <c r="O57" s="5"/>
      <c r="P57" s="5"/>
      <c r="Q57" s="5"/>
      <c r="R57" s="5"/>
      <c r="S57" s="5"/>
      <c r="T57" s="5"/>
      <c r="U57" s="5"/>
      <c r="V57" s="5"/>
      <c r="W57" s="5"/>
      <c r="X57" s="5"/>
      <c r="Y57" s="5"/>
      <c r="Z57" s="5"/>
      <c r="AB57" s="167">
        <v>360</v>
      </c>
      <c r="AC57" s="168">
        <f>UAOptimizer!AP62</f>
        <v>11579.945907053803</v>
      </c>
      <c r="AD57" s="167">
        <v>360</v>
      </c>
      <c r="AE57" s="168">
        <f>UAOptimizer!AZ62</f>
        <v>11579.945907053803</v>
      </c>
      <c r="AF57" s="167">
        <v>360</v>
      </c>
      <c r="AG57" s="144">
        <f t="shared" si="12"/>
        <v>11579.945907053803</v>
      </c>
      <c r="AH57" s="167">
        <v>360</v>
      </c>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row>
    <row r="58" spans="9:91" ht="15">
      <c r="I58" s="5"/>
      <c r="J58" s="5"/>
      <c r="K58" s="5"/>
      <c r="L58" s="5"/>
      <c r="M58" s="5"/>
      <c r="N58" s="5"/>
      <c r="O58" s="5"/>
      <c r="P58" s="5"/>
      <c r="Q58" s="5"/>
      <c r="R58" s="5"/>
      <c r="S58" s="5"/>
      <c r="T58" s="5"/>
      <c r="U58" s="5"/>
      <c r="V58" s="5"/>
      <c r="W58" s="5"/>
      <c r="X58" s="5"/>
      <c r="Y58" s="5"/>
      <c r="Z58" s="5"/>
      <c r="AB58" s="167">
        <v>350</v>
      </c>
      <c r="AC58" s="168">
        <f>UAOptimizer!AP63</f>
        <v>11017.765101131878</v>
      </c>
      <c r="AD58" s="167">
        <v>350</v>
      </c>
      <c r="AE58" s="168">
        <f>UAOptimizer!AZ63</f>
        <v>11017.765101131878</v>
      </c>
      <c r="AF58" s="167">
        <v>350</v>
      </c>
      <c r="AG58" s="144">
        <f t="shared" si="12"/>
        <v>11017.765101131878</v>
      </c>
      <c r="AH58" s="167">
        <v>350</v>
      </c>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row>
    <row r="59" spans="9:91" ht="15">
      <c r="I59" s="5"/>
      <c r="J59" s="5"/>
      <c r="K59" s="5"/>
      <c r="L59" s="5"/>
      <c r="M59" s="5"/>
      <c r="S59" s="5"/>
      <c r="T59" s="5"/>
      <c r="U59" s="5"/>
      <c r="V59" s="5"/>
      <c r="W59" s="5"/>
      <c r="X59" s="5"/>
      <c r="Y59" s="5"/>
      <c r="Z59" s="5"/>
      <c r="AB59" s="167">
        <v>340</v>
      </c>
      <c r="AC59" s="168">
        <f>UAOptimizer!AP64</f>
        <v>10462.090899131354</v>
      </c>
      <c r="AD59" s="167">
        <v>340</v>
      </c>
      <c r="AE59" s="168">
        <f>UAOptimizer!AZ64</f>
        <v>10462.090899131354</v>
      </c>
      <c r="AF59" s="167">
        <v>340</v>
      </c>
      <c r="AG59" s="144">
        <f t="shared" si="12"/>
        <v>10462.090899131354</v>
      </c>
      <c r="AH59" s="167">
        <v>340</v>
      </c>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row>
    <row r="60" spans="9:91" ht="15">
      <c r="I60" s="5"/>
      <c r="J60" s="5"/>
      <c r="K60" s="5"/>
      <c r="L60" s="5"/>
      <c r="M60" s="5"/>
      <c r="S60" s="5"/>
      <c r="T60" s="5"/>
      <c r="U60" s="5"/>
      <c r="V60" s="5"/>
      <c r="W60" s="5"/>
      <c r="X60" s="5"/>
      <c r="Y60" s="5"/>
      <c r="Z60" s="5"/>
      <c r="AB60" s="167">
        <v>330</v>
      </c>
      <c r="AC60" s="168">
        <f>UAOptimizer!AP65</f>
        <v>9914.714897992799</v>
      </c>
      <c r="AD60" s="167">
        <v>330</v>
      </c>
      <c r="AE60" s="168">
        <f>UAOptimizer!AZ65</f>
        <v>9914.714897992799</v>
      </c>
      <c r="AF60" s="167">
        <v>330</v>
      </c>
      <c r="AG60" s="144">
        <f t="shared" si="12"/>
        <v>9914.714897992799</v>
      </c>
      <c r="AH60" s="167">
        <v>330</v>
      </c>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row>
    <row r="61" spans="9:91" ht="15">
      <c r="I61" s="5"/>
      <c r="J61" s="5"/>
      <c r="K61" s="5"/>
      <c r="L61" s="5"/>
      <c r="M61" s="5"/>
      <c r="N61" s="5"/>
      <c r="O61" s="5"/>
      <c r="P61" s="5"/>
      <c r="Q61" s="5"/>
      <c r="R61" s="5"/>
      <c r="S61" s="5"/>
      <c r="T61" s="5"/>
      <c r="U61" s="5"/>
      <c r="V61" s="5"/>
      <c r="W61" s="5"/>
      <c r="X61" s="5"/>
      <c r="Y61" s="5"/>
      <c r="Z61" s="5"/>
      <c r="AB61" s="167">
        <v>320</v>
      </c>
      <c r="AC61" s="168">
        <f>UAOptimizer!AP66</f>
        <v>9375.22596501889</v>
      </c>
      <c r="AD61" s="167">
        <v>320</v>
      </c>
      <c r="AE61" s="168">
        <f>UAOptimizer!AZ66</f>
        <v>9375.22596501889</v>
      </c>
      <c r="AF61" s="167">
        <v>320</v>
      </c>
      <c r="AG61" s="144">
        <f t="shared" si="12"/>
        <v>9375.22596501889</v>
      </c>
      <c r="AH61" s="167">
        <v>320</v>
      </c>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row>
    <row r="62" spans="9:91" ht="15">
      <c r="I62" s="5"/>
      <c r="J62" s="5"/>
      <c r="K62" s="5"/>
      <c r="L62" s="5"/>
      <c r="M62" s="5"/>
      <c r="N62" s="5"/>
      <c r="O62" s="5"/>
      <c r="P62" s="5"/>
      <c r="Q62" s="5"/>
      <c r="R62" s="5"/>
      <c r="S62" s="5"/>
      <c r="T62" s="5"/>
      <c r="U62" s="5"/>
      <c r="V62" s="5"/>
      <c r="W62" s="5"/>
      <c r="X62" s="5"/>
      <c r="Y62" s="5"/>
      <c r="Z62" s="5"/>
      <c r="AB62" s="167">
        <v>310</v>
      </c>
      <c r="AC62" s="168">
        <f>UAOptimizer!AP67</f>
        <v>8844.00627171323</v>
      </c>
      <c r="AD62" s="167">
        <v>310</v>
      </c>
      <c r="AE62" s="168">
        <f>UAOptimizer!AZ67</f>
        <v>8844.00627171323</v>
      </c>
      <c r="AF62" s="167">
        <v>310</v>
      </c>
      <c r="AG62" s="144">
        <f t="shared" si="12"/>
        <v>8844.00627171323</v>
      </c>
      <c r="AH62" s="167">
        <v>310</v>
      </c>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row>
    <row r="63" spans="9:91" ht="15">
      <c r="I63" s="5"/>
      <c r="J63" s="5"/>
      <c r="K63" s="5"/>
      <c r="L63" s="5"/>
      <c r="M63" s="5"/>
      <c r="N63" s="5"/>
      <c r="O63" s="5"/>
      <c r="P63" s="5"/>
      <c r="Q63" s="5"/>
      <c r="R63" s="5"/>
      <c r="S63" s="5"/>
      <c r="T63" s="5"/>
      <c r="U63" s="5"/>
      <c r="V63" s="5"/>
      <c r="W63" s="5"/>
      <c r="X63" s="5"/>
      <c r="Y63" s="5"/>
      <c r="Z63" s="5"/>
      <c r="AB63" s="167">
        <v>300</v>
      </c>
      <c r="AC63" s="168">
        <f>UAOptimizer!AP68</f>
        <v>8321.039500824192</v>
      </c>
      <c r="AD63" s="167">
        <v>300</v>
      </c>
      <c r="AE63" s="168">
        <f>UAOptimizer!AZ68</f>
        <v>8321.039500824192</v>
      </c>
      <c r="AF63" s="167">
        <v>300</v>
      </c>
      <c r="AG63" s="144">
        <f t="shared" si="12"/>
        <v>8321.039500824192</v>
      </c>
      <c r="AH63" s="167">
        <v>300</v>
      </c>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row>
    <row r="64" spans="9:91" ht="15">
      <c r="I64" s="5"/>
      <c r="J64" s="5"/>
      <c r="K64" s="5"/>
      <c r="L64" s="5"/>
      <c r="M64" s="5"/>
      <c r="N64" s="5"/>
      <c r="O64" s="5"/>
      <c r="P64" s="5"/>
      <c r="Q64" s="5"/>
      <c r="R64" s="5"/>
      <c r="S64" s="5"/>
      <c r="T64" s="5"/>
      <c r="U64" s="5"/>
      <c r="V64" s="5"/>
      <c r="W64" s="5"/>
      <c r="X64" s="5"/>
      <c r="Y64" s="5"/>
      <c r="Z64" s="5"/>
      <c r="AB64" s="167">
        <v>290</v>
      </c>
      <c r="AC64" s="168">
        <f>UAOptimizer!AP69</f>
        <v>7806.2313627610365</v>
      </c>
      <c r="AD64" s="167">
        <v>290</v>
      </c>
      <c r="AE64" s="168">
        <f>UAOptimizer!AZ69</f>
        <v>7806.2313627610365</v>
      </c>
      <c r="AF64" s="167">
        <v>290</v>
      </c>
      <c r="AG64" s="144">
        <f t="shared" si="12"/>
        <v>7806.2313627610365</v>
      </c>
      <c r="AH64" s="167">
        <v>290</v>
      </c>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row>
    <row r="65" spans="9:91" ht="15">
      <c r="I65" s="5"/>
      <c r="J65" s="5"/>
      <c r="K65" s="5"/>
      <c r="L65" s="5"/>
      <c r="M65" s="5"/>
      <c r="N65" s="5"/>
      <c r="O65" s="5"/>
      <c r="P65" s="5"/>
      <c r="Q65" s="5"/>
      <c r="R65" s="5"/>
      <c r="S65" s="5"/>
      <c r="T65" s="5"/>
      <c r="U65" s="5"/>
      <c r="V65" s="5"/>
      <c r="W65" s="5"/>
      <c r="X65" s="5"/>
      <c r="Y65" s="5"/>
      <c r="Z65" s="5"/>
      <c r="AB65" s="167">
        <v>280</v>
      </c>
      <c r="AC65" s="168">
        <f>UAOptimizer!AP70</f>
        <v>7299.073401660402</v>
      </c>
      <c r="AD65" s="167">
        <v>280</v>
      </c>
      <c r="AE65" s="168">
        <f>UAOptimizer!AZ70</f>
        <v>7299.073401660402</v>
      </c>
      <c r="AF65" s="167">
        <v>280</v>
      </c>
      <c r="AG65" s="144">
        <f t="shared" si="12"/>
        <v>7299.073401660402</v>
      </c>
      <c r="AH65" s="167">
        <v>280</v>
      </c>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row>
    <row r="66" spans="9:91" ht="15">
      <c r="I66" s="5"/>
      <c r="J66" s="5"/>
      <c r="K66" s="5"/>
      <c r="L66" s="5"/>
      <c r="M66" s="5"/>
      <c r="N66" s="5"/>
      <c r="O66" s="5"/>
      <c r="P66" s="5"/>
      <c r="Q66" s="5"/>
      <c r="R66" s="5"/>
      <c r="S66" s="5"/>
      <c r="T66" s="5"/>
      <c r="U66" s="5"/>
      <c r="V66" s="5"/>
      <c r="W66" s="5"/>
      <c r="X66" s="5"/>
      <c r="Y66" s="5"/>
      <c r="Z66" s="5"/>
      <c r="AB66" s="167">
        <v>270</v>
      </c>
      <c r="AC66" s="168">
        <f>UAOptimizer!AP71</f>
        <v>6801.3929976815925</v>
      </c>
      <c r="AD66" s="167">
        <v>270</v>
      </c>
      <c r="AE66" s="168">
        <f>UAOptimizer!AZ71</f>
        <v>6801.3929976815925</v>
      </c>
      <c r="AF66" s="167">
        <v>270</v>
      </c>
      <c r="AG66" s="144">
        <f t="shared" si="12"/>
        <v>6801.392997681592</v>
      </c>
      <c r="AH66" s="167">
        <v>270</v>
      </c>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row>
    <row r="67" spans="9:91" ht="15">
      <c r="I67" s="5"/>
      <c r="J67" s="5"/>
      <c r="K67" s="5"/>
      <c r="L67" s="5"/>
      <c r="M67" s="5"/>
      <c r="N67" s="5"/>
      <c r="O67" s="5"/>
      <c r="P67" s="5"/>
      <c r="Q67" s="5"/>
      <c r="R67" s="5"/>
      <c r="S67" s="5"/>
      <c r="T67" s="5"/>
      <c r="U67" s="5"/>
      <c r="V67" s="5"/>
      <c r="W67" s="5"/>
      <c r="X67" s="5"/>
      <c r="Y67" s="5"/>
      <c r="Z67" s="5"/>
      <c r="AB67" s="167">
        <v>260</v>
      </c>
      <c r="AC67" s="168">
        <f>UAOptimizer!AP72</f>
        <v>6313.595421838417</v>
      </c>
      <c r="AD67" s="167">
        <v>260</v>
      </c>
      <c r="AE67" s="168">
        <f>UAOptimizer!AZ72</f>
        <v>6313.595421838417</v>
      </c>
      <c r="AF67" s="167">
        <v>260</v>
      </c>
      <c r="AG67" s="144">
        <f t="shared" si="12"/>
        <v>6313.595421838417</v>
      </c>
      <c r="AH67" s="167">
        <v>260</v>
      </c>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row>
    <row r="68" spans="9:91" ht="15">
      <c r="I68" s="5"/>
      <c r="J68" s="5"/>
      <c r="K68" s="5"/>
      <c r="L68" s="5"/>
      <c r="M68" s="5"/>
      <c r="N68" s="5"/>
      <c r="O68" s="5"/>
      <c r="P68" s="5"/>
      <c r="Q68" s="5"/>
      <c r="R68" s="5"/>
      <c r="S68" s="5"/>
      <c r="T68" s="5"/>
      <c r="U68" s="5"/>
      <c r="V68" s="5"/>
      <c r="W68" s="5"/>
      <c r="X68" s="5"/>
      <c r="Y68" s="5"/>
      <c r="Z68" s="5"/>
      <c r="AB68" s="167">
        <v>250</v>
      </c>
      <c r="AC68" s="168">
        <f>UAOptimizer!AP73</f>
        <v>5836.429511934428</v>
      </c>
      <c r="AD68" s="167">
        <v>250</v>
      </c>
      <c r="AE68" s="168">
        <f>UAOptimizer!AZ73</f>
        <v>5836.429511934428</v>
      </c>
      <c r="AF68" s="167">
        <v>250</v>
      </c>
      <c r="AG68" s="144">
        <f t="shared" si="12"/>
        <v>5836.429511934428</v>
      </c>
      <c r="AH68" s="167">
        <v>250</v>
      </c>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row>
    <row r="69" spans="9:91" ht="15">
      <c r="I69" s="5"/>
      <c r="J69" s="5"/>
      <c r="K69" s="5"/>
      <c r="L69" s="5"/>
      <c r="M69" s="5"/>
      <c r="N69" s="5"/>
      <c r="O69" s="5"/>
      <c r="P69" s="5"/>
      <c r="Q69" s="5"/>
      <c r="R69" s="5"/>
      <c r="S69" s="5"/>
      <c r="T69" s="5"/>
      <c r="U69" s="5"/>
      <c r="V69" s="5"/>
      <c r="W69" s="5"/>
      <c r="X69" s="5"/>
      <c r="Y69" s="5"/>
      <c r="Z69" s="5"/>
      <c r="AB69" s="167">
        <v>240</v>
      </c>
      <c r="AC69" s="168">
        <f>UAOptimizer!AP74</f>
        <v>5370.546739270095</v>
      </c>
      <c r="AD69" s="167">
        <v>240</v>
      </c>
      <c r="AE69" s="168">
        <f>UAOptimizer!AZ74</f>
        <v>5370.546739270095</v>
      </c>
      <c r="AF69" s="167">
        <v>240</v>
      </c>
      <c r="AG69" s="144">
        <f t="shared" si="12"/>
        <v>5370.546739270095</v>
      </c>
      <c r="AH69" s="167">
        <v>240</v>
      </c>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row>
    <row r="70" spans="9:91" ht="15">
      <c r="I70" s="5"/>
      <c r="J70" s="5"/>
      <c r="K70" s="5"/>
      <c r="L70" s="5"/>
      <c r="M70" s="5"/>
      <c r="N70" s="5"/>
      <c r="O70" s="5"/>
      <c r="P70" s="5"/>
      <c r="Q70" s="5"/>
      <c r="R70" s="5"/>
      <c r="S70" s="5"/>
      <c r="T70" s="5"/>
      <c r="U70" s="5"/>
      <c r="V70" s="5"/>
      <c r="W70" s="5"/>
      <c r="X70" s="5"/>
      <c r="Y70" s="5"/>
      <c r="Z70" s="5"/>
      <c r="AB70" s="167">
        <v>230</v>
      </c>
      <c r="AC70" s="168">
        <f>UAOptimizer!AP75</f>
        <v>4915.886969693848</v>
      </c>
      <c r="AD70" s="167">
        <v>230</v>
      </c>
      <c r="AE70" s="168">
        <f>UAOptimizer!AZ75</f>
        <v>4915.886969693848</v>
      </c>
      <c r="AF70" s="167">
        <v>230</v>
      </c>
      <c r="AG70" s="144">
        <f t="shared" si="12"/>
        <v>4915.886969693848</v>
      </c>
      <c r="AH70" s="167">
        <v>230</v>
      </c>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row>
    <row r="71" spans="9:91" ht="15">
      <c r="I71" s="5"/>
      <c r="J71" s="5"/>
      <c r="K71" s="5"/>
      <c r="L71" s="5"/>
      <c r="M71" s="5"/>
      <c r="N71" s="5"/>
      <c r="O71" s="5"/>
      <c r="P71" s="5"/>
      <c r="Q71" s="5"/>
      <c r="R71" s="5"/>
      <c r="S71" s="5"/>
      <c r="T71" s="5"/>
      <c r="U71" s="5"/>
      <c r="V71" s="5"/>
      <c r="W71" s="5"/>
      <c r="X71" s="5"/>
      <c r="Y71" s="5"/>
      <c r="Z71" s="5"/>
      <c r="AB71" s="167">
        <v>220</v>
      </c>
      <c r="AC71" s="168">
        <f>UAOptimizer!AP76</f>
        <v>4474.001934230851</v>
      </c>
      <c r="AD71" s="167">
        <v>220</v>
      </c>
      <c r="AE71" s="168">
        <f>UAOptimizer!AZ76</f>
        <v>4474.001934230851</v>
      </c>
      <c r="AF71" s="167">
        <v>220</v>
      </c>
      <c r="AG71" s="144">
        <f t="shared" si="12"/>
        <v>4474.001934230851</v>
      </c>
      <c r="AH71" s="167">
        <v>220</v>
      </c>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row>
    <row r="72" spans="9:91" ht="15">
      <c r="I72" s="5"/>
      <c r="J72" s="5"/>
      <c r="K72" s="5"/>
      <c r="L72" s="5"/>
      <c r="M72" s="5"/>
      <c r="N72" s="5"/>
      <c r="O72" s="5"/>
      <c r="P72" s="5"/>
      <c r="Q72" s="5"/>
      <c r="R72" s="5"/>
      <c r="S72" s="5"/>
      <c r="T72" s="5"/>
      <c r="U72" s="5"/>
      <c r="V72" s="5"/>
      <c r="W72" s="5"/>
      <c r="X72" s="5"/>
      <c r="Y72" s="5"/>
      <c r="Z72" s="5"/>
      <c r="AB72" s="167">
        <v>210</v>
      </c>
      <c r="AC72" s="168">
        <f>UAOptimizer!AP77</f>
        <v>4044.232496032289</v>
      </c>
      <c r="AD72" s="167">
        <v>210</v>
      </c>
      <c r="AE72" s="168">
        <f>UAOptimizer!AZ77</f>
        <v>4044.232496032289</v>
      </c>
      <c r="AF72" s="167">
        <v>210</v>
      </c>
      <c r="AG72" s="144">
        <f t="shared" si="12"/>
        <v>4044.232496032289</v>
      </c>
      <c r="AH72" s="167">
        <v>210</v>
      </c>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row>
    <row r="73" spans="9:91" ht="15">
      <c r="I73" s="5"/>
      <c r="J73" s="5"/>
      <c r="K73" s="5"/>
      <c r="L73" s="5"/>
      <c r="M73" s="5"/>
      <c r="N73" s="5"/>
      <c r="O73" s="5"/>
      <c r="P73" s="5"/>
      <c r="Q73" s="5"/>
      <c r="R73" s="5"/>
      <c r="S73" s="5"/>
      <c r="T73" s="5"/>
      <c r="U73" s="5"/>
      <c r="V73" s="5"/>
      <c r="W73" s="5"/>
      <c r="X73" s="5"/>
      <c r="Y73" s="5"/>
      <c r="Z73" s="5"/>
      <c r="AA73" s="5"/>
      <c r="AB73" s="167">
        <v>200</v>
      </c>
      <c r="AC73" s="168">
        <f>UAOptimizer!AP78</f>
        <v>3629.3282424716417</v>
      </c>
      <c r="AD73" s="167">
        <v>200</v>
      </c>
      <c r="AE73" s="168">
        <f>UAOptimizer!AZ78</f>
        <v>3629.3282424716417</v>
      </c>
      <c r="AF73" s="167">
        <v>200</v>
      </c>
      <c r="AG73" s="144">
        <f t="shared" si="12"/>
        <v>3629.3282424716417</v>
      </c>
      <c r="AH73" s="167">
        <v>200</v>
      </c>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row>
    <row r="74" spans="9:91" ht="15">
      <c r="I74" s="5"/>
      <c r="J74" s="5"/>
      <c r="K74" s="5"/>
      <c r="L74" s="5"/>
      <c r="M74" s="5"/>
      <c r="N74" s="5"/>
      <c r="O74" s="5"/>
      <c r="P74" s="5"/>
      <c r="Q74" s="5"/>
      <c r="R74" s="5"/>
      <c r="S74" s="5"/>
      <c r="T74" s="5"/>
      <c r="U74" s="5"/>
      <c r="V74" s="5"/>
      <c r="W74" s="5"/>
      <c r="X74" s="5"/>
      <c r="Y74" s="5"/>
      <c r="Z74" s="5"/>
      <c r="AA74" s="5"/>
      <c r="AB74" s="167">
        <v>190</v>
      </c>
      <c r="AC74" s="168">
        <f>UAOptimizer!AP79</f>
        <v>3227.389215291447</v>
      </c>
      <c r="AD74" s="167">
        <v>190</v>
      </c>
      <c r="AE74" s="168">
        <f>UAOptimizer!AZ79</f>
        <v>3227.389215291447</v>
      </c>
      <c r="AF74" s="167">
        <v>190</v>
      </c>
      <c r="AG74" s="144">
        <f t="shared" si="12"/>
        <v>3227.389215291447</v>
      </c>
      <c r="AH74" s="167">
        <v>190</v>
      </c>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row>
    <row r="75" spans="9:91" ht="15">
      <c r="I75" s="5"/>
      <c r="J75" s="5"/>
      <c r="K75" s="5"/>
      <c r="L75" s="5"/>
      <c r="M75" s="5"/>
      <c r="N75" s="5"/>
      <c r="O75" s="5"/>
      <c r="P75" s="5"/>
      <c r="Q75" s="5"/>
      <c r="R75" s="5"/>
      <c r="S75" s="5"/>
      <c r="T75" s="5"/>
      <c r="U75" s="5"/>
      <c r="V75" s="5"/>
      <c r="W75" s="5"/>
      <c r="X75" s="5"/>
      <c r="Y75" s="5"/>
      <c r="Z75" s="5"/>
      <c r="AA75" s="5"/>
      <c r="AB75" s="167">
        <v>180</v>
      </c>
      <c r="AC75" s="168">
        <f>UAOptimizer!AP80</f>
        <v>2840.882482082301</v>
      </c>
      <c r="AD75" s="167">
        <v>180</v>
      </c>
      <c r="AE75" s="168">
        <f>UAOptimizer!AZ80</f>
        <v>2840.882482082301</v>
      </c>
      <c r="AF75" s="167">
        <v>180</v>
      </c>
      <c r="AG75" s="144">
        <f t="shared" si="12"/>
        <v>2840.882482082301</v>
      </c>
      <c r="AH75" s="167">
        <v>180</v>
      </c>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row>
    <row r="76" spans="9:91" ht="15">
      <c r="I76" s="5"/>
      <c r="J76" s="5"/>
      <c r="K76" s="5"/>
      <c r="L76" s="5"/>
      <c r="M76" s="5"/>
      <c r="N76" s="5"/>
      <c r="O76" s="5"/>
      <c r="P76" s="5"/>
      <c r="Q76" s="5"/>
      <c r="R76" s="5"/>
      <c r="S76" s="5"/>
      <c r="T76" s="5"/>
      <c r="U76" s="5"/>
      <c r="V76" s="5"/>
      <c r="W76" s="5"/>
      <c r="X76" s="5"/>
      <c r="Y76" s="5"/>
      <c r="Z76" s="5"/>
      <c r="AA76" s="5"/>
      <c r="AB76" s="167">
        <v>170</v>
      </c>
      <c r="AC76" s="168">
        <f>UAOptimizer!AP81</f>
        <v>2468.306466655595</v>
      </c>
      <c r="AD76" s="167">
        <v>170</v>
      </c>
      <c r="AE76" s="168">
        <f>UAOptimizer!AZ81</f>
        <v>2468.306466655595</v>
      </c>
      <c r="AF76" s="167">
        <v>170</v>
      </c>
      <c r="AG76" s="144">
        <f t="shared" si="12"/>
        <v>2468.306466655595</v>
      </c>
      <c r="AH76" s="167">
        <v>170</v>
      </c>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row>
    <row r="77" spans="9:91" ht="15">
      <c r="I77" s="5"/>
      <c r="J77" s="5"/>
      <c r="K77" s="5"/>
      <c r="L77" s="5"/>
      <c r="M77" s="5"/>
      <c r="N77" s="5"/>
      <c r="O77" s="5"/>
      <c r="P77" s="5"/>
      <c r="Q77" s="5"/>
      <c r="R77" s="5"/>
      <c r="S77" s="5"/>
      <c r="T77" s="5"/>
      <c r="U77" s="5"/>
      <c r="V77" s="5"/>
      <c r="W77" s="5"/>
      <c r="X77" s="5"/>
      <c r="Y77" s="5"/>
      <c r="Z77" s="5"/>
      <c r="AA77" s="5"/>
      <c r="AB77" s="167">
        <v>160</v>
      </c>
      <c r="AC77" s="168">
        <f>UAOptimizer!AP82</f>
        <v>2110.754476793507</v>
      </c>
      <c r="AD77" s="167">
        <v>160</v>
      </c>
      <c r="AE77" s="168">
        <f>UAOptimizer!AZ82</f>
        <v>2110.754476793507</v>
      </c>
      <c r="AF77" s="167">
        <v>160</v>
      </c>
      <c r="AG77" s="144">
        <f aca="true" t="shared" si="13" ref="AG77:AG82">($I$1*AC77)+($J$1*AE77)</f>
        <v>2110.754476793507</v>
      </c>
      <c r="AH77" s="167">
        <v>160</v>
      </c>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row>
    <row r="78" spans="9:91" ht="15">
      <c r="I78" s="5"/>
      <c r="J78" s="5"/>
      <c r="K78" s="5"/>
      <c r="L78" s="5"/>
      <c r="M78" s="5"/>
      <c r="N78" s="5"/>
      <c r="O78" s="5"/>
      <c r="P78" s="5"/>
      <c r="Q78" s="5"/>
      <c r="R78" s="5"/>
      <c r="S78" s="5"/>
      <c r="T78" s="5"/>
      <c r="U78" s="5"/>
      <c r="V78" s="5"/>
      <c r="W78" s="5"/>
      <c r="X78" s="5"/>
      <c r="Y78" s="5"/>
      <c r="Z78" s="5"/>
      <c r="AA78" s="5"/>
      <c r="AB78" s="167">
        <v>150</v>
      </c>
      <c r="AC78" s="168">
        <f>UAOptimizer!AP83</f>
        <v>1772.150576555811</v>
      </c>
      <c r="AD78" s="167">
        <v>150</v>
      </c>
      <c r="AE78" s="168">
        <f>UAOptimizer!AZ83</f>
        <v>1772.150576555811</v>
      </c>
      <c r="AF78" s="167">
        <v>150</v>
      </c>
      <c r="AG78" s="144">
        <f t="shared" si="13"/>
        <v>1772.150576555811</v>
      </c>
      <c r="AH78" s="167">
        <v>150</v>
      </c>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row>
    <row r="79" spans="9:91" ht="15">
      <c r="I79" s="5"/>
      <c r="J79" s="5"/>
      <c r="K79" s="5"/>
      <c r="L79" s="5"/>
      <c r="M79" s="5"/>
      <c r="N79" s="5"/>
      <c r="O79" s="5"/>
      <c r="P79" s="5"/>
      <c r="Q79" s="5"/>
      <c r="R79" s="5"/>
      <c r="S79" s="5"/>
      <c r="T79" s="5"/>
      <c r="U79" s="5"/>
      <c r="V79" s="5"/>
      <c r="W79" s="5"/>
      <c r="X79" s="5"/>
      <c r="Y79" s="5"/>
      <c r="Z79" s="5"/>
      <c r="AA79" s="5"/>
      <c r="AB79" s="167">
        <v>140</v>
      </c>
      <c r="AC79" s="168">
        <f>UAOptimizer!AP84</f>
        <v>1454.6943231641608</v>
      </c>
      <c r="AD79" s="167">
        <v>140</v>
      </c>
      <c r="AE79" s="168">
        <f>UAOptimizer!AZ84</f>
        <v>1454.6943231641608</v>
      </c>
      <c r="AF79" s="167">
        <v>140</v>
      </c>
      <c r="AG79" s="144">
        <f t="shared" si="13"/>
        <v>1454.6943231641608</v>
      </c>
      <c r="AH79" s="167">
        <v>140</v>
      </c>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row>
    <row r="80" spans="9:91" ht="15">
      <c r="I80" s="5"/>
      <c r="J80" s="5"/>
      <c r="K80" s="5"/>
      <c r="L80" s="5"/>
      <c r="M80" s="5"/>
      <c r="N80" s="5"/>
      <c r="O80" s="5"/>
      <c r="P80" s="5"/>
      <c r="Q80" s="5"/>
      <c r="R80" s="5"/>
      <c r="S80" s="5"/>
      <c r="T80" s="5"/>
      <c r="U80" s="5"/>
      <c r="V80" s="5"/>
      <c r="W80" s="5"/>
      <c r="X80" s="5"/>
      <c r="Y80" s="5"/>
      <c r="Z80" s="5"/>
      <c r="AA80" s="5"/>
      <c r="AB80" s="167">
        <v>130</v>
      </c>
      <c r="AC80" s="168">
        <f>UAOptimizer!AP85</f>
        <v>1158.8274412625299</v>
      </c>
      <c r="AD80" s="167">
        <v>130</v>
      </c>
      <c r="AE80" s="168">
        <f>UAOptimizer!AZ85</f>
        <v>1158.8274412625299</v>
      </c>
      <c r="AF80" s="167">
        <v>130</v>
      </c>
      <c r="AG80" s="144">
        <f t="shared" si="13"/>
        <v>1158.8274412625299</v>
      </c>
      <c r="AH80" s="167">
        <v>130</v>
      </c>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row>
    <row r="81" spans="9:91" ht="15">
      <c r="I81" s="5"/>
      <c r="J81" s="5"/>
      <c r="K81" s="5"/>
      <c r="L81" s="5"/>
      <c r="M81" s="5"/>
      <c r="N81" s="5"/>
      <c r="O81" s="5"/>
      <c r="P81" s="5"/>
      <c r="Q81" s="5"/>
      <c r="R81" s="5"/>
      <c r="S81" s="5"/>
      <c r="T81" s="5"/>
      <c r="U81" s="5"/>
      <c r="V81" s="5"/>
      <c r="W81" s="5"/>
      <c r="X81" s="5"/>
      <c r="Y81" s="5"/>
      <c r="Z81" s="5"/>
      <c r="AA81" s="5"/>
      <c r="AB81" s="167">
        <v>120</v>
      </c>
      <c r="AC81" s="168">
        <f>UAOptimizer!AP86</f>
        <v>886.6159940905114</v>
      </c>
      <c r="AD81" s="167">
        <v>120</v>
      </c>
      <c r="AE81" s="168">
        <f>UAOptimizer!AZ86</f>
        <v>886.6159940905114</v>
      </c>
      <c r="AF81" s="167">
        <v>120</v>
      </c>
      <c r="AG81" s="144">
        <f t="shared" si="13"/>
        <v>886.6159940905113</v>
      </c>
      <c r="AH81" s="167">
        <v>120</v>
      </c>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row>
    <row r="82" spans="9:91" ht="15">
      <c r="I82" s="5"/>
      <c r="J82" s="5"/>
      <c r="K82" s="5"/>
      <c r="L82" s="5"/>
      <c r="M82" s="5"/>
      <c r="N82" s="5"/>
      <c r="O82" s="5"/>
      <c r="P82" s="5"/>
      <c r="Q82" s="5"/>
      <c r="R82" s="5"/>
      <c r="S82" s="5"/>
      <c r="T82" s="5"/>
      <c r="U82" s="5"/>
      <c r="V82" s="5"/>
      <c r="W82" s="5"/>
      <c r="X82" s="5"/>
      <c r="Y82" s="5"/>
      <c r="Z82" s="5"/>
      <c r="AA82" s="5"/>
      <c r="AB82" s="167">
        <v>110</v>
      </c>
      <c r="AC82" s="168">
        <f>UAOptimizer!AP87</f>
        <v>648.5778586132192</v>
      </c>
      <c r="AD82" s="167">
        <v>110</v>
      </c>
      <c r="AE82" s="168">
        <f>UAOptimizer!AZ87</f>
        <v>648.5778586132192</v>
      </c>
      <c r="AF82" s="167">
        <v>110</v>
      </c>
      <c r="AG82" s="144">
        <f t="shared" si="13"/>
        <v>648.5778586132192</v>
      </c>
      <c r="AH82" s="167">
        <v>110</v>
      </c>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row>
    <row r="83" spans="9:91" ht="1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row>
    <row r="84" spans="9:91" ht="1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row>
    <row r="85" spans="9:91" ht="1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row>
    <row r="86" spans="9:91" ht="1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row>
    <row r="87" spans="9:91" ht="1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row>
    <row r="88" spans="9:91" ht="1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row>
    <row r="89" spans="9:91" ht="1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row>
    <row r="90" spans="9:91" ht="1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row>
    <row r="91" spans="9:91" ht="1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row>
    <row r="92" spans="9:91" ht="1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row>
    <row r="93" spans="9:91" ht="1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row>
    <row r="94" spans="9:91" ht="1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row>
    <row r="95" spans="9:91" ht="1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row>
    <row r="96" spans="9:91" ht="1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row>
    <row r="97" spans="9:91" ht="1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row>
    <row r="98" spans="9:91" ht="1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row>
    <row r="99" spans="9:91" ht="1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row>
    <row r="100" spans="9:48" ht="15">
      <c r="I100" s="5"/>
      <c r="J100" s="5"/>
      <c r="K100" s="5"/>
      <c r="L100" s="5"/>
      <c r="M100" s="5"/>
      <c r="N100" s="5"/>
      <c r="O100" s="5"/>
      <c r="P100" s="5"/>
      <c r="Q100" s="5"/>
      <c r="R100" s="5"/>
      <c r="AA100" s="5"/>
      <c r="AB100" s="5"/>
      <c r="AC100" s="5"/>
      <c r="AD100" s="5"/>
      <c r="AE100" s="5"/>
      <c r="AF100" s="5"/>
      <c r="AG100" s="5"/>
      <c r="AH100" s="5"/>
      <c r="AI100" s="5"/>
      <c r="AJ100" s="5"/>
      <c r="AK100" s="5"/>
      <c r="AL100" s="5"/>
      <c r="AM100" s="5"/>
      <c r="AN100" s="5"/>
      <c r="AO100" s="5"/>
      <c r="AP100" s="5"/>
      <c r="AQ100" s="5"/>
      <c r="AR100" s="5"/>
      <c r="AS100" s="5"/>
      <c r="AT100" s="5"/>
      <c r="AU100" s="5"/>
      <c r="AV100" s="5"/>
    </row>
    <row r="101" spans="9:34" ht="15">
      <c r="I101" s="5"/>
      <c r="J101" s="5"/>
      <c r="K101" s="5"/>
      <c r="L101" s="5"/>
      <c r="M101" s="5"/>
      <c r="N101" s="5"/>
      <c r="O101" s="5"/>
      <c r="P101" s="5"/>
      <c r="Q101" s="5"/>
      <c r="R101" s="5"/>
      <c r="AB101" s="5"/>
      <c r="AC101" s="5"/>
      <c r="AD101" s="5"/>
      <c r="AE101" s="5"/>
      <c r="AF101" s="5"/>
      <c r="AG101" s="5"/>
      <c r="AH101" s="5"/>
    </row>
    <row r="102" spans="9:34" ht="15">
      <c r="I102" s="5"/>
      <c r="J102" s="5"/>
      <c r="K102" s="5"/>
      <c r="L102" s="5"/>
      <c r="M102" s="5"/>
      <c r="N102" s="5"/>
      <c r="O102" s="5"/>
      <c r="P102" s="5"/>
      <c r="Q102" s="5"/>
      <c r="R102" s="5"/>
      <c r="AB102" s="5"/>
      <c r="AC102" s="5"/>
      <c r="AD102" s="5"/>
      <c r="AE102" s="5"/>
      <c r="AF102" s="5"/>
      <c r="AG102" s="5"/>
      <c r="AH102" s="5"/>
    </row>
    <row r="103" spans="9:34" ht="15">
      <c r="I103" s="5"/>
      <c r="J103" s="5"/>
      <c r="K103" s="5"/>
      <c r="L103" s="5"/>
      <c r="M103" s="5"/>
      <c r="N103" s="5"/>
      <c r="O103" s="5"/>
      <c r="P103" s="5"/>
      <c r="Q103" s="5"/>
      <c r="R103" s="5"/>
      <c r="AB103" s="5"/>
      <c r="AC103" s="5"/>
      <c r="AD103" s="5"/>
      <c r="AE103" s="5"/>
      <c r="AF103" s="5"/>
      <c r="AG103" s="5"/>
      <c r="AH103" s="5"/>
    </row>
    <row r="104" spans="9:34" ht="15">
      <c r="I104" s="5"/>
      <c r="J104" s="5"/>
      <c r="K104" s="5"/>
      <c r="L104" s="5"/>
      <c r="M104" s="5"/>
      <c r="N104" s="5"/>
      <c r="O104" s="5"/>
      <c r="P104" s="5"/>
      <c r="Q104" s="5"/>
      <c r="R104" s="5"/>
      <c r="AB104" s="5"/>
      <c r="AC104" s="5"/>
      <c r="AD104" s="5"/>
      <c r="AE104" s="5"/>
      <c r="AF104" s="5"/>
      <c r="AG104" s="5"/>
      <c r="AH104" s="5"/>
    </row>
    <row r="105" spans="9:34" ht="15">
      <c r="I105" s="5"/>
      <c r="K105" s="5"/>
      <c r="L105" s="5"/>
      <c r="M105" s="5"/>
      <c r="N105" s="5"/>
      <c r="O105" s="5"/>
      <c r="P105" s="5"/>
      <c r="Q105" s="5"/>
      <c r="R105" s="5"/>
      <c r="AB105" s="5"/>
      <c r="AC105" s="5"/>
      <c r="AD105" s="5"/>
      <c r="AE105" s="5"/>
      <c r="AF105" s="5"/>
      <c r="AG105" s="5"/>
      <c r="AH105" s="5"/>
    </row>
    <row r="106" spans="9:34" ht="15">
      <c r="I106" s="5"/>
      <c r="K106" s="5"/>
      <c r="L106" s="5"/>
      <c r="M106" s="5"/>
      <c r="N106" s="5"/>
      <c r="O106" s="5"/>
      <c r="AB106" s="5"/>
      <c r="AC106" s="5"/>
      <c r="AD106" s="5"/>
      <c r="AE106" s="5"/>
      <c r="AF106" s="5"/>
      <c r="AG106" s="5"/>
      <c r="AH106" s="5"/>
    </row>
    <row r="107" spans="9:34" ht="15">
      <c r="I107" s="5"/>
      <c r="K107" s="5"/>
      <c r="L107" s="5"/>
      <c r="M107" s="5"/>
      <c r="N107" s="5"/>
      <c r="O107" s="5"/>
      <c r="AB107" s="5"/>
      <c r="AC107" s="5"/>
      <c r="AD107" s="5"/>
      <c r="AE107" s="5"/>
      <c r="AF107" s="5"/>
      <c r="AG107" s="5"/>
      <c r="AH107" s="5"/>
    </row>
    <row r="108" spans="9:34" ht="15">
      <c r="I108" s="5"/>
      <c r="K108" s="5"/>
      <c r="L108" s="5"/>
      <c r="M108" s="5"/>
      <c r="N108" s="5"/>
      <c r="O108" s="5"/>
      <c r="AB108" s="5"/>
      <c r="AC108" s="5"/>
      <c r="AD108" s="5"/>
      <c r="AE108" s="5"/>
      <c r="AF108" s="5"/>
      <c r="AG108" s="5"/>
      <c r="AH108" s="5"/>
    </row>
    <row r="109" spans="9:34" ht="15">
      <c r="I109" s="5"/>
      <c r="K109" s="5"/>
      <c r="L109" s="5"/>
      <c r="M109" s="5"/>
      <c r="N109" s="5"/>
      <c r="O109" s="5"/>
      <c r="AB109" s="5"/>
      <c r="AC109" s="5"/>
      <c r="AD109" s="5"/>
      <c r="AE109" s="5"/>
      <c r="AF109" s="5"/>
      <c r="AG109" s="5"/>
      <c r="AH109" s="5"/>
    </row>
    <row r="110" spans="9:34" ht="15">
      <c r="I110" s="5"/>
      <c r="K110" s="5"/>
      <c r="L110" s="5"/>
      <c r="N110" s="5"/>
      <c r="O110" s="5"/>
      <c r="AB110" s="5"/>
      <c r="AC110" s="5"/>
      <c r="AD110" s="5"/>
      <c r="AE110" s="5"/>
      <c r="AF110" s="5"/>
      <c r="AG110" s="5"/>
      <c r="AH110" s="5"/>
    </row>
    <row r="111" spans="9:15" ht="15">
      <c r="I111" s="5"/>
      <c r="N111" s="5"/>
      <c r="O111" s="5"/>
    </row>
    <row r="112" spans="9:15" ht="15">
      <c r="I112" s="5"/>
      <c r="N112" s="5"/>
      <c r="O112" s="5"/>
    </row>
    <row r="113" spans="9:15" ht="15">
      <c r="I113" s="5"/>
      <c r="N113" s="5"/>
      <c r="O113" s="5"/>
    </row>
    <row r="114" spans="9:15" ht="15">
      <c r="I114" s="5"/>
      <c r="N114" s="5"/>
      <c r="O114" s="5"/>
    </row>
    <row r="115" ht="15">
      <c r="I115" s="5"/>
    </row>
    <row r="116" ht="15">
      <c r="I116" s="5"/>
    </row>
    <row r="117" ht="15">
      <c r="I117" s="5"/>
    </row>
    <row r="118" ht="15">
      <c r="I118" s="5"/>
    </row>
    <row r="119" ht="15">
      <c r="I119" s="5"/>
    </row>
    <row r="120" ht="15">
      <c r="I120" s="5"/>
    </row>
    <row r="121" ht="15">
      <c r="I121" s="5"/>
    </row>
    <row r="124" spans="1:8" ht="12.75">
      <c r="A124" s="5"/>
      <c r="B124" s="5"/>
      <c r="C124" s="5"/>
      <c r="D124" s="5"/>
      <c r="E124" s="5"/>
      <c r="F124" s="5"/>
      <c r="G124" s="169"/>
      <c r="H124" s="5"/>
    </row>
    <row r="125" spans="1:8" ht="12.75">
      <c r="A125" s="5"/>
      <c r="B125" s="5"/>
      <c r="C125" s="5"/>
      <c r="D125" s="5"/>
      <c r="E125" s="5"/>
      <c r="F125" s="5"/>
      <c r="G125" s="169"/>
      <c r="H125" s="5"/>
    </row>
    <row r="126" spans="1:8" ht="12.75">
      <c r="A126" s="5"/>
      <c r="B126" s="5"/>
      <c r="C126" s="5"/>
      <c r="D126" s="5"/>
      <c r="E126" s="5"/>
      <c r="F126" s="5"/>
      <c r="G126" s="169"/>
      <c r="H126" s="5"/>
    </row>
    <row r="127" spans="1:8" ht="12.75">
      <c r="A127" s="5"/>
      <c r="B127" s="5"/>
      <c r="C127" s="5"/>
      <c r="D127" s="5"/>
      <c r="E127" s="5"/>
      <c r="F127" s="5"/>
      <c r="G127" s="169"/>
      <c r="H127" s="5"/>
    </row>
    <row r="128" spans="1:8" ht="12.75">
      <c r="A128" s="5"/>
      <c r="B128" s="5"/>
      <c r="C128" s="5"/>
      <c r="D128" s="5"/>
      <c r="E128" s="5"/>
      <c r="F128" s="5"/>
      <c r="G128" s="169"/>
      <c r="H128" s="5"/>
    </row>
    <row r="129" spans="1:8" ht="12.75">
      <c r="A129" s="5"/>
      <c r="B129" s="5"/>
      <c r="C129" s="5"/>
      <c r="D129" s="5"/>
      <c r="E129" s="5"/>
      <c r="F129" s="5"/>
      <c r="G129" s="169"/>
      <c r="H129" s="5"/>
    </row>
    <row r="130" spans="1:8" ht="12.75">
      <c r="A130" s="5"/>
      <c r="B130" s="5"/>
      <c r="C130" s="5"/>
      <c r="D130" s="5"/>
      <c r="E130" s="5"/>
      <c r="F130" s="5"/>
      <c r="G130" s="169"/>
      <c r="H130" s="5"/>
    </row>
  </sheetData>
  <mergeCells count="14">
    <mergeCell ref="H21:J21"/>
    <mergeCell ref="K19:M19"/>
    <mergeCell ref="H25:J25"/>
    <mergeCell ref="K21:M21"/>
    <mergeCell ref="N37:R37"/>
    <mergeCell ref="N18:R18"/>
    <mergeCell ref="B1:C1"/>
    <mergeCell ref="A16:F16"/>
    <mergeCell ref="B19:D19"/>
    <mergeCell ref="H19:J19"/>
    <mergeCell ref="E19:G19"/>
    <mergeCell ref="N13:Q13"/>
    <mergeCell ref="A35:E35"/>
    <mergeCell ref="A18:J18"/>
  </mergeCells>
  <printOptions gridLines="1"/>
  <pageMargins left="0.75" right="0.75" top="1" bottom="1" header="0.5" footer="0.5"/>
  <pageSetup blackAndWhite="1" horizontalDpi="600" verticalDpi="600" orientation="landscape" r:id="rId3"/>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Sheet8"/>
  <dimension ref="A1:D5"/>
  <sheetViews>
    <sheetView zoomScale="93" zoomScaleNormal="93" workbookViewId="0" topLeftCell="A1">
      <selection activeCell="D5" sqref="D5"/>
    </sheetView>
  </sheetViews>
  <sheetFormatPr defaultColWidth="9.140625" defaultRowHeight="12.75"/>
  <cols>
    <col min="1" max="1" width="94.421875" style="5" customWidth="1"/>
    <col min="2" max="2" width="150.421875" style="5" customWidth="1"/>
    <col min="3" max="3" width="77.00390625" style="5" customWidth="1"/>
    <col min="4" max="4" width="23.140625" style="5" customWidth="1"/>
    <col min="5" max="16384" width="9.140625" style="5" customWidth="1"/>
  </cols>
  <sheetData>
    <row r="1" spans="1:4" ht="12.75">
      <c r="A1" s="179" t="s">
        <v>115</v>
      </c>
      <c r="B1" s="180" t="s">
        <v>116</v>
      </c>
      <c r="C1" s="180" t="s">
        <v>117</v>
      </c>
      <c r="D1" s="180" t="s">
        <v>118</v>
      </c>
    </row>
    <row r="2" spans="1:4" ht="12.75">
      <c r="A2" s="97" t="s">
        <v>307</v>
      </c>
      <c r="B2" s="181" t="s">
        <v>311</v>
      </c>
      <c r="C2" s="145" t="s">
        <v>159</v>
      </c>
      <c r="D2" s="145" t="s">
        <v>160</v>
      </c>
    </row>
    <row r="3" spans="1:4" ht="12.75">
      <c r="A3" s="97" t="s">
        <v>308</v>
      </c>
      <c r="B3" s="181" t="s">
        <v>311</v>
      </c>
      <c r="C3" s="145" t="s">
        <v>159</v>
      </c>
      <c r="D3" s="145" t="s">
        <v>164</v>
      </c>
    </row>
    <row r="4" spans="1:4" ht="12.75">
      <c r="A4" s="97" t="s">
        <v>309</v>
      </c>
      <c r="B4" s="181" t="s">
        <v>311</v>
      </c>
      <c r="C4" s="145" t="s">
        <v>159</v>
      </c>
      <c r="D4" s="145" t="s">
        <v>163</v>
      </c>
    </row>
    <row r="5" spans="1:4" ht="12.75">
      <c r="A5" s="97" t="s">
        <v>324</v>
      </c>
      <c r="B5" s="181" t="s">
        <v>311</v>
      </c>
      <c r="C5" s="145" t="s">
        <v>159</v>
      </c>
      <c r="D5" s="145" t="s">
        <v>325</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6"/>
  <dimension ref="A2:C9"/>
  <sheetViews>
    <sheetView zoomScale="75" zoomScaleNormal="75" workbookViewId="0" topLeftCell="A1">
      <selection activeCell="A7" sqref="A7:IV7"/>
    </sheetView>
  </sheetViews>
  <sheetFormatPr defaultColWidth="9.140625" defaultRowHeight="12.75"/>
  <cols>
    <col min="1" max="1" width="11.421875" style="0" customWidth="1"/>
    <col min="2" max="2" width="10.00390625" style="93" customWidth="1"/>
    <col min="3" max="3" width="123.140625" style="0" customWidth="1"/>
    <col min="4" max="4" width="29.00390625" style="0" customWidth="1"/>
    <col min="6" max="6" width="10.28125" style="0" bestFit="1" customWidth="1"/>
    <col min="8" max="8" width="8.7109375" style="0" customWidth="1"/>
  </cols>
  <sheetData>
    <row r="2" spans="1:3" ht="25.5">
      <c r="A2" s="184" t="s">
        <v>231</v>
      </c>
      <c r="B2" s="185" t="s">
        <v>227</v>
      </c>
      <c r="C2" s="184" t="s">
        <v>228</v>
      </c>
    </row>
    <row r="3" spans="1:3" ht="12.75">
      <c r="A3" s="187">
        <f aca="true" t="shared" si="0" ref="A3:A9">B3/B$9</f>
        <v>0.03651347118538789</v>
      </c>
      <c r="B3" s="143">
        <v>8084</v>
      </c>
      <c r="C3" s="183" t="s">
        <v>222</v>
      </c>
    </row>
    <row r="4" spans="1:3" ht="12.75">
      <c r="A4" s="187">
        <f t="shared" si="0"/>
        <v>0.15650566261426155</v>
      </c>
      <c r="B4" s="143">
        <v>34650</v>
      </c>
      <c r="C4" s="183" t="s">
        <v>223</v>
      </c>
    </row>
    <row r="5" spans="1:3" ht="12.75">
      <c r="A5" s="187">
        <f t="shared" si="0"/>
        <v>0.4011377893920688</v>
      </c>
      <c r="B5" s="143">
        <v>88811</v>
      </c>
      <c r="C5" s="183" t="s">
        <v>225</v>
      </c>
    </row>
    <row r="6" spans="1:3" ht="12.75">
      <c r="A6" s="187">
        <f t="shared" si="0"/>
        <v>0.21804648954411188</v>
      </c>
      <c r="B6" s="143">
        <v>48275</v>
      </c>
      <c r="C6" s="183" t="s">
        <v>226</v>
      </c>
    </row>
    <row r="7" spans="1:3" ht="12.75">
      <c r="A7" s="187">
        <f t="shared" si="0"/>
        <v>0.008509571958593616</v>
      </c>
      <c r="B7" s="143">
        <v>1884</v>
      </c>
      <c r="C7" s="183" t="s">
        <v>224</v>
      </c>
    </row>
    <row r="8" spans="1:3" ht="12.75">
      <c r="A8" s="187">
        <f t="shared" si="0"/>
        <v>0.17928701530557628</v>
      </c>
      <c r="B8" s="143">
        <v>39693.74</v>
      </c>
      <c r="C8" s="183" t="s">
        <v>221</v>
      </c>
    </row>
    <row r="9" spans="1:3" ht="12.75">
      <c r="A9" s="187">
        <f t="shared" si="0"/>
        <v>1</v>
      </c>
      <c r="B9" s="186">
        <f>SUM(B3:B8)</f>
        <v>221397.74</v>
      </c>
      <c r="C9" s="18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Weatherization - Manufactured Homes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2003-01-17T19:48:36Z</dcterms:modified>
  <cp:category/>
  <cp:version/>
  <cp:contentType/>
  <cp:contentStatus/>
</cp:coreProperties>
</file>