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MFResWX" sheetId="3" r:id="rId3"/>
    <sheet name="10920 SF" sheetId="4" r:id="rId4"/>
    <sheet name="12492 SF" sheetId="5" r:id="rId5"/>
    <sheet name="UA Optimizer" sheetId="6" r:id="rId6"/>
    <sheet name="Cost-Effectiveness Level" sheetId="7" r:id="rId7"/>
    <sheet name="LookupTable" sheetId="8" r:id="rId8"/>
    <sheet name="ResWX Base Case" sheetId="9" r:id="rId9"/>
  </sheets>
  <definedNames>
    <definedName name="_Key1" hidden="1">#REF!</definedName>
    <definedName name="_Order1" hidden="1">255</definedName>
    <definedName name="_Sort" hidden="1">#REF!</definedName>
    <definedName name="AdminRate">'ProData'!$B$19</definedName>
    <definedName name="Alloc_File">#REF!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_File">#REF!</definedName>
    <definedName name="MCSSDataFile">'ProData'!$B$21</definedName>
    <definedName name="OMShr1">'ProData'!$B$11</definedName>
    <definedName name="PC_Main" localSheetId="4">'12492 SF'!PC_Main</definedName>
    <definedName name="PC_Main">[0]!PC_Main</definedName>
    <definedName name="_xlnm.Print_Area" localSheetId="3">'10920 SF'!$B$40:$K$65</definedName>
    <definedName name="_xlnm.Print_Area" localSheetId="4">'12492 SF'!$B$43:$K$68</definedName>
    <definedName name="_xlnm.Print_Area" localSheetId="6">'Cost-Effectiveness Level'!$N$20:$Q$33</definedName>
    <definedName name="_xlnm.Print_Area" localSheetId="2">'MFResWX'!$B$39:$B$56</definedName>
    <definedName name="_xlnm.Print_Area" localSheetId="5">'UA Optimizer'!$A$40:$J$90</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 name="ZA0" localSheetId="6">"Crystal Ball Data : Ver. 5.2"</definedName>
    <definedName name="ZA0A" localSheetId="6">0+100</definedName>
    <definedName name="ZA0C" localSheetId="6">0+0</definedName>
    <definedName name="ZA0D" localSheetId="6">0+0</definedName>
    <definedName name="ZA0F" localSheetId="6">0+0</definedName>
    <definedName name="ZA0T" localSheetId="6">25326046+0</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A22" authorId="0">
      <text>
        <r>
          <rPr>
            <b/>
            <sz val="11"/>
            <rFont val="Tahoma"/>
            <family val="2"/>
          </rPr>
          <t>Tom Eckman: This row assumes that the baseline home is missing all measures.</t>
        </r>
        <r>
          <rPr>
            <sz val="8"/>
            <rFont val="Tahoma"/>
            <family val="0"/>
          </rPr>
          <t xml:space="preserve">
</t>
        </r>
      </text>
    </comment>
    <comment ref="A23" authorId="0">
      <text>
        <r>
          <rPr>
            <b/>
            <sz val="11"/>
            <rFont val="Tahoma"/>
            <family val="2"/>
          </rPr>
          <t>Tom Eckman:  This row assumes that the home is only missing the proportion of measures observed as the "pre" weatherization level of insulation based on the square footage reported in C&amp;R D for FY02</t>
        </r>
        <r>
          <rPr>
            <sz val="8"/>
            <rFont val="Tahoma"/>
            <family val="0"/>
          </rPr>
          <t xml:space="preserve">
</t>
        </r>
      </text>
    </comment>
  </commentList>
</comments>
</file>

<file path=xl/sharedStrings.xml><?xml version="1.0" encoding="utf-8"?>
<sst xmlns="http://schemas.openxmlformats.org/spreadsheetml/2006/main" count="943" uniqueCount="321">
  <si>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</si>
  <si>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</si>
  <si>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</si>
  <si>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</si>
  <si>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</si>
  <si>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</si>
  <si>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</si>
  <si>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</si>
  <si>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</si>
  <si>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</si>
  <si>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</si>
  <si>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</si>
  <si>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</si>
  <si>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</si>
  <si>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</si>
  <si>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</si>
  <si>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</si>
  <si>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</si>
  <si>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</si>
  <si>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</si>
  <si>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</si>
  <si>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</si>
  <si>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</si>
  <si>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</si>
  <si>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</si>
  <si>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</si>
  <si>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</si>
  <si>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</si>
  <si>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</si>
  <si>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</si>
  <si>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</si>
  <si>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</si>
  <si>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</si>
  <si>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</si>
  <si>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</si>
  <si>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</si>
  <si>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</si>
  <si>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</si>
  <si>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</si>
  <si>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</si>
  <si>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</si>
  <si>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</si>
  <si>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</si>
  <si>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</si>
  <si>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</si>
  <si>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</si>
  <si>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</si>
  <si>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</si>
  <si>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</si>
  <si>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</si>
  <si>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</si>
  <si>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</si>
  <si>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</si>
  <si>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</si>
  <si>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</si>
  <si>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</si>
  <si>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</si>
  <si>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</si>
  <si>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</si>
  <si>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</si>
  <si>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</si>
  <si>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</si>
  <si>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</si>
  <si>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</si>
  <si>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</si>
  <si>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</si>
  <si>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</si>
  <si>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</si>
  <si>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</si>
  <si>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</si>
  <si>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</si>
  <si>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</si>
  <si>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</si>
  <si>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</si>
  <si>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</si>
  <si>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</si>
  <si>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</si>
  <si>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</si>
  <si>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</si>
  <si>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</si>
  <si>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</si>
  <si>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</si>
  <si>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</si>
  <si>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</si>
  <si>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</si>
  <si>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</si>
  <si>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</si>
  <si>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</si>
  <si>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</si>
  <si>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</si>
  <si>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</si>
  <si>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</si>
  <si>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</si>
  <si>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</si>
  <si>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</si>
  <si>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</si>
  <si>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</si>
  <si>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</si>
  <si>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</si>
  <si>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</si>
  <si>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</si>
  <si>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</si>
  <si>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</si>
  <si>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</si>
  <si>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</si>
  <si>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</si>
  <si>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</si>
  <si>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</si>
  <si>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</si>
  <si>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</si>
  <si>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</si>
  <si>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</si>
  <si>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</si>
  <si>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</si>
  <si>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</si>
  <si>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</si>
  <si>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</si>
  <si>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</si>
  <si>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</si>
  <si>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</si>
  <si>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</si>
  <si>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</si>
  <si>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</si>
  <si>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</si>
  <si>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</si>
  <si>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</si>
  <si>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</si>
  <si>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</si>
  <si>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</si>
  <si>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</si>
  <si>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</si>
  <si>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</si>
  <si>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</si>
  <si>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</si>
  <si>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</si>
  <si>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</si>
  <si>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</si>
  <si>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</si>
  <si>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</si>
  <si>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</si>
  <si>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</si>
  <si>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</si>
  <si>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</si>
  <si>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</si>
  <si>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</si>
  <si>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</si>
  <si>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</si>
  <si>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</si>
  <si>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</si>
  <si>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</si>
  <si>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</si>
  <si>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</si>
  <si>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</si>
  <si>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</si>
  <si>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</si>
  <si>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</si>
  <si>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</si>
  <si>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Increased comfort, reduced noise</t>
  </si>
  <si>
    <t>Reduced environmental impacts from electricity generation</t>
  </si>
  <si>
    <t>Savings assume that program is operated in accordance with existing Bonneville Power Administration Weatherization program (Weatherwise) specifications, including home qualification and quality assurance process.</t>
  </si>
  <si>
    <t>Regional Average Multifamily Unit</t>
  </si>
  <si>
    <t>Savings (kwh/yr)</t>
  </si>
  <si>
    <t>Phys Life (yrs)</t>
  </si>
  <si>
    <t>Non-E Val ($/yr)</t>
  </si>
  <si>
    <t>ResSHWX</t>
  </si>
  <si>
    <t>ATTIC R11</t>
  </si>
  <si>
    <t>ATTIC R19</t>
  </si>
  <si>
    <t>WALL R11</t>
  </si>
  <si>
    <t>FLOOR R11</t>
  </si>
  <si>
    <t>ATTIC R30</t>
  </si>
  <si>
    <t>INFILTRATION @ 0.35 ACH</t>
  </si>
  <si>
    <t>FLOOR R19</t>
  </si>
  <si>
    <t>FLOOR R30</t>
  </si>
  <si>
    <t>ATTIC R38</t>
  </si>
  <si>
    <t>ATTIC R49</t>
  </si>
  <si>
    <t>FLOOR R38</t>
  </si>
  <si>
    <t>DOOR R5</t>
  </si>
  <si>
    <t>Heating Zone 1</t>
  </si>
  <si>
    <t>Heating Zone 2</t>
  </si>
  <si>
    <t>Heating Zone 3</t>
  </si>
  <si>
    <t>Location Climate Data</t>
  </si>
  <si>
    <t>Portland</t>
  </si>
  <si>
    <t>Seattle</t>
  </si>
  <si>
    <t xml:space="preserve">Spokane </t>
  </si>
  <si>
    <t>Missoula</t>
  </si>
  <si>
    <t>Case Weights =&gt;</t>
  </si>
  <si>
    <t>Cost Effective UA &amp; Use</t>
  </si>
  <si>
    <t>UA</t>
  </si>
  <si>
    <t>Building Use (kWh/yr)</t>
  </si>
  <si>
    <t>Use /Unit</t>
  </si>
  <si>
    <t>CE?</t>
  </si>
  <si>
    <t>Spokane</t>
  </si>
  <si>
    <t>Use</t>
  </si>
  <si>
    <t>Prototype</t>
  </si>
  <si>
    <t>Uo</t>
  </si>
  <si>
    <t>Delta UA</t>
  </si>
  <si>
    <t>Installed Cost</t>
  </si>
  <si>
    <t>$/Delta UA</t>
  </si>
  <si>
    <t>Delta Cost</t>
  </si>
  <si>
    <t>WALL R0</t>
  </si>
  <si>
    <t>ATTIC R0</t>
  </si>
  <si>
    <t>FLOOR R0</t>
  </si>
  <si>
    <t>DOOR R2.5</t>
  </si>
  <si>
    <t>INFILTRATION @ 0.45 ACH</t>
  </si>
  <si>
    <t>Optimized Measure Order</t>
  </si>
  <si>
    <t>Cumulative Installed Cost</t>
  </si>
  <si>
    <t>Bldg Use</t>
  </si>
  <si>
    <t>Unit Use</t>
  </si>
  <si>
    <t>Bldg Savings</t>
  </si>
  <si>
    <t>Total UA</t>
  </si>
  <si>
    <t>Mean Use (kwh/yr)</t>
  </si>
  <si>
    <t>Mean Use/Unit</t>
  </si>
  <si>
    <t>Wall R11</t>
  </si>
  <si>
    <t>Cost</t>
  </si>
  <si>
    <t>PNW Region</t>
  </si>
  <si>
    <t xml:space="preserve">Multifamily dwelling unit in buildings with more than 4 units w/Electric Heat </t>
  </si>
  <si>
    <t>MFResWX</t>
  </si>
  <si>
    <t>10920 SF</t>
  </si>
  <si>
    <t>Cost-Effectiveness Level</t>
  </si>
  <si>
    <t>UA Optimizer</t>
  </si>
  <si>
    <t>LookupTable</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</si>
  <si>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</si>
  <si>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12492 SQFT 12 Unit  Existing Multifamily (1041 sq ft/unit)</t>
  </si>
  <si>
    <t>10920 SQFT 12 Unit  Existing Multifamily (910 sq ft/unit)</t>
  </si>
  <si>
    <t>Heating Zone Weight Data</t>
  </si>
  <si>
    <t>Boise</t>
  </si>
  <si>
    <t>Select Climate Zone</t>
  </si>
  <si>
    <t>*After selecting "Case", Procost must be re-run to update cost-effectiveness calculation for selected case.</t>
  </si>
  <si>
    <t>12492 SF</t>
  </si>
  <si>
    <t>Component Areas</t>
  </si>
  <si>
    <t>Component UA</t>
  </si>
  <si>
    <t>Installed Cost Total</t>
  </si>
  <si>
    <t>VAULT R11</t>
  </si>
  <si>
    <t>VAULT R0</t>
  </si>
  <si>
    <t>VAULT R19</t>
  </si>
  <si>
    <t>VAULT R30</t>
  </si>
  <si>
    <t>VAULT R38</t>
  </si>
  <si>
    <t>VAULT R49</t>
  </si>
  <si>
    <t>Installed Cost (2000$/sf)</t>
  </si>
  <si>
    <t>Macro to update measure list=&gt; "Ctl O"</t>
  </si>
  <si>
    <t>Formulas used by Measure Optimizer - Do not delete</t>
  </si>
  <si>
    <t>CLASS 120 WINDOW</t>
  </si>
  <si>
    <t>CLASS 35 PRIME WINDOW (Energy Star)</t>
  </si>
  <si>
    <t xml:space="preserve">CLASS 25 PRIME WINDOW </t>
  </si>
  <si>
    <t xml:space="preserve">Component </t>
  </si>
  <si>
    <t>CLASS 25 PRIME WINDOW</t>
  </si>
  <si>
    <t>Annual Use/Unit (kWh/yr))</t>
  </si>
  <si>
    <t>This section calculates the cost-effective UA for weatherization</t>
  </si>
  <si>
    <t>Weighted</t>
  </si>
  <si>
    <t>Prototype Weights =&gt;</t>
  </si>
  <si>
    <t>Avg. Unit Size</t>
  </si>
  <si>
    <t>Use /Bldg</t>
  </si>
  <si>
    <t>Weighted Average</t>
  </si>
  <si>
    <t>Annual Savings/Unit (kWh/yr)</t>
  </si>
  <si>
    <t>Case Cost Effective UA &amp; Use of Weatherized Unit=&gt;</t>
  </si>
  <si>
    <t>This section calculates the cumulative incremental cost/unit of achieving the cost-effective UA.</t>
  </si>
  <si>
    <t>Building UA</t>
  </si>
  <si>
    <t>5th Plan Draft 092802</t>
  </si>
  <si>
    <t>Incremental Cost (2000$)</t>
  </si>
  <si>
    <t>Pre-Weatherization Use (kWh/yr)</t>
  </si>
  <si>
    <t>Post Weatherization Use (kWh/yr)</t>
  </si>
  <si>
    <t>Savings (kWh/yr)</t>
  </si>
  <si>
    <t>Remaining Potential in "UnWeatherized" Pre-1979 Stock, in 2025</t>
  </si>
  <si>
    <t>Uninsulated Base</t>
  </si>
  <si>
    <t>Incremental Cost over "UnWeatherized Pre-1979" Unit @ CE UA</t>
  </si>
  <si>
    <t>Multifamily Weatherization - Heating Zone 1</t>
  </si>
  <si>
    <t>Multifamily Weatherization - Heating Zone 2</t>
  </si>
  <si>
    <t>Multifamily Weatherization - Heating Zone 3</t>
  </si>
  <si>
    <t>Multifamily Weatherization - PNW Average Climate</t>
  </si>
  <si>
    <t>To Update this table, "Copy&gt;Paste Special&gt;Formulas" N30:Q30 to N21:Q29. Then select each climate zone/location in cell B1. Re-Run Procost and then "Copy&gt;Paste Special&gt;Values"  across columns N:Q for data on the line for the climate zone/location case selected. Repeat process until all locations have been updated and changed to values.</t>
  </si>
  <si>
    <t>Insulation must be installed in substantial compliance with WeatherWise Specifications</t>
  </si>
  <si>
    <t>PNW Average Climate</t>
  </si>
  <si>
    <t>Conservation Measure</t>
  </si>
  <si>
    <t>Prototype Size =&gt;</t>
  </si>
  <si>
    <t>Measure Description</t>
  </si>
  <si>
    <t>R0 - R11 Wall Insulation (Cost &amp; Savings are per square foot of area insulated) - Heating Zone 1</t>
  </si>
  <si>
    <t>R0 - R19 Floor insulation (Cost &amp; Savings are per square foot of floor area insulated) - Heating Zone 1</t>
  </si>
  <si>
    <t>R19 - R30 Floor insulation (Cost &amp; Savings are per square foot of floor area insulated) - Heating Zone 1</t>
  </si>
  <si>
    <t>Energy Star Prime Window Replacement (Cost &amp; Savings are per square foot of windows replaced) - Heating Zone 1</t>
  </si>
  <si>
    <t>R19 - R38 Attic insulation (Cost &amp; Savings are per square foot of attic area insulated) - Heating Zone 1</t>
  </si>
  <si>
    <t>Share of Area</t>
  </si>
  <si>
    <t>C&amp;R D Total Units (sq.ft.)</t>
  </si>
  <si>
    <t>BASE CASE WINDOW - CLASS 54</t>
  </si>
  <si>
    <t>UA Change - Based on C&amp;R Discount Program FY02 ResWX Measure Reports</t>
  </si>
  <si>
    <t>Component</t>
  </si>
  <si>
    <t>Share of ResWx Measures Installed</t>
  </si>
  <si>
    <t>Pre-ResWX U-Value</t>
  </si>
  <si>
    <t>Post-ResWX U-Value</t>
  </si>
  <si>
    <t>Attic R19 to R38</t>
  </si>
  <si>
    <t>Floor R0 to R19</t>
  </si>
  <si>
    <t>Floor R19 to R30</t>
  </si>
  <si>
    <t>Wall R0 to R11</t>
  </si>
  <si>
    <t>Energy Star Prime Window Replacements</t>
  </si>
  <si>
    <t xml:space="preserve">UA of Retrofitted Components </t>
  </si>
  <si>
    <t>Change in UA</t>
  </si>
  <si>
    <t>Pre-ResWX UA</t>
  </si>
  <si>
    <t>Post-ResWX UA</t>
  </si>
  <si>
    <t>Cost-Effective UA</t>
  </si>
  <si>
    <t>Pre-Retrofit UA</t>
  </si>
  <si>
    <t>Average UA &amp; Use of UnInsulated Pre-1979 Stock in 2000</t>
  </si>
  <si>
    <t>Incremental Cost over "UnInsulated Pre-1979" Unit @ CE UA</t>
  </si>
  <si>
    <t>Average Use of Unweatherized Pre-1979 Stock in 2025</t>
  </si>
  <si>
    <t>Average Use of UnInsulated Pre-1979 Stock in 2025</t>
  </si>
  <si>
    <t>Average Use @ Cost Effective UA in 2025</t>
  </si>
  <si>
    <t>Incremental Cost</t>
  </si>
  <si>
    <t>Weighted Avg. Cost/Unit</t>
  </si>
  <si>
    <t>Incremental Savings - Zone 1</t>
  </si>
  <si>
    <t>Weighted Avg. Savings/Unit</t>
  </si>
  <si>
    <t>Incremental Savings - Zone 2</t>
  </si>
  <si>
    <t>Incremental Savings - Zone 3</t>
  </si>
  <si>
    <t>Incremental Savings - PNW Region</t>
  </si>
  <si>
    <t>Remaining Potential in "UnWeatherized" Pre-1979 Stock, in 2025 with Cost and Savings based on Measures Reported in C&amp;RD for FY02</t>
  </si>
  <si>
    <t>Select Cost and Saving Method =&gt;</t>
  </si>
  <si>
    <t>Prototype Measure Optimization</t>
  </si>
  <si>
    <t xml:space="preserve">C&amp;RD Measure Reports </t>
  </si>
  <si>
    <t>Cost/Unit Using UA vs Cumulative Cost Curve Fit</t>
  </si>
  <si>
    <t>Incremental Cost for ResWX =&gt;</t>
  </si>
  <si>
    <t>Pre-Weatherization UA &amp; Use w/100% Measures</t>
  </si>
  <si>
    <t>Pre-Weaherization UA &amp; Use  Adj. For C&amp;RD</t>
  </si>
  <si>
    <t>R:\TE\New Plan\Residential Resource Assessment\MC_AND_LOADSHAPE.XLS</t>
  </si>
  <si>
    <t>ProCost Results, Version 1.70a: JPH 03/07/01, 08:12 PM 1/13/2003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</si>
</sst>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quot;$&quot;* #,##0.0_);_(&quot;$&quot;* \(#,##0.0\);_(&quot;$&quot;* &quot;-&quot;??_);_(@_)"/>
    <numFmt numFmtId="179" formatCode="0.000000"/>
    <numFmt numFmtId="180" formatCode="0.00000"/>
    <numFmt numFmtId="181" formatCode="0.0000"/>
    <numFmt numFmtId="182" formatCode="_(* #,##0.0_);_(* \(#,##0.0\);_(* &quot;-&quot;??_);_(@_)"/>
    <numFmt numFmtId="183" formatCode="0.00000000"/>
    <numFmt numFmtId="184" formatCode="0.0000000"/>
    <numFmt numFmtId="185" formatCode="0.00000000000"/>
    <numFmt numFmtId="186" formatCode="0.0000000000"/>
  </numFmts>
  <fonts count="31">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sz val="10"/>
      <name val="MS Sans Serif"/>
      <family val="0"/>
    </font>
    <font>
      <b/>
      <sz val="10"/>
      <color indexed="17"/>
      <name val="Arial"/>
      <family val="2"/>
    </font>
    <font>
      <b/>
      <sz val="10"/>
      <color indexed="12"/>
      <name val="Arial"/>
      <family val="2"/>
    </font>
    <font>
      <vertAlign val="superscript"/>
      <sz val="10.25"/>
      <name val="Arial"/>
      <family val="0"/>
    </font>
    <font>
      <sz val="10.25"/>
      <name val="Arial"/>
      <family val="0"/>
    </font>
    <font>
      <b/>
      <sz val="11"/>
      <name val="Tahoma"/>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35"/>
        <bgColor indexed="64"/>
      </patternFill>
    </fill>
    <fill>
      <patternFill patternType="solid">
        <fgColor indexed="15"/>
        <bgColor indexed="64"/>
      </patternFill>
    </fill>
    <fill>
      <patternFill patternType="solid">
        <fgColor indexed="51"/>
        <bgColor indexed="64"/>
      </patternFill>
    </fill>
    <fill>
      <patternFill patternType="solid">
        <fgColor indexed="41"/>
        <bgColor indexed="64"/>
      </patternFill>
    </fill>
    <fill>
      <patternFill patternType="solid">
        <fgColor indexed="11"/>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medium">
        <color indexed="54"/>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medium"/>
      <top style="medium"/>
      <bottom style="thin"/>
    </border>
    <border>
      <left style="medium"/>
      <right>
        <color indexed="63"/>
      </right>
      <top>
        <color indexed="63"/>
      </top>
      <bottom style="thin"/>
    </border>
    <border>
      <left style="thin"/>
      <right>
        <color indexed="63"/>
      </right>
      <top style="medium"/>
      <bottom style="thin"/>
    </border>
    <border>
      <left style="medium"/>
      <right>
        <color indexed="63"/>
      </right>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color indexed="54"/>
      </left>
      <right>
        <color indexed="63"/>
      </right>
      <top>
        <color indexed="63"/>
      </top>
      <bottom>
        <color indexed="63"/>
      </bottom>
    </border>
    <border>
      <left style="medium">
        <color indexed="54"/>
      </left>
      <right>
        <color indexed="63"/>
      </right>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5" fillId="0" borderId="0">
      <alignment/>
      <protection/>
    </xf>
    <xf numFmtId="0" fontId="23" fillId="0" borderId="0">
      <alignment/>
      <protection/>
    </xf>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16">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11" borderId="19" xfId="0" applyFont="1" applyFill="1" applyBorder="1" applyAlignment="1">
      <alignment horizontal="center" wrapText="1"/>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0" fillId="0" borderId="0" xfId="0" applyFont="1" applyAlignment="1">
      <alignment wrapText="1"/>
    </xf>
    <xf numFmtId="1" fontId="0" fillId="0" borderId="0" xfId="30" applyNumberFormat="1">
      <alignment/>
      <protection/>
    </xf>
    <xf numFmtId="2" fontId="0" fillId="0" borderId="0" xfId="30" applyNumberFormat="1">
      <alignment/>
      <protection/>
    </xf>
    <xf numFmtId="2" fontId="0" fillId="0" borderId="0" xfId="30" applyNumberFormat="1" applyFont="1">
      <alignment/>
      <protection/>
    </xf>
    <xf numFmtId="165" fontId="11" fillId="0" borderId="0" xfId="0" applyNumberFormat="1" applyFont="1" applyAlignment="1">
      <alignment/>
    </xf>
    <xf numFmtId="165" fontId="0" fillId="0" borderId="0" xfId="0" applyNumberFormat="1" applyFont="1" applyAlignment="1">
      <alignment horizontal="right"/>
    </xf>
    <xf numFmtId="0" fontId="17" fillId="0" borderId="0" xfId="0" applyFont="1" applyAlignment="1">
      <alignment/>
    </xf>
    <xf numFmtId="0" fontId="5" fillId="0" borderId="0" xfId="26" applyFont="1">
      <alignment/>
      <protection/>
    </xf>
    <xf numFmtId="9" fontId="17" fillId="11" borderId="3" xfId="32" applyFont="1" applyFill="1" applyBorder="1" applyAlignment="1">
      <alignment/>
    </xf>
    <xf numFmtId="0" fontId="0" fillId="0" borderId="3" xfId="0" applyFont="1" applyBorder="1" applyAlignment="1">
      <alignment/>
    </xf>
    <xf numFmtId="0" fontId="17" fillId="12" borderId="12" xfId="31" applyFont="1" applyFill="1" applyBorder="1" applyAlignment="1">
      <alignment horizontal="center"/>
      <protection/>
    </xf>
    <xf numFmtId="1" fontId="17" fillId="12" borderId="13" xfId="31" applyNumberFormat="1" applyFont="1" applyFill="1" applyBorder="1" applyAlignment="1">
      <alignment horizontal="left" wrapText="1"/>
      <protection/>
    </xf>
    <xf numFmtId="0" fontId="17" fillId="12" borderId="13" xfId="31" applyFont="1" applyFill="1" applyBorder="1" applyAlignment="1">
      <alignment horizontal="center"/>
      <protection/>
    </xf>
    <xf numFmtId="0" fontId="17" fillId="12" borderId="20" xfId="31" applyFont="1" applyFill="1" applyBorder="1" applyAlignment="1">
      <alignment horizontal="center"/>
      <protection/>
    </xf>
    <xf numFmtId="0" fontId="0" fillId="9" borderId="9" xfId="31" applyFont="1" applyFill="1" applyBorder="1">
      <alignment/>
      <protection/>
    </xf>
    <xf numFmtId="0" fontId="0" fillId="9" borderId="3" xfId="31" applyFont="1" applyFill="1" applyBorder="1">
      <alignment/>
      <protection/>
    </xf>
    <xf numFmtId="1" fontId="0" fillId="0" borderId="3" xfId="0" applyNumberFormat="1" applyFont="1" applyBorder="1" applyAlignment="1">
      <alignment/>
    </xf>
    <xf numFmtId="9" fontId="17" fillId="0" borderId="0" xfId="32" applyFont="1" applyBorder="1" applyAlignment="1">
      <alignment/>
    </xf>
    <xf numFmtId="1" fontId="0" fillId="0" borderId="0" xfId="0" applyNumberFormat="1" applyFont="1" applyAlignment="1">
      <alignment/>
    </xf>
    <xf numFmtId="0" fontId="0" fillId="0" borderId="3" xfId="0" applyBorder="1" applyAlignment="1">
      <alignment/>
    </xf>
    <xf numFmtId="0" fontId="17" fillId="0" borderId="3" xfId="0" applyFont="1" applyBorder="1" applyAlignment="1">
      <alignment/>
    </xf>
    <xf numFmtId="182" fontId="20" fillId="0" borderId="18" xfId="15" applyNumberFormat="1" applyFont="1" applyBorder="1" applyAlignment="1">
      <alignment horizontal="center" vertical="top" wrapText="1"/>
    </xf>
    <xf numFmtId="0" fontId="17" fillId="11" borderId="21" xfId="24" applyFont="1" applyFill="1" applyBorder="1" applyAlignment="1">
      <alignment horizontal="left"/>
      <protection/>
    </xf>
    <xf numFmtId="9" fontId="17" fillId="11" borderId="9" xfId="32" applyFont="1" applyFill="1" applyBorder="1" applyAlignment="1">
      <alignment/>
    </xf>
    <xf numFmtId="9" fontId="17" fillId="11" borderId="22" xfId="32" applyFont="1" applyFill="1" applyBorder="1" applyAlignment="1">
      <alignment/>
    </xf>
    <xf numFmtId="0" fontId="17" fillId="11" borderId="23" xfId="24" applyFont="1" applyFill="1" applyBorder="1" applyAlignment="1">
      <alignment horizontal="right"/>
      <protection/>
    </xf>
    <xf numFmtId="9" fontId="17" fillId="11" borderId="24" xfId="32" applyFont="1" applyFill="1" applyBorder="1" applyAlignment="1">
      <alignment/>
    </xf>
    <xf numFmtId="0" fontId="17" fillId="11" borderId="23" xfId="0" applyFont="1" applyFill="1" applyBorder="1" applyAlignment="1">
      <alignment horizontal="right"/>
    </xf>
    <xf numFmtId="0" fontId="17" fillId="11" borderId="25" xfId="0" applyFont="1" applyFill="1" applyBorder="1" applyAlignment="1">
      <alignment horizontal="right"/>
    </xf>
    <xf numFmtId="9" fontId="17" fillId="11" borderId="4" xfId="32" applyFont="1" applyFill="1" applyBorder="1" applyAlignment="1">
      <alignment/>
    </xf>
    <xf numFmtId="9" fontId="17" fillId="11" borderId="26" xfId="32" applyFont="1" applyFill="1" applyBorder="1" applyAlignment="1">
      <alignment/>
    </xf>
    <xf numFmtId="0" fontId="17" fillId="13" borderId="16" xfId="29" applyFont="1" applyFill="1" applyBorder="1">
      <alignment/>
      <protection/>
    </xf>
    <xf numFmtId="9" fontId="17" fillId="13" borderId="27" xfId="32" applyFont="1" applyFill="1" applyBorder="1" applyAlignment="1">
      <alignment/>
    </xf>
    <xf numFmtId="9" fontId="17" fillId="13" borderId="28" xfId="32" applyFont="1" applyFill="1" applyBorder="1" applyAlignment="1">
      <alignment/>
    </xf>
    <xf numFmtId="0" fontId="18" fillId="3" borderId="1" xfId="26" applyFont="1" applyFill="1" applyBorder="1">
      <alignment/>
      <protection/>
    </xf>
    <xf numFmtId="0" fontId="17" fillId="11" borderId="29" xfId="29" applyFont="1" applyFill="1" applyBorder="1">
      <alignment/>
      <protection/>
    </xf>
    <xf numFmtId="0" fontId="17" fillId="11" borderId="30" xfId="29" applyFont="1" applyFill="1" applyBorder="1">
      <alignment/>
      <protection/>
    </xf>
    <xf numFmtId="0" fontId="0" fillId="11" borderId="31" xfId="0" applyFont="1" applyFill="1" applyBorder="1" applyAlignment="1">
      <alignment/>
    </xf>
    <xf numFmtId="0" fontId="17" fillId="3" borderId="32" xfId="0" applyFont="1" applyFill="1" applyBorder="1" applyAlignment="1">
      <alignment/>
    </xf>
    <xf numFmtId="1" fontId="17" fillId="3" borderId="33" xfId="32" applyNumberFormat="1" applyFont="1" applyFill="1" applyBorder="1" applyAlignment="1">
      <alignment/>
    </xf>
    <xf numFmtId="9" fontId="17" fillId="3" borderId="34" xfId="32" applyFont="1" applyFill="1" applyBorder="1" applyAlignment="1">
      <alignment/>
    </xf>
    <xf numFmtId="0" fontId="17" fillId="0" borderId="0" xfId="0" applyFont="1" applyFill="1" applyBorder="1" applyAlignment="1">
      <alignment/>
    </xf>
    <xf numFmtId="1" fontId="17" fillId="0" borderId="0" xfId="32" applyNumberFormat="1" applyFont="1" applyFill="1" applyBorder="1" applyAlignment="1">
      <alignment/>
    </xf>
    <xf numFmtId="9" fontId="17" fillId="0" borderId="0" xfId="32" applyFont="1" applyFill="1" applyBorder="1" applyAlignment="1">
      <alignment/>
    </xf>
    <xf numFmtId="0" fontId="25" fillId="0" borderId="23" xfId="23" applyFont="1" applyBorder="1">
      <alignment/>
      <protection/>
    </xf>
    <xf numFmtId="166" fontId="0" fillId="0" borderId="9" xfId="26" applyNumberFormat="1" applyFont="1" applyBorder="1">
      <alignment/>
      <protection/>
    </xf>
    <xf numFmtId="0" fontId="26" fillId="0" borderId="9" xfId="25" applyFont="1" applyBorder="1" applyAlignment="1">
      <alignment horizontal="center"/>
      <protection/>
    </xf>
    <xf numFmtId="1" fontId="0" fillId="0" borderId="9" xfId="25" applyNumberFormat="1" applyFont="1" applyBorder="1">
      <alignment/>
      <protection/>
    </xf>
    <xf numFmtId="0" fontId="0" fillId="0" borderId="9" xfId="25" applyFont="1" applyBorder="1">
      <alignment/>
      <protection/>
    </xf>
    <xf numFmtId="166" fontId="0" fillId="0" borderId="3" xfId="25" applyNumberFormat="1" applyFont="1" applyBorder="1">
      <alignment/>
      <protection/>
    </xf>
    <xf numFmtId="0" fontId="26" fillId="0" borderId="3" xfId="25" applyFont="1" applyBorder="1" applyAlignment="1">
      <alignment horizontal="center"/>
      <protection/>
    </xf>
    <xf numFmtId="1" fontId="0" fillId="0" borderId="3" xfId="25" applyNumberFormat="1" applyFont="1" applyBorder="1">
      <alignment/>
      <protection/>
    </xf>
    <xf numFmtId="0" fontId="0" fillId="0" borderId="3" xfId="25" applyFont="1" applyBorder="1">
      <alignment/>
      <protection/>
    </xf>
    <xf numFmtId="0" fontId="0" fillId="0" borderId="0" xfId="25" applyFont="1">
      <alignment/>
      <protection/>
    </xf>
    <xf numFmtId="168" fontId="0" fillId="0" borderId="0" xfId="17" applyNumberFormat="1" applyFont="1" applyAlignment="1">
      <alignment/>
    </xf>
    <xf numFmtId="2" fontId="0" fillId="0" borderId="0" xfId="25" applyNumberFormat="1" applyFont="1">
      <alignment/>
      <protection/>
    </xf>
    <xf numFmtId="1" fontId="0" fillId="0" borderId="0" xfId="25" applyNumberFormat="1" applyFont="1">
      <alignment/>
      <protection/>
    </xf>
    <xf numFmtId="168" fontId="0" fillId="0" borderId="0" xfId="25" applyNumberFormat="1" applyFont="1">
      <alignment/>
      <protection/>
    </xf>
    <xf numFmtId="0" fontId="0" fillId="0" borderId="21" xfId="25" applyFont="1" applyBorder="1" applyAlignment="1" applyProtection="1" quotePrefix="1">
      <alignment horizontal="left"/>
      <protection/>
    </xf>
    <xf numFmtId="168" fontId="0" fillId="0" borderId="22" xfId="17" applyNumberFormat="1" applyFont="1" applyBorder="1" applyAlignment="1">
      <alignment/>
    </xf>
    <xf numFmtId="0" fontId="0" fillId="0" borderId="23" xfId="25" applyFont="1" applyBorder="1" applyAlignment="1" applyProtection="1" quotePrefix="1">
      <alignment horizontal="left"/>
      <protection/>
    </xf>
    <xf numFmtId="168" fontId="0" fillId="0" borderId="24" xfId="17" applyNumberFormat="1" applyFont="1" applyBorder="1" applyAlignment="1">
      <alignment/>
    </xf>
    <xf numFmtId="0" fontId="0" fillId="0" borderId="23" xfId="25" applyFont="1" applyBorder="1" applyAlignment="1" applyProtection="1">
      <alignment horizontal="left"/>
      <protection/>
    </xf>
    <xf numFmtId="166" fontId="0" fillId="0" borderId="0" xfId="25" applyNumberFormat="1" applyFont="1" applyBorder="1">
      <alignment/>
      <protection/>
    </xf>
    <xf numFmtId="0" fontId="0" fillId="0" borderId="23" xfId="25" applyFont="1" applyBorder="1" applyAlignment="1" quotePrefix="1">
      <alignment horizontal="left"/>
      <protection/>
    </xf>
    <xf numFmtId="0" fontId="0" fillId="0" borderId="32" xfId="25" applyFont="1" applyBorder="1" applyAlignment="1" quotePrefix="1">
      <alignment horizontal="left"/>
      <protection/>
    </xf>
    <xf numFmtId="166" fontId="0" fillId="0" borderId="33" xfId="25" applyNumberFormat="1" applyFont="1" applyBorder="1">
      <alignment/>
      <protection/>
    </xf>
    <xf numFmtId="0" fontId="26" fillId="0" borderId="33" xfId="25" applyFont="1" applyBorder="1" applyAlignment="1">
      <alignment horizontal="center"/>
      <protection/>
    </xf>
    <xf numFmtId="1" fontId="0" fillId="0" borderId="35" xfId="25" applyNumberFormat="1" applyFont="1" applyBorder="1">
      <alignment/>
      <protection/>
    </xf>
    <xf numFmtId="1" fontId="0" fillId="0" borderId="33" xfId="25" applyNumberFormat="1" applyFont="1" applyBorder="1">
      <alignment/>
      <protection/>
    </xf>
    <xf numFmtId="168" fontId="0" fillId="0" borderId="34" xfId="17" applyNumberFormat="1" applyFont="1" applyBorder="1" applyAlignment="1">
      <alignment/>
    </xf>
    <xf numFmtId="9" fontId="27" fillId="0" borderId="0" xfId="0" applyNumberFormat="1" applyFont="1" applyBorder="1" applyAlignment="1">
      <alignment/>
    </xf>
    <xf numFmtId="9" fontId="27" fillId="3" borderId="36" xfId="0" applyNumberFormat="1" applyFont="1" applyFill="1" applyBorder="1" applyAlignment="1">
      <alignment/>
    </xf>
    <xf numFmtId="9" fontId="27" fillId="3" borderId="37" xfId="0" applyNumberFormat="1" applyFont="1" applyFill="1" applyBorder="1" applyAlignment="1">
      <alignment/>
    </xf>
    <xf numFmtId="0" fontId="0" fillId="3" borderId="38" xfId="25" applyFont="1" applyFill="1" applyBorder="1">
      <alignment/>
      <protection/>
    </xf>
    <xf numFmtId="0" fontId="0" fillId="0" borderId="0" xfId="28" applyFont="1">
      <alignment/>
      <protection/>
    </xf>
    <xf numFmtId="1" fontId="17" fillId="3" borderId="23" xfId="27" applyNumberFormat="1" applyFont="1" applyFill="1" applyBorder="1">
      <alignment/>
      <protection/>
    </xf>
    <xf numFmtId="177" fontId="17" fillId="3" borderId="3" xfId="27" applyFont="1" applyFill="1" applyBorder="1">
      <alignment/>
      <protection/>
    </xf>
    <xf numFmtId="0" fontId="17" fillId="3" borderId="24" xfId="25" applyFont="1" applyFill="1" applyBorder="1">
      <alignment/>
      <protection/>
    </xf>
    <xf numFmtId="0" fontId="17" fillId="11" borderId="13" xfId="25" applyFont="1" applyFill="1" applyBorder="1">
      <alignment/>
      <protection/>
    </xf>
    <xf numFmtId="0" fontId="17" fillId="11" borderId="10" xfId="25" applyFont="1" applyFill="1" applyBorder="1">
      <alignment/>
      <protection/>
    </xf>
    <xf numFmtId="0" fontId="0" fillId="11" borderId="3" xfId="0" applyFont="1" applyFill="1" applyBorder="1" applyAlignment="1">
      <alignment/>
    </xf>
    <xf numFmtId="169" fontId="0" fillId="12" borderId="3" xfId="15" applyNumberFormat="1" applyFont="1" applyFill="1" applyBorder="1" applyAlignment="1">
      <alignment horizontal="right" wrapText="1"/>
    </xf>
    <xf numFmtId="0" fontId="17" fillId="11" borderId="13" xfId="24" applyFont="1" applyFill="1" applyBorder="1" applyAlignment="1">
      <alignment horizontal="center"/>
      <protection/>
    </xf>
    <xf numFmtId="166" fontId="17" fillId="11" borderId="39" xfId="24" applyNumberFormat="1" applyFont="1" applyFill="1" applyBorder="1" applyAlignment="1">
      <alignment horizontal="center"/>
      <protection/>
    </xf>
    <xf numFmtId="0" fontId="17" fillId="11" borderId="16" xfId="25" applyFont="1" applyFill="1" applyBorder="1">
      <alignment/>
      <protection/>
    </xf>
    <xf numFmtId="0" fontId="17" fillId="11" borderId="40" xfId="25" applyFont="1" applyFill="1" applyBorder="1">
      <alignment/>
      <protection/>
    </xf>
    <xf numFmtId="0" fontId="17" fillId="11" borderId="28" xfId="25" applyFont="1" applyFill="1" applyBorder="1">
      <alignment/>
      <protection/>
    </xf>
    <xf numFmtId="0" fontId="17" fillId="11" borderId="41" xfId="25" applyFont="1" applyFill="1" applyBorder="1">
      <alignment/>
      <protection/>
    </xf>
    <xf numFmtId="0" fontId="17" fillId="11" borderId="42" xfId="25" applyFont="1" applyFill="1" applyBorder="1">
      <alignment/>
      <protection/>
    </xf>
    <xf numFmtId="0" fontId="0" fillId="0" borderId="0" xfId="0" applyFont="1" applyAlignment="1">
      <alignment wrapText="1"/>
    </xf>
    <xf numFmtId="0" fontId="0" fillId="0" borderId="0" xfId="25" applyFont="1" applyAlignment="1">
      <alignment wrapText="1"/>
      <protection/>
    </xf>
    <xf numFmtId="0" fontId="0" fillId="0" borderId="0" xfId="0" applyFont="1" applyAlignment="1">
      <alignment/>
    </xf>
    <xf numFmtId="0" fontId="17" fillId="0" borderId="0" xfId="28" applyFont="1" applyFill="1" applyBorder="1" applyAlignment="1">
      <alignment wrapText="1"/>
      <protection/>
    </xf>
    <xf numFmtId="168" fontId="0" fillId="0" borderId="0" xfId="17" applyNumberFormat="1" applyFont="1" applyBorder="1" applyAlignment="1">
      <alignment/>
    </xf>
    <xf numFmtId="1" fontId="0" fillId="0" borderId="0" xfId="25" applyNumberFormat="1" applyFont="1" applyBorder="1">
      <alignment/>
      <protection/>
    </xf>
    <xf numFmtId="168" fontId="0" fillId="0" borderId="3" xfId="25" applyNumberFormat="1" applyFont="1" applyBorder="1">
      <alignment/>
      <protection/>
    </xf>
    <xf numFmtId="166" fontId="0" fillId="0" borderId="0" xfId="0" applyNumberFormat="1" applyFont="1" applyAlignment="1">
      <alignment/>
    </xf>
    <xf numFmtId="169" fontId="0" fillId="0" borderId="3" xfId="15" applyNumberFormat="1" applyFont="1" applyBorder="1" applyAlignment="1">
      <alignment/>
    </xf>
    <xf numFmtId="2" fontId="0" fillId="0" borderId="3" xfId="28" applyNumberFormat="1" applyFont="1" applyFill="1" applyBorder="1">
      <alignment/>
      <protection/>
    </xf>
    <xf numFmtId="168" fontId="0" fillId="0" borderId="3" xfId="17" applyNumberFormat="1" applyFont="1" applyFill="1" applyBorder="1" applyAlignment="1">
      <alignment/>
    </xf>
    <xf numFmtId="44" fontId="0" fillId="0" borderId="3" xfId="17" applyFont="1" applyFill="1" applyBorder="1" applyAlignment="1">
      <alignment/>
    </xf>
    <xf numFmtId="0" fontId="17" fillId="11" borderId="43" xfId="24" applyFont="1" applyFill="1" applyBorder="1" applyAlignment="1">
      <alignment horizontal="center" wrapText="1"/>
      <protection/>
    </xf>
    <xf numFmtId="0" fontId="17" fillId="11" borderId="35" xfId="24" applyFont="1" applyFill="1" applyBorder="1" applyAlignment="1">
      <alignment horizontal="center" wrapText="1"/>
      <protection/>
    </xf>
    <xf numFmtId="0" fontId="17" fillId="11" borderId="42" xfId="24" applyFont="1" applyFill="1" applyBorder="1" applyAlignment="1" quotePrefix="1">
      <alignment horizontal="center" wrapText="1"/>
      <protection/>
    </xf>
    <xf numFmtId="168" fontId="0" fillId="0" borderId="0" xfId="25" applyNumberFormat="1" applyFont="1" applyBorder="1">
      <alignment/>
      <protection/>
    </xf>
    <xf numFmtId="1" fontId="17" fillId="0" borderId="3" xfId="25" applyNumberFormat="1" applyFont="1" applyBorder="1">
      <alignment/>
      <protection/>
    </xf>
    <xf numFmtId="169" fontId="17" fillId="0" borderId="3" xfId="15" applyNumberFormat="1" applyFont="1" applyBorder="1" applyAlignment="1">
      <alignment/>
    </xf>
    <xf numFmtId="1" fontId="0" fillId="0" borderId="24" xfId="25" applyNumberFormat="1" applyFont="1" applyBorder="1">
      <alignment/>
      <protection/>
    </xf>
    <xf numFmtId="0" fontId="17" fillId="0" borderId="23" xfId="25" applyFont="1" applyBorder="1">
      <alignment/>
      <protection/>
    </xf>
    <xf numFmtId="1" fontId="17" fillId="0" borderId="24" xfId="25" applyNumberFormat="1" applyFont="1" applyBorder="1">
      <alignment/>
      <protection/>
    </xf>
    <xf numFmtId="0" fontId="17" fillId="0" borderId="23" xfId="25" applyFont="1" applyBorder="1" applyAlignment="1" quotePrefix="1">
      <alignment horizontal="left"/>
      <protection/>
    </xf>
    <xf numFmtId="169" fontId="17" fillId="0" borderId="24" xfId="15" applyNumberFormat="1" applyFont="1" applyBorder="1" applyAlignment="1">
      <alignment/>
    </xf>
    <xf numFmtId="0" fontId="17" fillId="0" borderId="32" xfId="25" applyFont="1" applyBorder="1">
      <alignment/>
      <protection/>
    </xf>
    <xf numFmtId="169" fontId="17" fillId="0" borderId="33" xfId="15" applyNumberFormat="1" applyFont="1" applyBorder="1" applyAlignment="1">
      <alignment/>
    </xf>
    <xf numFmtId="169" fontId="17" fillId="0" borderId="34" xfId="15" applyNumberFormat="1" applyFont="1" applyBorder="1" applyAlignment="1">
      <alignment/>
    </xf>
    <xf numFmtId="0" fontId="17" fillId="11" borderId="36" xfId="25" applyFont="1" applyFill="1" applyBorder="1" applyAlignment="1">
      <alignment horizontal="left"/>
      <protection/>
    </xf>
    <xf numFmtId="0" fontId="17" fillId="11" borderId="37" xfId="25" applyFont="1" applyFill="1" applyBorder="1">
      <alignment/>
      <protection/>
    </xf>
    <xf numFmtId="0" fontId="17" fillId="11" borderId="38" xfId="25" applyFont="1" applyFill="1" applyBorder="1">
      <alignment/>
      <protection/>
    </xf>
    <xf numFmtId="1" fontId="0" fillId="0" borderId="22" xfId="25" applyNumberFormat="1" applyFont="1" applyBorder="1">
      <alignment/>
      <protection/>
    </xf>
    <xf numFmtId="0" fontId="17" fillId="11" borderId="32" xfId="25" applyFont="1" applyFill="1" applyBorder="1" applyAlignment="1">
      <alignment horizontal="left"/>
      <protection/>
    </xf>
    <xf numFmtId="0" fontId="17" fillId="11" borderId="33" xfId="25" applyFont="1" applyFill="1" applyBorder="1">
      <alignment/>
      <protection/>
    </xf>
    <xf numFmtId="0" fontId="17" fillId="11" borderId="34" xfId="25" applyFont="1" applyFill="1" applyBorder="1">
      <alignment/>
      <protection/>
    </xf>
    <xf numFmtId="0" fontId="17" fillId="11" borderId="43" xfId="24" applyFont="1" applyFill="1" applyBorder="1" applyAlignment="1">
      <alignment horizontal="center"/>
      <protection/>
    </xf>
    <xf numFmtId="0" fontId="17" fillId="11" borderId="35" xfId="24" applyFont="1" applyFill="1" applyBorder="1" applyAlignment="1">
      <alignment horizontal="center"/>
      <protection/>
    </xf>
    <xf numFmtId="0" fontId="0" fillId="11" borderId="35" xfId="28" applyFont="1" applyFill="1" applyBorder="1">
      <alignment/>
      <protection/>
    </xf>
    <xf numFmtId="0" fontId="0" fillId="11" borderId="42" xfId="28" applyFont="1" applyFill="1" applyBorder="1">
      <alignment/>
      <protection/>
    </xf>
    <xf numFmtId="2" fontId="0" fillId="0" borderId="3" xfId="25" applyNumberFormat="1" applyFont="1" applyBorder="1">
      <alignment/>
      <protection/>
    </xf>
    <xf numFmtId="0" fontId="0" fillId="0" borderId="8" xfId="25" applyFont="1" applyBorder="1">
      <alignment/>
      <protection/>
    </xf>
    <xf numFmtId="1" fontId="0" fillId="0" borderId="5" xfId="25" applyNumberFormat="1" applyFont="1" applyBorder="1">
      <alignment/>
      <protection/>
    </xf>
    <xf numFmtId="0" fontId="0" fillId="0" borderId="5" xfId="25" applyFont="1" applyBorder="1">
      <alignment/>
      <protection/>
    </xf>
    <xf numFmtId="1" fontId="0" fillId="0" borderId="44" xfId="25" applyNumberFormat="1" applyFont="1" applyBorder="1">
      <alignment/>
      <protection/>
    </xf>
    <xf numFmtId="168" fontId="0" fillId="0" borderId="18" xfId="17" applyNumberFormat="1" applyFont="1" applyBorder="1" applyAlignment="1">
      <alignment/>
    </xf>
    <xf numFmtId="168" fontId="0" fillId="0" borderId="7" xfId="17" applyNumberFormat="1" applyFont="1" applyBorder="1" applyAlignment="1">
      <alignment/>
    </xf>
    <xf numFmtId="168" fontId="0" fillId="0" borderId="45" xfId="17" applyNumberFormat="1" applyFont="1" applyBorder="1" applyAlignment="1">
      <alignment/>
    </xf>
    <xf numFmtId="44" fontId="0" fillId="14" borderId="46" xfId="17" applyFont="1" applyFill="1" applyBorder="1" applyAlignment="1">
      <alignment/>
    </xf>
    <xf numFmtId="169" fontId="0" fillId="12" borderId="9" xfId="15" applyNumberFormat="1" applyFont="1" applyFill="1" applyBorder="1" applyAlignment="1">
      <alignment/>
    </xf>
    <xf numFmtId="0" fontId="17" fillId="11" borderId="44" xfId="25" applyFont="1" applyFill="1" applyBorder="1">
      <alignment/>
      <protection/>
    </xf>
    <xf numFmtId="1" fontId="17" fillId="11" borderId="46" xfId="25" applyNumberFormat="1" applyFont="1" applyFill="1" applyBorder="1">
      <alignment/>
      <protection/>
    </xf>
    <xf numFmtId="1" fontId="0" fillId="11" borderId="46" xfId="25" applyNumberFormat="1" applyFont="1" applyFill="1" applyBorder="1">
      <alignment/>
      <protection/>
    </xf>
    <xf numFmtId="169" fontId="17" fillId="11" borderId="46" xfId="15" applyNumberFormat="1" applyFont="1" applyFill="1" applyBorder="1" applyAlignment="1">
      <alignment/>
    </xf>
    <xf numFmtId="169" fontId="17" fillId="11" borderId="47" xfId="15" applyNumberFormat="1" applyFont="1" applyFill="1" applyBorder="1" applyAlignment="1">
      <alignment/>
    </xf>
    <xf numFmtId="1" fontId="0" fillId="11" borderId="48" xfId="25" applyNumberFormat="1" applyFont="1" applyFill="1" applyBorder="1">
      <alignment/>
      <protection/>
    </xf>
    <xf numFmtId="1" fontId="17" fillId="11" borderId="13" xfId="25" applyNumberFormat="1" applyFont="1" applyFill="1" applyBorder="1">
      <alignment/>
      <protection/>
    </xf>
    <xf numFmtId="169" fontId="17" fillId="11" borderId="13" xfId="15" applyNumberFormat="1" applyFont="1" applyFill="1" applyBorder="1" applyAlignment="1">
      <alignment/>
    </xf>
    <xf numFmtId="9" fontId="17" fillId="3" borderId="13" xfId="0" applyNumberFormat="1" applyFont="1" applyFill="1" applyBorder="1" applyAlignment="1">
      <alignment/>
    </xf>
    <xf numFmtId="1" fontId="17" fillId="3" borderId="13" xfId="0" applyNumberFormat="1" applyFont="1" applyFill="1" applyBorder="1" applyAlignment="1">
      <alignment horizontal="right"/>
    </xf>
    <xf numFmtId="0" fontId="0" fillId="3" borderId="12" xfId="0" applyFont="1" applyFill="1" applyBorder="1" applyAlignment="1">
      <alignment/>
    </xf>
    <xf numFmtId="0" fontId="0" fillId="3" borderId="11" xfId="0" applyFont="1" applyFill="1" applyBorder="1" applyAlignment="1">
      <alignment/>
    </xf>
    <xf numFmtId="0" fontId="0" fillId="0" borderId="0" xfId="0" applyFont="1" applyFill="1" applyAlignment="1">
      <alignment/>
    </xf>
    <xf numFmtId="1" fontId="0" fillId="0" borderId="23" xfId="0" applyNumberFormat="1" applyFont="1" applyBorder="1" applyAlignment="1">
      <alignment/>
    </xf>
    <xf numFmtId="0" fontId="0" fillId="0" borderId="24" xfId="0" applyFont="1" applyBorder="1" applyAlignment="1">
      <alignment/>
    </xf>
    <xf numFmtId="0" fontId="0" fillId="12" borderId="0" xfId="0" applyFont="1" applyFill="1" applyBorder="1" applyAlignment="1">
      <alignment/>
    </xf>
    <xf numFmtId="1" fontId="17" fillId="13" borderId="12" xfId="31" applyNumberFormat="1" applyFont="1" applyFill="1" applyBorder="1" applyAlignment="1">
      <alignment horizontal="right" wrapText="1"/>
      <protection/>
    </xf>
    <xf numFmtId="169" fontId="17" fillId="13" borderId="16" xfId="15" applyNumberFormat="1" applyFont="1" applyFill="1" applyBorder="1" applyAlignment="1">
      <alignment/>
    </xf>
    <xf numFmtId="169" fontId="17" fillId="13" borderId="13" xfId="15" applyNumberFormat="1" applyFont="1" applyFill="1" applyBorder="1" applyAlignment="1">
      <alignment/>
    </xf>
    <xf numFmtId="0" fontId="17" fillId="12" borderId="0" xfId="0" applyFont="1" applyFill="1" applyBorder="1" applyAlignment="1">
      <alignment/>
    </xf>
    <xf numFmtId="0" fontId="17" fillId="12" borderId="13" xfId="0" applyFont="1" applyFill="1" applyBorder="1" applyAlignment="1">
      <alignment horizontal="center"/>
    </xf>
    <xf numFmtId="1" fontId="17" fillId="15" borderId="12" xfId="31" applyNumberFormat="1" applyFont="1" applyFill="1" applyBorder="1" applyAlignment="1">
      <alignment horizontal="left" wrapText="1"/>
      <protection/>
    </xf>
    <xf numFmtId="168" fontId="17" fillId="13" borderId="13" xfId="17" applyNumberFormat="1" applyFont="1" applyFill="1" applyBorder="1" applyAlignment="1">
      <alignment/>
    </xf>
    <xf numFmtId="169" fontId="17" fillId="0" borderId="49" xfId="15" applyNumberFormat="1" applyFont="1" applyBorder="1" applyAlignment="1">
      <alignment/>
    </xf>
    <xf numFmtId="1" fontId="17" fillId="12" borderId="12" xfId="31" applyNumberFormat="1" applyFont="1" applyFill="1" applyBorder="1" applyAlignment="1" quotePrefix="1">
      <alignment horizontal="left" wrapText="1"/>
      <protection/>
    </xf>
    <xf numFmtId="169" fontId="17" fillId="13" borderId="27" xfId="0" applyNumberFormat="1" applyFont="1" applyFill="1" applyBorder="1" applyAlignment="1">
      <alignment/>
    </xf>
    <xf numFmtId="168" fontId="17" fillId="13" borderId="28" xfId="0" applyNumberFormat="1" applyFont="1" applyFill="1" applyBorder="1" applyAlignment="1">
      <alignment/>
    </xf>
    <xf numFmtId="0" fontId="17" fillId="11" borderId="50" xfId="24" applyFont="1" applyFill="1" applyBorder="1" applyAlignment="1">
      <alignment horizontal="right"/>
      <protection/>
    </xf>
    <xf numFmtId="0" fontId="17" fillId="11" borderId="50" xfId="0" applyFont="1" applyFill="1" applyBorder="1" applyAlignment="1">
      <alignment horizontal="right"/>
    </xf>
    <xf numFmtId="0" fontId="17" fillId="11" borderId="51" xfId="0" applyFont="1" applyFill="1" applyBorder="1" applyAlignment="1">
      <alignment horizontal="right"/>
    </xf>
    <xf numFmtId="169" fontId="0" fillId="0" borderId="23" xfId="15" applyNumberFormat="1" applyFont="1" applyBorder="1" applyAlignment="1">
      <alignment/>
    </xf>
    <xf numFmtId="0" fontId="17" fillId="13" borderId="12" xfId="0" applyFont="1" applyFill="1" applyBorder="1" applyAlignment="1">
      <alignment horizontal="right"/>
    </xf>
    <xf numFmtId="169" fontId="17" fillId="13" borderId="16" xfId="0" applyNumberFormat="1" applyFont="1" applyFill="1" applyBorder="1" applyAlignment="1">
      <alignment/>
    </xf>
    <xf numFmtId="0" fontId="0" fillId="16" borderId="23" xfId="25" applyFont="1" applyFill="1" applyBorder="1" applyAlignment="1" applyProtection="1" quotePrefix="1">
      <alignment horizontal="left"/>
      <protection/>
    </xf>
    <xf numFmtId="166" fontId="0" fillId="16" borderId="3" xfId="25" applyNumberFormat="1" applyFont="1" applyFill="1" applyBorder="1">
      <alignment/>
      <protection/>
    </xf>
    <xf numFmtId="0" fontId="26" fillId="16" borderId="3" xfId="25" applyFont="1" applyFill="1" applyBorder="1" applyAlignment="1">
      <alignment horizontal="center"/>
      <protection/>
    </xf>
    <xf numFmtId="1" fontId="0" fillId="16" borderId="9" xfId="25" applyNumberFormat="1" applyFont="1" applyFill="1" applyBorder="1">
      <alignment/>
      <protection/>
    </xf>
    <xf numFmtId="1" fontId="0" fillId="16" borderId="3" xfId="25" applyNumberFormat="1" applyFont="1" applyFill="1" applyBorder="1">
      <alignment/>
      <protection/>
    </xf>
    <xf numFmtId="44" fontId="0" fillId="16" borderId="46" xfId="17" applyFont="1" applyFill="1" applyBorder="1" applyAlignment="1">
      <alignment/>
    </xf>
    <xf numFmtId="168" fontId="0" fillId="16" borderId="7" xfId="17" applyNumberFormat="1" applyFont="1" applyFill="1" applyBorder="1" applyAlignment="1">
      <alignment/>
    </xf>
    <xf numFmtId="168" fontId="0" fillId="16" borderId="24" xfId="17" applyNumberFormat="1" applyFont="1" applyFill="1" applyBorder="1" applyAlignment="1">
      <alignment/>
    </xf>
    <xf numFmtId="0" fontId="0" fillId="16" borderId="23" xfId="25" applyFont="1" applyFill="1" applyBorder="1" applyAlignment="1" applyProtection="1">
      <alignment horizontal="left"/>
      <protection/>
    </xf>
    <xf numFmtId="0" fontId="25" fillId="16" borderId="23" xfId="23" applyFont="1" applyFill="1" applyBorder="1">
      <alignment/>
      <protection/>
    </xf>
    <xf numFmtId="0" fontId="0" fillId="16" borderId="3" xfId="25" applyFont="1" applyFill="1" applyBorder="1">
      <alignment/>
      <protection/>
    </xf>
    <xf numFmtId="0" fontId="0" fillId="16" borderId="5" xfId="25" applyFont="1" applyFill="1" applyBorder="1">
      <alignment/>
      <protection/>
    </xf>
    <xf numFmtId="0" fontId="0" fillId="16" borderId="23" xfId="25" applyFont="1" applyFill="1" applyBorder="1" applyAlignment="1" applyProtection="1">
      <alignment/>
      <protection/>
    </xf>
    <xf numFmtId="0" fontId="0" fillId="16" borderId="23" xfId="25" applyFont="1" applyFill="1" applyBorder="1" applyAlignment="1" quotePrefix="1">
      <alignment horizontal="left"/>
      <protection/>
    </xf>
    <xf numFmtId="44" fontId="0" fillId="14" borderId="52" xfId="17" applyFont="1" applyFill="1" applyBorder="1" applyAlignment="1">
      <alignment/>
    </xf>
    <xf numFmtId="44" fontId="0" fillId="14" borderId="48" xfId="17" applyFont="1" applyFill="1" applyBorder="1" applyAlignment="1">
      <alignment/>
    </xf>
    <xf numFmtId="44" fontId="0" fillId="14" borderId="47" xfId="17" applyFont="1" applyFill="1" applyBorder="1" applyAlignment="1">
      <alignment/>
    </xf>
    <xf numFmtId="169" fontId="0" fillId="0" borderId="3" xfId="15" applyNumberFormat="1" applyBorder="1" applyAlignment="1">
      <alignment/>
    </xf>
    <xf numFmtId="0" fontId="17" fillId="11" borderId="53" xfId="24" applyFont="1" applyFill="1" applyBorder="1" applyAlignment="1">
      <alignment horizontal="right"/>
      <protection/>
    </xf>
    <xf numFmtId="169" fontId="0" fillId="0" borderId="21" xfId="15" applyNumberFormat="1" applyFont="1" applyBorder="1" applyAlignment="1">
      <alignment/>
    </xf>
    <xf numFmtId="169" fontId="0" fillId="0" borderId="9" xfId="15" applyNumberFormat="1" applyFont="1" applyBorder="1" applyAlignment="1">
      <alignment/>
    </xf>
    <xf numFmtId="1" fontId="17" fillId="17" borderId="13" xfId="31" applyNumberFormat="1" applyFont="1" applyFill="1" applyBorder="1" applyAlignment="1">
      <alignment horizontal="center" wrapText="1"/>
      <protection/>
    </xf>
    <xf numFmtId="1" fontId="0" fillId="0" borderId="6" xfId="25" applyNumberFormat="1" applyFont="1" applyBorder="1">
      <alignment/>
      <protection/>
    </xf>
    <xf numFmtId="1" fontId="0" fillId="0" borderId="4" xfId="25" applyNumberFormat="1" applyFont="1" applyBorder="1">
      <alignment/>
      <protection/>
    </xf>
    <xf numFmtId="166" fontId="17" fillId="3" borderId="29" xfId="25" applyNumberFormat="1" applyFont="1" applyFill="1" applyBorder="1" applyAlignment="1">
      <alignment wrapText="1"/>
      <protection/>
    </xf>
    <xf numFmtId="166" fontId="17" fillId="3" borderId="30" xfId="25" applyNumberFormat="1" applyFont="1" applyFill="1" applyBorder="1" applyAlignment="1">
      <alignment wrapText="1"/>
      <protection/>
    </xf>
    <xf numFmtId="0" fontId="17" fillId="3" borderId="30" xfId="28" applyFont="1" applyFill="1" applyBorder="1" applyAlignment="1">
      <alignment wrapText="1"/>
      <protection/>
    </xf>
    <xf numFmtId="0" fontId="17" fillId="3" borderId="31" xfId="28" applyFont="1" applyFill="1" applyBorder="1" applyAlignment="1">
      <alignment wrapText="1"/>
      <protection/>
    </xf>
    <xf numFmtId="0" fontId="0" fillId="18" borderId="36" xfId="25" applyFont="1" applyFill="1" applyBorder="1">
      <alignment/>
      <protection/>
    </xf>
    <xf numFmtId="1" fontId="0" fillId="18" borderId="14" xfId="25" applyNumberFormat="1" applyFont="1" applyFill="1" applyBorder="1">
      <alignment/>
      <protection/>
    </xf>
    <xf numFmtId="0" fontId="0" fillId="18" borderId="37" xfId="25" applyFont="1" applyFill="1" applyBorder="1">
      <alignment/>
      <protection/>
    </xf>
    <xf numFmtId="169" fontId="0" fillId="18" borderId="37" xfId="15" applyNumberFormat="1" applyFont="1" applyFill="1" applyBorder="1" applyAlignment="1">
      <alignment/>
    </xf>
    <xf numFmtId="1" fontId="0" fillId="18" borderId="37" xfId="25" applyNumberFormat="1" applyFont="1" applyFill="1" applyBorder="1">
      <alignment/>
      <protection/>
    </xf>
    <xf numFmtId="2" fontId="0" fillId="0" borderId="23" xfId="25" applyNumberFormat="1" applyFont="1" applyBorder="1">
      <alignment/>
      <protection/>
    </xf>
    <xf numFmtId="1" fontId="0" fillId="0" borderId="26" xfId="25" applyNumberFormat="1" applyFont="1" applyBorder="1">
      <alignment/>
      <protection/>
    </xf>
    <xf numFmtId="0" fontId="0" fillId="18" borderId="54" xfId="25" applyFont="1" applyFill="1" applyBorder="1">
      <alignment/>
      <protection/>
    </xf>
    <xf numFmtId="1" fontId="0" fillId="18" borderId="38" xfId="25" applyNumberFormat="1" applyFont="1" applyFill="1" applyBorder="1">
      <alignment/>
      <protection/>
    </xf>
    <xf numFmtId="169" fontId="17" fillId="13" borderId="29" xfId="15" applyNumberFormat="1" applyFont="1" applyFill="1" applyBorder="1" applyAlignment="1">
      <alignment/>
    </xf>
    <xf numFmtId="169" fontId="17" fillId="13" borderId="31" xfId="15" applyNumberFormat="1" applyFont="1" applyFill="1" applyBorder="1" applyAlignment="1">
      <alignment/>
    </xf>
    <xf numFmtId="0" fontId="17" fillId="0" borderId="3" xfId="0" applyFont="1" applyBorder="1" applyAlignment="1">
      <alignment horizontal="right"/>
    </xf>
    <xf numFmtId="0" fontId="17" fillId="0" borderId="3" xfId="0" applyFont="1" applyBorder="1" applyAlignment="1">
      <alignment horizontal="center"/>
    </xf>
    <xf numFmtId="0" fontId="17" fillId="0" borderId="23" xfId="0" applyFont="1" applyBorder="1" applyAlignment="1">
      <alignment horizontal="right"/>
    </xf>
    <xf numFmtId="0" fontId="17" fillId="0" borderId="24" xfId="0" applyFont="1" applyBorder="1" applyAlignment="1">
      <alignment horizontal="center"/>
    </xf>
    <xf numFmtId="0" fontId="0" fillId="0" borderId="23" xfId="0" applyBorder="1" applyAlignment="1">
      <alignment/>
    </xf>
    <xf numFmtId="0" fontId="0" fillId="0" borderId="32" xfId="0" applyBorder="1" applyAlignment="1">
      <alignment/>
    </xf>
    <xf numFmtId="0" fontId="0" fillId="0" borderId="34" xfId="0" applyFont="1" applyBorder="1" applyAlignment="1">
      <alignment/>
    </xf>
    <xf numFmtId="168" fontId="17" fillId="13" borderId="55" xfId="17" applyNumberFormat="1" applyFont="1" applyFill="1" applyBorder="1" applyAlignment="1">
      <alignment horizontal="left"/>
    </xf>
    <xf numFmtId="168" fontId="17" fillId="13" borderId="15" xfId="17" applyNumberFormat="1" applyFont="1" applyFill="1" applyBorder="1" applyAlignment="1">
      <alignment horizontal="left"/>
    </xf>
    <xf numFmtId="168" fontId="17" fillId="13" borderId="55" xfId="17" applyNumberFormat="1" applyFont="1" applyFill="1" applyBorder="1" applyAlignment="1">
      <alignment horizontal="center"/>
    </xf>
    <xf numFmtId="168" fontId="17" fillId="13" borderId="15" xfId="17" applyNumberFormat="1" applyFont="1" applyFill="1" applyBorder="1" applyAlignment="1">
      <alignment horizontal="center"/>
    </xf>
    <xf numFmtId="168" fontId="0" fillId="0" borderId="36" xfId="17" applyNumberFormat="1" applyFont="1" applyBorder="1" applyAlignment="1">
      <alignment/>
    </xf>
    <xf numFmtId="0" fontId="0" fillId="0" borderId="38" xfId="0" applyFont="1" applyBorder="1" applyAlignment="1">
      <alignment/>
    </xf>
    <xf numFmtId="168" fontId="0" fillId="0" borderId="23" xfId="17" applyNumberFormat="1" applyFont="1" applyBorder="1" applyAlignment="1">
      <alignment/>
    </xf>
    <xf numFmtId="169" fontId="0" fillId="0" borderId="3" xfId="15" applyNumberFormat="1" applyBorder="1" applyAlignment="1">
      <alignment/>
    </xf>
    <xf numFmtId="1" fontId="0" fillId="0" borderId="3" xfId="30" applyNumberFormat="1" applyBorder="1">
      <alignment/>
      <protection/>
    </xf>
    <xf numFmtId="2" fontId="0" fillId="0" borderId="3" xfId="30" applyNumberFormat="1" applyBorder="1">
      <alignment/>
      <protection/>
    </xf>
    <xf numFmtId="2" fontId="0" fillId="0" borderId="3" xfId="30" applyNumberFormat="1" applyFont="1" applyBorder="1">
      <alignment/>
      <protection/>
    </xf>
    <xf numFmtId="9" fontId="17" fillId="11" borderId="27" xfId="32" applyFont="1" applyFill="1" applyBorder="1" applyAlignment="1">
      <alignment horizontal="center"/>
    </xf>
    <xf numFmtId="169" fontId="17" fillId="11" borderId="33" xfId="15" applyNumberFormat="1" applyFont="1" applyFill="1" applyBorder="1" applyAlignment="1">
      <alignment/>
    </xf>
    <xf numFmtId="169" fontId="17" fillId="11" borderId="44" xfId="15" applyNumberFormat="1" applyFont="1" applyFill="1" applyBorder="1" applyAlignment="1">
      <alignment/>
    </xf>
    <xf numFmtId="9" fontId="17" fillId="11" borderId="40" xfId="32" applyFont="1" applyFill="1" applyBorder="1" applyAlignment="1">
      <alignment horizontal="center"/>
    </xf>
    <xf numFmtId="0" fontId="17" fillId="11" borderId="13" xfId="25" applyFont="1" applyFill="1" applyBorder="1" applyAlignment="1">
      <alignment horizontal="center"/>
      <protection/>
    </xf>
    <xf numFmtId="0" fontId="17" fillId="3" borderId="13" xfId="25" applyFont="1" applyFill="1" applyBorder="1" applyAlignment="1">
      <alignment horizontal="left" wrapText="1"/>
      <protection/>
    </xf>
    <xf numFmtId="0" fontId="17" fillId="3" borderId="16" xfId="25" applyFont="1" applyFill="1" applyBorder="1" applyAlignment="1">
      <alignment horizontal="left"/>
      <protection/>
    </xf>
    <xf numFmtId="169" fontId="17" fillId="13" borderId="47" xfId="15" applyNumberFormat="1" applyFont="1" applyFill="1" applyBorder="1" applyAlignment="1">
      <alignment/>
    </xf>
    <xf numFmtId="9" fontId="17" fillId="13" borderId="13" xfId="32" applyFont="1" applyFill="1" applyBorder="1" applyAlignment="1">
      <alignment horizontal="center"/>
    </xf>
    <xf numFmtId="169" fontId="17" fillId="0" borderId="3" xfId="15" applyNumberFormat="1" applyFont="1" applyBorder="1" applyAlignment="1">
      <alignment wrapText="1"/>
    </xf>
    <xf numFmtId="0" fontId="17" fillId="0" borderId="3" xfId="0" applyFont="1" applyBorder="1" applyAlignment="1">
      <alignment wrapText="1"/>
    </xf>
    <xf numFmtId="9" fontId="0" fillId="0" borderId="3" xfId="32" applyBorder="1" applyAlignment="1">
      <alignment/>
    </xf>
    <xf numFmtId="169" fontId="0" fillId="0" borderId="3" xfId="0" applyNumberFormat="1" applyBorder="1" applyAlignment="1">
      <alignment/>
    </xf>
    <xf numFmtId="166" fontId="0" fillId="16" borderId="9" xfId="25" applyNumberFormat="1" applyFont="1" applyFill="1" applyBorder="1">
      <alignment/>
      <protection/>
    </xf>
    <xf numFmtId="0" fontId="17" fillId="11" borderId="29" xfId="26" applyFont="1" applyFill="1" applyBorder="1" applyAlignment="1">
      <alignment wrapText="1"/>
      <protection/>
    </xf>
    <xf numFmtId="0" fontId="17" fillId="11" borderId="30" xfId="26" applyFont="1" applyFill="1" applyBorder="1" applyAlignment="1">
      <alignment wrapText="1"/>
      <protection/>
    </xf>
    <xf numFmtId="0" fontId="17" fillId="11" borderId="30" xfId="26" applyFont="1" applyFill="1" applyBorder="1" applyAlignment="1">
      <alignment horizontal="left" wrapText="1"/>
      <protection/>
    </xf>
    <xf numFmtId="169" fontId="0" fillId="0" borderId="3" xfId="15" applyNumberFormat="1" applyFont="1" applyBorder="1" applyAlignment="1">
      <alignment horizontal="left"/>
    </xf>
    <xf numFmtId="9" fontId="0" fillId="0" borderId="3" xfId="32" applyFont="1" applyBorder="1" applyAlignment="1">
      <alignment/>
    </xf>
    <xf numFmtId="166" fontId="0" fillId="0" borderId="3" xfId="26" applyNumberFormat="1" applyFont="1" applyBorder="1">
      <alignment/>
      <protection/>
    </xf>
    <xf numFmtId="169" fontId="0" fillId="0" borderId="4" xfId="15" applyNumberFormat="1" applyFont="1" applyBorder="1" applyAlignment="1">
      <alignment horizontal="left"/>
    </xf>
    <xf numFmtId="9" fontId="0" fillId="0" borderId="4" xfId="32" applyFont="1" applyBorder="1" applyAlignment="1">
      <alignment/>
    </xf>
    <xf numFmtId="1" fontId="0" fillId="0" borderId="4" xfId="26" applyNumberFormat="1" applyFont="1" applyBorder="1">
      <alignment/>
      <protection/>
    </xf>
    <xf numFmtId="169" fontId="0" fillId="3" borderId="16" xfId="15" applyNumberFormat="1" applyFont="1" applyFill="1" applyBorder="1" applyAlignment="1">
      <alignment horizontal="left"/>
    </xf>
    <xf numFmtId="1" fontId="0" fillId="3" borderId="27" xfId="26" applyNumberFormat="1" applyFont="1" applyFill="1" applyBorder="1">
      <alignment/>
      <protection/>
    </xf>
    <xf numFmtId="166" fontId="0" fillId="0" borderId="4" xfId="26" applyNumberFormat="1" applyFont="1" applyBorder="1">
      <alignment/>
      <protection/>
    </xf>
    <xf numFmtId="0" fontId="17" fillId="11" borderId="56" xfId="26" applyFont="1" applyFill="1" applyBorder="1" applyAlignment="1">
      <alignment horizontal="left" wrapText="1"/>
      <protection/>
    </xf>
    <xf numFmtId="166" fontId="0" fillId="0" borderId="5" xfId="26" applyNumberFormat="1" applyFont="1" applyBorder="1">
      <alignment/>
      <protection/>
    </xf>
    <xf numFmtId="2" fontId="0" fillId="0" borderId="1" xfId="26" applyNumberFormat="1" applyFont="1" applyBorder="1">
      <alignment/>
      <protection/>
    </xf>
    <xf numFmtId="0" fontId="0" fillId="3" borderId="40" xfId="26" applyFont="1" applyFill="1" applyBorder="1">
      <alignment/>
      <protection/>
    </xf>
    <xf numFmtId="0" fontId="17" fillId="11" borderId="32" xfId="25" applyFont="1" applyFill="1" applyBorder="1">
      <alignment/>
      <protection/>
    </xf>
    <xf numFmtId="169" fontId="0" fillId="0" borderId="24" xfId="15" applyNumberFormat="1" applyFont="1" applyBorder="1" applyAlignment="1">
      <alignment/>
    </xf>
    <xf numFmtId="1" fontId="0" fillId="0" borderId="25" xfId="26" applyNumberFormat="1" applyFont="1" applyBorder="1">
      <alignment/>
      <protection/>
    </xf>
    <xf numFmtId="1" fontId="0" fillId="0" borderId="26" xfId="26" applyNumberFormat="1" applyFont="1" applyBorder="1">
      <alignment/>
      <protection/>
    </xf>
    <xf numFmtId="1" fontId="0" fillId="3" borderId="16" xfId="26" applyNumberFormat="1" applyFont="1" applyFill="1" applyBorder="1">
      <alignment/>
      <protection/>
    </xf>
    <xf numFmtId="1" fontId="0" fillId="3" borderId="28" xfId="26" applyNumberFormat="1" applyFont="1" applyFill="1" applyBorder="1">
      <alignment/>
      <protection/>
    </xf>
    <xf numFmtId="9" fontId="0" fillId="3" borderId="27" xfId="26" applyNumberFormat="1" applyFont="1" applyFill="1" applyBorder="1">
      <alignment/>
      <protection/>
    </xf>
    <xf numFmtId="0" fontId="0" fillId="0" borderId="36" xfId="0" applyFont="1" applyBorder="1" applyAlignment="1">
      <alignment/>
    </xf>
    <xf numFmtId="1" fontId="0" fillId="0" borderId="37" xfId="0" applyNumberFormat="1" applyFont="1" applyBorder="1" applyAlignment="1">
      <alignment/>
    </xf>
    <xf numFmtId="1" fontId="0" fillId="3" borderId="38" xfId="26" applyNumberFormat="1" applyFont="1" applyFill="1" applyBorder="1">
      <alignment/>
      <protection/>
    </xf>
    <xf numFmtId="0" fontId="0" fillId="0" borderId="25" xfId="0" applyFont="1" applyBorder="1" applyAlignment="1">
      <alignment/>
    </xf>
    <xf numFmtId="1" fontId="0" fillId="0" borderId="4" xfId="0" applyNumberFormat="1" applyFont="1" applyBorder="1" applyAlignment="1">
      <alignment/>
    </xf>
    <xf numFmtId="1" fontId="0" fillId="3" borderId="26" xfId="26" applyNumberFormat="1" applyFont="1" applyFill="1" applyBorder="1">
      <alignment/>
      <protection/>
    </xf>
    <xf numFmtId="0" fontId="0" fillId="13" borderId="16" xfId="0" applyFont="1" applyFill="1" applyBorder="1" applyAlignment="1">
      <alignment/>
    </xf>
    <xf numFmtId="1" fontId="0" fillId="13" borderId="27" xfId="0" applyNumberFormat="1" applyFont="1" applyFill="1" applyBorder="1" applyAlignment="1">
      <alignment/>
    </xf>
    <xf numFmtId="1" fontId="0" fillId="13" borderId="28" xfId="26" applyNumberFormat="1" applyFont="1" applyFill="1" applyBorder="1">
      <alignment/>
      <protection/>
    </xf>
    <xf numFmtId="0" fontId="0" fillId="0" borderId="25" xfId="25" applyFont="1" applyBorder="1" applyAlignment="1" quotePrefix="1">
      <alignment horizontal="left"/>
      <protection/>
    </xf>
    <xf numFmtId="1" fontId="0" fillId="11" borderId="57" xfId="25" applyNumberFormat="1" applyFont="1" applyFill="1" applyBorder="1">
      <alignment/>
      <protection/>
    </xf>
    <xf numFmtId="0" fontId="17" fillId="0" borderId="21" xfId="25" applyFont="1" applyBorder="1" applyAlignment="1" quotePrefix="1">
      <alignment horizontal="left"/>
      <protection/>
    </xf>
    <xf numFmtId="169" fontId="17" fillId="0" borderId="9" xfId="15" applyNumberFormat="1" applyFont="1" applyBorder="1" applyAlignment="1">
      <alignment/>
    </xf>
    <xf numFmtId="169" fontId="17" fillId="0" borderId="22" xfId="15" applyNumberFormat="1" applyFont="1" applyBorder="1" applyAlignment="1">
      <alignment/>
    </xf>
    <xf numFmtId="169" fontId="17" fillId="11" borderId="48" xfId="15" applyNumberFormat="1" applyFont="1" applyFill="1" applyBorder="1" applyAlignment="1">
      <alignment/>
    </xf>
    <xf numFmtId="0" fontId="17" fillId="13" borderId="16" xfId="25" applyFont="1" applyFill="1" applyBorder="1">
      <alignment/>
      <protection/>
    </xf>
    <xf numFmtId="1" fontId="17" fillId="13" borderId="27" xfId="25" applyNumberFormat="1" applyFont="1" applyFill="1" applyBorder="1">
      <alignment/>
      <protection/>
    </xf>
    <xf numFmtId="1" fontId="17" fillId="13" borderId="28" xfId="25" applyNumberFormat="1" applyFont="1" applyFill="1" applyBorder="1">
      <alignment/>
      <protection/>
    </xf>
    <xf numFmtId="1" fontId="17" fillId="13" borderId="13" xfId="25" applyNumberFormat="1" applyFont="1" applyFill="1" applyBorder="1">
      <alignment/>
      <protection/>
    </xf>
    <xf numFmtId="169" fontId="17" fillId="0" borderId="13" xfId="15" applyNumberFormat="1" applyFont="1" applyBorder="1" applyAlignment="1">
      <alignment/>
    </xf>
    <xf numFmtId="1" fontId="17" fillId="12" borderId="12" xfId="31" applyNumberFormat="1" applyFont="1" applyFill="1" applyBorder="1" applyAlignment="1" quotePrefix="1">
      <alignment horizontal="center" wrapText="1"/>
      <protection/>
    </xf>
    <xf numFmtId="1" fontId="17" fillId="12" borderId="13" xfId="31" applyNumberFormat="1" applyFont="1" applyFill="1" applyBorder="1" applyAlignment="1" quotePrefix="1">
      <alignment horizontal="center" wrapText="1"/>
      <protection/>
    </xf>
    <xf numFmtId="0" fontId="17" fillId="18" borderId="23" xfId="25" applyFont="1" applyFill="1" applyBorder="1" applyAlignment="1" applyProtection="1">
      <alignment horizontal="left"/>
      <protection/>
    </xf>
    <xf numFmtId="1" fontId="0" fillId="18" borderId="46" xfId="25" applyNumberFormat="1" applyFont="1" applyFill="1" applyBorder="1">
      <alignment/>
      <protection/>
    </xf>
    <xf numFmtId="1" fontId="0" fillId="18" borderId="3" xfId="25" applyNumberFormat="1" applyFont="1" applyFill="1" applyBorder="1">
      <alignment/>
      <protection/>
    </xf>
    <xf numFmtId="1" fontId="0" fillId="18" borderId="24" xfId="25" applyNumberFormat="1" applyFont="1" applyFill="1" applyBorder="1">
      <alignment/>
      <protection/>
    </xf>
    <xf numFmtId="1" fontId="17" fillId="0" borderId="13" xfId="31" applyNumberFormat="1" applyFont="1" applyFill="1" applyBorder="1" applyAlignment="1" quotePrefix="1">
      <alignment horizontal="left" wrapText="1"/>
      <protection/>
    </xf>
    <xf numFmtId="169" fontId="17" fillId="0" borderId="11" xfId="15" applyNumberFormat="1" applyFont="1" applyBorder="1" applyAlignment="1">
      <alignment/>
    </xf>
    <xf numFmtId="0" fontId="0" fillId="0" borderId="54" xfId="0" applyFont="1" applyBorder="1" applyAlignment="1">
      <alignment/>
    </xf>
    <xf numFmtId="0" fontId="0" fillId="0" borderId="5" xfId="0" applyFont="1" applyBorder="1" applyAlignment="1">
      <alignment/>
    </xf>
    <xf numFmtId="0" fontId="0" fillId="0" borderId="5" xfId="0" applyBorder="1" applyAlignment="1">
      <alignment/>
    </xf>
    <xf numFmtId="0" fontId="0" fillId="0" borderId="44" xfId="0" applyBorder="1" applyAlignment="1">
      <alignment/>
    </xf>
    <xf numFmtId="168" fontId="0" fillId="0" borderId="32" xfId="17" applyNumberFormat="1" applyFont="1" applyBorder="1" applyAlignment="1">
      <alignment/>
    </xf>
    <xf numFmtId="169" fontId="0" fillId="0" borderId="0" xfId="25" applyNumberFormat="1" applyFont="1">
      <alignment/>
      <protection/>
    </xf>
    <xf numFmtId="168" fontId="0" fillId="0" borderId="3" xfId="17" applyNumberFormat="1" applyFont="1" applyBorder="1" applyAlignment="1">
      <alignment/>
    </xf>
    <xf numFmtId="168" fontId="0" fillId="0" borderId="9" xfId="17" applyNumberFormat="1" applyFont="1" applyBorder="1" applyAlignment="1">
      <alignment/>
    </xf>
    <xf numFmtId="0" fontId="17" fillId="11" borderId="16" xfId="26" applyFont="1" applyFill="1" applyBorder="1" applyAlignment="1">
      <alignment wrapText="1"/>
      <protection/>
    </xf>
    <xf numFmtId="0" fontId="17" fillId="11" borderId="40" xfId="26" applyFont="1" applyFill="1" applyBorder="1" applyAlignment="1">
      <alignment wrapText="1"/>
      <protection/>
    </xf>
    <xf numFmtId="0" fontId="0" fillId="0" borderId="25" xfId="25" applyFont="1" applyBorder="1" applyAlignment="1" applyProtection="1">
      <alignment horizontal="left"/>
      <protection/>
    </xf>
    <xf numFmtId="168" fontId="0" fillId="0" borderId="4" xfId="17" applyNumberFormat="1" applyFont="1" applyBorder="1" applyAlignment="1">
      <alignment/>
    </xf>
    <xf numFmtId="168" fontId="0" fillId="3" borderId="27" xfId="17" applyNumberFormat="1" applyFont="1" applyFill="1" applyBorder="1" applyAlignment="1">
      <alignment/>
    </xf>
    <xf numFmtId="168" fontId="0" fillId="3" borderId="28" xfId="17" applyNumberFormat="1" applyFont="1" applyFill="1" applyBorder="1" applyAlignment="1">
      <alignment/>
    </xf>
    <xf numFmtId="168" fontId="0" fillId="0" borderId="8" xfId="17" applyNumberFormat="1" applyFont="1" applyBorder="1" applyAlignment="1">
      <alignment/>
    </xf>
    <xf numFmtId="168" fontId="0" fillId="0" borderId="5" xfId="17" applyNumberFormat="1" applyFont="1" applyBorder="1" applyAlignment="1">
      <alignment/>
    </xf>
    <xf numFmtId="168" fontId="0" fillId="0" borderId="1" xfId="17" applyNumberFormat="1" applyFont="1" applyBorder="1" applyAlignment="1">
      <alignment/>
    </xf>
    <xf numFmtId="168" fontId="0" fillId="3" borderId="40" xfId="17" applyNumberFormat="1" applyFont="1" applyFill="1" applyBorder="1" applyAlignment="1">
      <alignment/>
    </xf>
    <xf numFmtId="0" fontId="17" fillId="11" borderId="12" xfId="25" applyFont="1" applyFill="1" applyBorder="1">
      <alignment/>
      <protection/>
    </xf>
    <xf numFmtId="169" fontId="17" fillId="11" borderId="13" xfId="15" applyNumberFormat="1" applyFont="1" applyFill="1" applyBorder="1" applyAlignment="1">
      <alignment wrapText="1"/>
    </xf>
    <xf numFmtId="169" fontId="0" fillId="0" borderId="4" xfId="15" applyNumberFormat="1" applyFont="1" applyBorder="1" applyAlignment="1">
      <alignment/>
    </xf>
    <xf numFmtId="169" fontId="0" fillId="3" borderId="16" xfId="15" applyNumberFormat="1" applyFont="1" applyFill="1" applyBorder="1" applyAlignment="1">
      <alignment/>
    </xf>
    <xf numFmtId="169" fontId="0" fillId="3" borderId="27" xfId="15" applyNumberFormat="1" applyFont="1" applyFill="1" applyBorder="1" applyAlignment="1">
      <alignment/>
    </xf>
    <xf numFmtId="169" fontId="0" fillId="3" borderId="28" xfId="15" applyNumberFormat="1" applyFont="1" applyFill="1" applyBorder="1" applyAlignment="1">
      <alignment/>
    </xf>
    <xf numFmtId="169" fontId="0" fillId="0" borderId="22" xfId="15" applyNumberFormat="1" applyFont="1" applyBorder="1" applyAlignment="1">
      <alignment/>
    </xf>
    <xf numFmtId="169" fontId="0" fillId="0" borderId="26" xfId="15" applyNumberFormat="1" applyFont="1" applyBorder="1" applyAlignment="1">
      <alignment/>
    </xf>
    <xf numFmtId="168" fontId="0" fillId="0" borderId="3" xfId="17" applyNumberFormat="1" applyBorder="1" applyAlignment="1">
      <alignment/>
    </xf>
    <xf numFmtId="9" fontId="0" fillId="0" borderId="8" xfId="32" applyFont="1" applyBorder="1" applyAlignment="1">
      <alignment/>
    </xf>
    <xf numFmtId="9" fontId="0" fillId="0" borderId="5" xfId="32" applyFont="1" applyBorder="1" applyAlignment="1">
      <alignment/>
    </xf>
    <xf numFmtId="9" fontId="0" fillId="0" borderId="1" xfId="32" applyFont="1" applyBorder="1" applyAlignment="1">
      <alignment/>
    </xf>
    <xf numFmtId="9" fontId="0" fillId="3" borderId="40" xfId="26" applyNumberFormat="1" applyFont="1" applyFill="1" applyBorder="1">
      <alignment/>
      <protection/>
    </xf>
    <xf numFmtId="168" fontId="0" fillId="0" borderId="21" xfId="17" applyNumberFormat="1" applyFont="1" applyBorder="1" applyAlignment="1">
      <alignment/>
    </xf>
    <xf numFmtId="168" fontId="0" fillId="0" borderId="25" xfId="17" applyNumberFormat="1" applyFont="1" applyBorder="1" applyAlignment="1">
      <alignment/>
    </xf>
    <xf numFmtId="168" fontId="0" fillId="3" borderId="16" xfId="17" applyNumberFormat="1" applyFont="1" applyFill="1" applyBorder="1" applyAlignment="1">
      <alignment/>
    </xf>
    <xf numFmtId="169" fontId="0" fillId="0" borderId="25" xfId="15" applyNumberFormat="1" applyFont="1" applyBorder="1" applyAlignment="1">
      <alignment/>
    </xf>
    <xf numFmtId="169" fontId="17" fillId="0" borderId="16" xfId="15" applyNumberFormat="1" applyFont="1" applyBorder="1" applyAlignment="1">
      <alignment/>
    </xf>
    <xf numFmtId="1" fontId="17" fillId="12" borderId="10" xfId="31" applyNumberFormat="1" applyFont="1" applyFill="1" applyBorder="1" applyAlignment="1" quotePrefix="1">
      <alignment horizontal="center" wrapText="1"/>
      <protection/>
    </xf>
    <xf numFmtId="1" fontId="17" fillId="12" borderId="11" xfId="31" applyNumberFormat="1" applyFont="1" applyFill="1" applyBorder="1" applyAlignment="1" quotePrefix="1">
      <alignment horizontal="center" wrapText="1"/>
      <protection/>
    </xf>
    <xf numFmtId="169" fontId="17" fillId="0" borderId="13" xfId="15" applyNumberFormat="1" applyFont="1" applyFill="1" applyBorder="1" applyAlignment="1">
      <alignment horizontal="left"/>
    </xf>
    <xf numFmtId="169" fontId="17" fillId="13" borderId="29" xfId="15" applyNumberFormat="1" applyFont="1" applyFill="1" applyBorder="1" applyAlignment="1">
      <alignment horizontal="left"/>
    </xf>
    <xf numFmtId="169" fontId="17" fillId="13" borderId="55" xfId="15" applyNumberFormat="1" applyFont="1" applyFill="1" applyBorder="1" applyAlignment="1">
      <alignment horizontal="left"/>
    </xf>
    <xf numFmtId="1" fontId="17" fillId="12" borderId="25" xfId="31" applyNumberFormat="1" applyFont="1" applyFill="1" applyBorder="1" applyAlignment="1">
      <alignment horizontal="center" wrapText="1"/>
      <protection/>
    </xf>
    <xf numFmtId="168" fontId="17" fillId="0" borderId="13" xfId="17" applyNumberFormat="1" applyFont="1" applyBorder="1" applyAlignment="1">
      <alignment/>
    </xf>
    <xf numFmtId="168" fontId="17" fillId="13" borderId="32" xfId="17" applyNumberFormat="1" applyFont="1" applyFill="1" applyBorder="1" applyAlignment="1">
      <alignment/>
    </xf>
    <xf numFmtId="168" fontId="17" fillId="13" borderId="33" xfId="17" applyNumberFormat="1" applyFont="1" applyFill="1" applyBorder="1" applyAlignment="1">
      <alignment/>
    </xf>
    <xf numFmtId="168" fontId="17" fillId="13" borderId="34" xfId="17" applyNumberFormat="1" applyFont="1" applyFill="1" applyBorder="1" applyAlignment="1">
      <alignment/>
    </xf>
    <xf numFmtId="1" fontId="17" fillId="0" borderId="58" xfId="31" applyNumberFormat="1" applyFont="1" applyFill="1" applyBorder="1" applyAlignment="1">
      <alignment horizontal="left" wrapText="1"/>
      <protection/>
    </xf>
    <xf numFmtId="1" fontId="17" fillId="0" borderId="59" xfId="31" applyNumberFormat="1" applyFont="1" applyFill="1" applyBorder="1" applyAlignment="1">
      <alignment horizontal="left" wrapText="1"/>
      <protection/>
    </xf>
    <xf numFmtId="0" fontId="17" fillId="13" borderId="16" xfId="0" applyFont="1" applyFill="1" applyBorder="1" applyAlignment="1">
      <alignment horizontal="right"/>
    </xf>
    <xf numFmtId="1" fontId="17" fillId="12" borderId="12" xfId="0" applyNumberFormat="1" applyFont="1" applyFill="1" applyBorder="1" applyAlignment="1">
      <alignment horizontal="center"/>
    </xf>
    <xf numFmtId="1" fontId="17" fillId="12" borderId="10" xfId="0" applyNumberFormat="1" applyFont="1" applyFill="1" applyBorder="1" applyAlignment="1">
      <alignment horizontal="center"/>
    </xf>
    <xf numFmtId="182" fontId="0" fillId="0" borderId="3" xfId="15" applyNumberFormat="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40"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11" borderId="12" xfId="26" applyFont="1" applyFill="1" applyBorder="1" applyAlignment="1">
      <alignment horizontal="center"/>
      <protection/>
    </xf>
    <xf numFmtId="0" fontId="17" fillId="11" borderId="10" xfId="26" applyFont="1" applyFill="1" applyBorder="1" applyAlignment="1">
      <alignment horizontal="center"/>
      <protection/>
    </xf>
    <xf numFmtId="0" fontId="17" fillId="11" borderId="11" xfId="26" applyFont="1" applyFill="1" applyBorder="1" applyAlignment="1">
      <alignment horizontal="center"/>
      <protection/>
    </xf>
    <xf numFmtId="0" fontId="17" fillId="11" borderId="16" xfId="28" applyFont="1" applyFill="1" applyBorder="1" applyAlignment="1">
      <alignment horizontal="center"/>
      <protection/>
    </xf>
    <xf numFmtId="0" fontId="17" fillId="11" borderId="28" xfId="28" applyFont="1" applyFill="1" applyBorder="1" applyAlignment="1">
      <alignment horizontal="center"/>
      <protection/>
    </xf>
    <xf numFmtId="0" fontId="17" fillId="11" borderId="19" xfId="28" applyFont="1" applyFill="1" applyBorder="1" applyAlignment="1">
      <alignment wrapText="1"/>
      <protection/>
    </xf>
    <xf numFmtId="0" fontId="17" fillId="11" borderId="60" xfId="28" applyFont="1" applyFill="1" applyBorder="1" applyAlignment="1">
      <alignment wrapText="1"/>
      <protection/>
    </xf>
    <xf numFmtId="0" fontId="17" fillId="11" borderId="12" xfId="25" applyFont="1" applyFill="1" applyBorder="1" applyAlignment="1">
      <alignment horizontal="center"/>
      <protection/>
    </xf>
    <xf numFmtId="0" fontId="17" fillId="11" borderId="11" xfId="25" applyFont="1" applyFill="1" applyBorder="1" applyAlignment="1">
      <alignment horizontal="center"/>
      <protection/>
    </xf>
    <xf numFmtId="0" fontId="17" fillId="11" borderId="17" xfId="28" applyFont="1" applyFill="1" applyBorder="1" applyAlignment="1">
      <alignment horizontal="center"/>
      <protection/>
    </xf>
    <xf numFmtId="0" fontId="17" fillId="11" borderId="40" xfId="28" applyFont="1" applyFill="1" applyBorder="1" applyAlignment="1">
      <alignment horizontal="center"/>
      <protection/>
    </xf>
    <xf numFmtId="0" fontId="17" fillId="0" borderId="1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19" borderId="12" xfId="0" applyFont="1" applyFill="1" applyBorder="1" applyAlignment="1">
      <alignment horizontal="center"/>
    </xf>
    <xf numFmtId="0" fontId="17" fillId="19" borderId="10" xfId="0" applyFont="1" applyFill="1" applyBorder="1" applyAlignment="1">
      <alignment horizontal="center"/>
    </xf>
    <xf numFmtId="0" fontId="17" fillId="19" borderId="11" xfId="0" applyFont="1" applyFill="1" applyBorder="1" applyAlignment="1">
      <alignment horizontal="center"/>
    </xf>
    <xf numFmtId="1" fontId="17" fillId="12" borderId="12" xfId="31" applyNumberFormat="1" applyFont="1" applyFill="1" applyBorder="1" applyAlignment="1">
      <alignment horizontal="center" wrapText="1"/>
      <protection/>
    </xf>
    <xf numFmtId="1" fontId="17" fillId="12" borderId="10" xfId="31" applyNumberFormat="1" applyFont="1" applyFill="1" applyBorder="1" applyAlignment="1" quotePrefix="1">
      <alignment horizontal="center" wrapText="1"/>
      <protection/>
    </xf>
    <xf numFmtId="1" fontId="17" fillId="12" borderId="11" xfId="31" applyNumberFormat="1" applyFont="1" applyFill="1" applyBorder="1" applyAlignment="1" quotePrefix="1">
      <alignment horizontal="center" wrapText="1"/>
      <protection/>
    </xf>
    <xf numFmtId="1" fontId="17" fillId="12" borderId="11" xfId="0" applyNumberFormat="1" applyFont="1" applyFill="1" applyBorder="1" applyAlignment="1">
      <alignment horizontal="center"/>
    </xf>
    <xf numFmtId="0" fontId="17" fillId="12" borderId="12" xfId="0" applyFont="1" applyFill="1" applyBorder="1" applyAlignment="1">
      <alignment horizontal="right"/>
    </xf>
    <xf numFmtId="0" fontId="17" fillId="12" borderId="10" xfId="0" applyFont="1" applyFill="1" applyBorder="1" applyAlignment="1">
      <alignment horizontal="right"/>
    </xf>
    <xf numFmtId="0" fontId="17" fillId="12" borderId="11" xfId="0" applyFont="1" applyFill="1" applyBorder="1" applyAlignment="1">
      <alignment horizontal="right"/>
    </xf>
    <xf numFmtId="0" fontId="17" fillId="13" borderId="55" xfId="0" applyFont="1" applyFill="1" applyBorder="1" applyAlignment="1">
      <alignment horizontal="center"/>
    </xf>
    <xf numFmtId="0" fontId="17" fillId="13" borderId="14" xfId="0" applyFont="1" applyFill="1" applyBorder="1" applyAlignment="1">
      <alignment horizontal="center"/>
    </xf>
    <xf numFmtId="0" fontId="17" fillId="13" borderId="15" xfId="0" applyFont="1" applyFill="1" applyBorder="1" applyAlignment="1">
      <alignment horizontal="center"/>
    </xf>
    <xf numFmtId="0" fontId="17" fillId="13" borderId="55" xfId="0" applyFont="1" applyFill="1" applyBorder="1" applyAlignment="1">
      <alignment horizontal="left" wrapText="1"/>
    </xf>
    <xf numFmtId="0" fontId="17" fillId="13" borderId="14" xfId="0" applyFont="1" applyFill="1" applyBorder="1" applyAlignment="1">
      <alignment horizontal="left" wrapText="1"/>
    </xf>
    <xf numFmtId="0" fontId="17" fillId="13" borderId="15" xfId="0" applyFont="1" applyFill="1" applyBorder="1" applyAlignment="1">
      <alignment horizontal="left" wrapText="1"/>
    </xf>
    <xf numFmtId="0" fontId="17" fillId="13" borderId="61" xfId="0" applyFont="1" applyFill="1" applyBorder="1" applyAlignment="1">
      <alignment horizontal="left" wrapText="1"/>
    </xf>
    <xf numFmtId="0" fontId="17" fillId="13" borderId="39" xfId="0" applyFont="1" applyFill="1" applyBorder="1" applyAlignment="1">
      <alignment horizontal="left" wrapText="1"/>
    </xf>
    <xf numFmtId="0" fontId="17" fillId="13" borderId="62" xfId="0" applyFont="1" applyFill="1" applyBorder="1" applyAlignment="1">
      <alignment horizontal="left" wrapText="1"/>
    </xf>
    <xf numFmtId="0" fontId="0" fillId="11" borderId="12" xfId="0" applyFont="1" applyFill="1" applyBorder="1" applyAlignment="1">
      <alignment horizontal="left" wrapText="1"/>
    </xf>
    <xf numFmtId="0" fontId="0" fillId="11" borderId="10" xfId="0" applyFont="1" applyFill="1" applyBorder="1" applyAlignment="1">
      <alignment horizontal="left" wrapText="1"/>
    </xf>
    <xf numFmtId="0" fontId="0" fillId="11" borderId="11" xfId="0" applyFont="1" applyFill="1" applyBorder="1" applyAlignment="1">
      <alignment horizontal="left" wrapText="1"/>
    </xf>
    <xf numFmtId="0" fontId="17" fillId="18" borderId="12" xfId="0" applyFont="1" applyFill="1" applyBorder="1" applyAlignment="1">
      <alignment horizontal="left"/>
    </xf>
    <xf numFmtId="0" fontId="17" fillId="18" borderId="10" xfId="0" applyFont="1" applyFill="1" applyBorder="1" applyAlignment="1">
      <alignment horizontal="left"/>
    </xf>
    <xf numFmtId="0" fontId="17" fillId="18" borderId="11" xfId="0" applyFont="1" applyFill="1" applyBorder="1" applyAlignment="1">
      <alignment horizontal="left"/>
    </xf>
    <xf numFmtId="0" fontId="17" fillId="12" borderId="12" xfId="31" applyFont="1" applyFill="1" applyBorder="1" applyAlignment="1">
      <alignment horizontal="center"/>
      <protection/>
    </xf>
    <xf numFmtId="0" fontId="17" fillId="12" borderId="11" xfId="31" applyFont="1" applyFill="1" applyBorder="1" applyAlignment="1">
      <alignment horizontal="center"/>
      <protection/>
    </xf>
    <xf numFmtId="0" fontId="17" fillId="12" borderId="12" xfId="0" applyFont="1" applyFill="1" applyBorder="1" applyAlignment="1">
      <alignment horizontal="center"/>
    </xf>
    <xf numFmtId="0" fontId="17" fillId="12" borderId="10" xfId="0" applyFont="1" applyFill="1" applyBorder="1" applyAlignment="1">
      <alignment horizontal="center"/>
    </xf>
    <xf numFmtId="0" fontId="17" fillId="12" borderId="11" xfId="0" applyFont="1" applyFill="1" applyBorder="1" applyAlignment="1">
      <alignment horizontal="center"/>
    </xf>
    <xf numFmtId="1" fontId="17" fillId="12" borderId="37" xfId="31" applyNumberFormat="1" applyFont="1" applyFill="1" applyBorder="1" applyAlignment="1" quotePrefix="1">
      <alignment horizontal="center" wrapText="1"/>
      <protection/>
    </xf>
    <xf numFmtId="1" fontId="17" fillId="12" borderId="38" xfId="31" applyNumberFormat="1" applyFont="1" applyFill="1" applyBorder="1" applyAlignment="1" quotePrefix="1">
      <alignment horizontal="center" wrapText="1"/>
      <protection/>
    </xf>
    <xf numFmtId="0" fontId="17" fillId="17" borderId="12" xfId="0" applyFont="1" applyFill="1" applyBorder="1" applyAlignment="1">
      <alignment horizontal="center" wrapText="1"/>
    </xf>
    <xf numFmtId="0" fontId="17" fillId="17" borderId="10" xfId="0" applyFont="1" applyFill="1" applyBorder="1" applyAlignment="1">
      <alignment horizontal="center" wrapText="1"/>
    </xf>
    <xf numFmtId="0" fontId="17" fillId="17" borderId="11" xfId="0" applyFont="1" applyFill="1" applyBorder="1" applyAlignment="1">
      <alignment horizontal="center" wrapText="1"/>
    </xf>
    <xf numFmtId="0" fontId="17" fillId="12" borderId="61" xfId="0" applyFont="1" applyFill="1" applyBorder="1" applyAlignment="1">
      <alignment horizontal="center" wrapText="1"/>
    </xf>
    <xf numFmtId="0" fontId="17" fillId="12" borderId="62" xfId="0" applyFont="1" applyFill="1" applyBorder="1" applyAlignment="1">
      <alignment horizontal="center" wrapText="1"/>
    </xf>
    <xf numFmtId="0" fontId="17" fillId="12" borderId="36" xfId="31" applyFont="1" applyFill="1" applyBorder="1" applyAlignment="1">
      <alignment horizontal="center"/>
      <protection/>
    </xf>
    <xf numFmtId="0" fontId="17" fillId="12" borderId="37" xfId="31" applyFont="1" applyFill="1" applyBorder="1" applyAlignment="1">
      <alignment horizontal="center"/>
      <protection/>
    </xf>
    <xf numFmtId="0" fontId="5" fillId="16" borderId="55" xfId="26" applyFont="1" applyFill="1" applyBorder="1" applyAlignment="1">
      <alignment horizontal="center"/>
      <protection/>
    </xf>
    <xf numFmtId="0" fontId="5" fillId="16" borderId="15" xfId="26" applyFont="1" applyFill="1" applyBorder="1" applyAlignment="1">
      <alignment horizontal="center"/>
      <protection/>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1" fontId="17" fillId="12" borderId="63" xfId="31" applyNumberFormat="1" applyFont="1" applyFill="1" applyBorder="1" applyAlignment="1">
      <alignment horizontal="center" wrapText="1"/>
      <protection/>
    </xf>
    <xf numFmtId="1" fontId="17" fillId="12" borderId="0" xfId="31" applyNumberFormat="1" applyFont="1" applyFill="1" applyBorder="1" applyAlignment="1" quotePrefix="1">
      <alignment horizontal="center" wrapText="1"/>
      <protection/>
    </xf>
    <xf numFmtId="0" fontId="17" fillId="17" borderId="12" xfId="24" applyFont="1" applyFill="1" applyBorder="1" applyAlignment="1">
      <alignment horizontal="center" wrapText="1"/>
      <protection/>
    </xf>
    <xf numFmtId="0" fontId="17" fillId="17" borderId="10" xfId="24" applyFont="1" applyFill="1" applyBorder="1" applyAlignment="1">
      <alignment horizontal="center" wrapText="1"/>
      <protection/>
    </xf>
    <xf numFmtId="0" fontId="17" fillId="17" borderId="15" xfId="24" applyFont="1" applyFill="1" applyBorder="1" applyAlignment="1">
      <alignment horizontal="center" wrapText="1"/>
      <protection/>
    </xf>
    <xf numFmtId="1" fontId="17" fillId="12" borderId="55" xfId="31" applyNumberFormat="1" applyFont="1" applyFill="1" applyBorder="1" applyAlignment="1" quotePrefix="1">
      <alignment horizontal="center" wrapText="1"/>
      <protection/>
    </xf>
    <xf numFmtId="1" fontId="17" fillId="12" borderId="14" xfId="31" applyNumberFormat="1" applyFont="1" applyFill="1" applyBorder="1" applyAlignment="1" quotePrefix="1">
      <alignment horizontal="center" wrapText="1"/>
      <protection/>
    </xf>
    <xf numFmtId="1" fontId="17" fillId="12" borderId="15" xfId="31" applyNumberFormat="1" applyFont="1" applyFill="1" applyBorder="1" applyAlignment="1" quotePrefix="1">
      <alignment horizontal="center" wrapText="1"/>
      <protection/>
    </xf>
    <xf numFmtId="1" fontId="17" fillId="12" borderId="64" xfId="31" applyNumberFormat="1" applyFont="1" applyFill="1" applyBorder="1" applyAlignment="1" quotePrefix="1">
      <alignment horizontal="center" wrapText="1"/>
      <protection/>
    </xf>
  </cellXfs>
  <cellStyles count="19">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EILINGU" xfId="23"/>
    <cellStyle name="Normal_ConMeasSingleFamily" xfId="24"/>
    <cellStyle name="Normal_Existing Multifamily" xfId="25"/>
    <cellStyle name="Normal_Existing SingleFamily" xfId="26"/>
    <cellStyle name="Normal_Multifamily Use" xfId="27"/>
    <cellStyle name="Normal_New Multifamily" xfId="28"/>
    <cellStyle name="Normal_New Single Family" xfId="29"/>
    <cellStyle name="Normal_ProCost Template" xfId="30"/>
    <cellStyle name="Normal_T_Energy Use and Savings"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Arial"/>
                <a:ea typeface="Arial"/>
                <a:cs typeface="Arial"/>
              </a:rPr>
              <a:t>UA vs Cumulative Installed Cost</a:t>
            </a:r>
          </a:p>
        </c:rich>
      </c:tx>
      <c:layout/>
      <c:spPr>
        <a:noFill/>
        <a:ln>
          <a:noFill/>
        </a:ln>
      </c:spPr>
    </c:title>
    <c:plotArea>
      <c:layout/>
      <c:scatterChart>
        <c:scatterStyle val="lineMarker"/>
        <c:varyColors val="0"/>
        <c:ser>
          <c:idx val="2"/>
          <c:order val="0"/>
          <c:tx>
            <c:strRef>
              <c:f>'UA Optimizer'!$S$41</c:f>
              <c:strCache>
                <c:ptCount val="1"/>
                <c:pt idx="0">
                  <c:v>Cumulative Installed Cost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1"/>
            <c:dispRSqr val="1"/>
            <c:trendlineLbl>
              <c:layout>
                <c:manualLayout>
                  <c:x val="0"/>
                  <c:y val="0"/>
                </c:manualLayout>
              </c:layout>
              <c:numFmt formatCode="0.0000000000"/>
            </c:trendlineLbl>
          </c:trendline>
          <c:xVal>
            <c:numRef>
              <c:f>'UA Optimizer'!$P$42:$P$53</c:f>
              <c:numCache>
                <c:ptCount val="12"/>
                <c:pt idx="0">
                  <c:v>3835.0282175018388</c:v>
                </c:pt>
                <c:pt idx="1">
                  <c:v>3460.1082175018387</c:v>
                </c:pt>
                <c:pt idx="2">
                  <c:v>3223.624533291312</c:v>
                </c:pt>
                <c:pt idx="3">
                  <c:v>2916.6951824817515</c:v>
                </c:pt>
                <c:pt idx="4">
                  <c:v>2840.2551824817515</c:v>
                </c:pt>
                <c:pt idx="5">
                  <c:v>2796.5751824817517</c:v>
                </c:pt>
                <c:pt idx="6">
                  <c:v>1936</c:v>
                </c:pt>
                <c:pt idx="7">
                  <c:v>1921.44</c:v>
                </c:pt>
                <c:pt idx="8">
                  <c:v>1903.24</c:v>
                </c:pt>
                <c:pt idx="9">
                  <c:v>1732.888</c:v>
                </c:pt>
                <c:pt idx="10">
                  <c:v>1624.588</c:v>
                </c:pt>
                <c:pt idx="11">
                  <c:v>1590.988</c:v>
                </c:pt>
              </c:numCache>
            </c:numRef>
          </c:xVal>
          <c:yVal>
            <c:numRef>
              <c:f>'UA Optimizer'!$S$42:$S$53</c:f>
              <c:numCache>
                <c:ptCount val="12"/>
                <c:pt idx="1">
                  <c:v>3130.4</c:v>
                </c:pt>
                <c:pt idx="2">
                  <c:v>6042.4</c:v>
                </c:pt>
                <c:pt idx="3">
                  <c:v>10160.439999999999</c:v>
                </c:pt>
                <c:pt idx="4">
                  <c:v>11361.64</c:v>
                </c:pt>
                <c:pt idx="5">
                  <c:v>12089.64</c:v>
                </c:pt>
                <c:pt idx="6">
                  <c:v>30341.04</c:v>
                </c:pt>
                <c:pt idx="7">
                  <c:v>30814.24</c:v>
                </c:pt>
                <c:pt idx="8">
                  <c:v>31469.440000000002</c:v>
                </c:pt>
                <c:pt idx="9">
                  <c:v>38069.44</c:v>
                </c:pt>
                <c:pt idx="10">
                  <c:v>43541.44</c:v>
                </c:pt>
                <c:pt idx="11">
                  <c:v>45342.64</c:v>
                </c:pt>
              </c:numCache>
            </c:numRef>
          </c:yVal>
          <c:smooth val="0"/>
        </c:ser>
        <c:axId val="58916831"/>
        <c:axId val="60489432"/>
      </c:scatterChart>
      <c:valAx>
        <c:axId val="58916831"/>
        <c:scaling>
          <c:orientation val="minMax"/>
        </c:scaling>
        <c:axPos val="b"/>
        <c:delete val="0"/>
        <c:numFmt formatCode="General" sourceLinked="1"/>
        <c:majorTickMark val="out"/>
        <c:minorTickMark val="none"/>
        <c:tickLblPos val="nextTo"/>
        <c:crossAx val="60489432"/>
        <c:crosses val="autoZero"/>
        <c:crossBetween val="midCat"/>
        <c:dispUnits/>
      </c:valAx>
      <c:valAx>
        <c:axId val="60489432"/>
        <c:scaling>
          <c:orientation val="minMax"/>
        </c:scaling>
        <c:axPos val="l"/>
        <c:majorGridlines/>
        <c:delete val="0"/>
        <c:numFmt formatCode="General" sourceLinked="1"/>
        <c:majorTickMark val="out"/>
        <c:minorTickMark val="none"/>
        <c:tickLblPos val="nextTo"/>
        <c:crossAx val="5891683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Arial"/>
                <a:ea typeface="Arial"/>
                <a:cs typeface="Arial"/>
              </a:rPr>
              <a:t>UA vs Cumulative Installed Cost</a:t>
            </a:r>
          </a:p>
        </c:rich>
      </c:tx>
      <c:layout/>
      <c:spPr>
        <a:noFill/>
        <a:ln>
          <a:noFill/>
        </a:ln>
      </c:spPr>
    </c:title>
    <c:plotArea>
      <c:layout/>
      <c:scatterChart>
        <c:scatterStyle val="lineMarker"/>
        <c:varyColors val="0"/>
        <c:ser>
          <c:idx val="2"/>
          <c:order val="0"/>
          <c:tx>
            <c:strRef>
              <c:f>'UA Optimizer'!$S$41</c:f>
              <c:strCache>
                <c:ptCount val="1"/>
                <c:pt idx="0">
                  <c:v>Cumulative Installed Cost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dispEq val="1"/>
            <c:dispRSqr val="1"/>
            <c:trendlineLbl>
              <c:layout>
                <c:manualLayout>
                  <c:x val="0"/>
                  <c:y val="0"/>
                </c:manualLayout>
              </c:layout>
              <c:numFmt formatCode="0.0000000000"/>
            </c:trendlineLbl>
          </c:trendline>
          <c:xVal>
            <c:numRef>
              <c:f>'UA Optimizer'!$X$42:$X$56</c:f>
              <c:numCache>
                <c:ptCount val="15"/>
                <c:pt idx="0">
                  <c:v>4669.7011960221025</c:v>
                </c:pt>
                <c:pt idx="1">
                  <c:v>4430.922196022102</c:v>
                </c:pt>
                <c:pt idx="2">
                  <c:v>4209.678196022102</c:v>
                </c:pt>
                <c:pt idx="3">
                  <c:v>3962.799624593531</c:v>
                </c:pt>
                <c:pt idx="4">
                  <c:v>3453.7460671532845</c:v>
                </c:pt>
                <c:pt idx="5">
                  <c:v>3408.6380671532843</c:v>
                </c:pt>
                <c:pt idx="6">
                  <c:v>3363.0380671532844</c:v>
                </c:pt>
                <c:pt idx="7">
                  <c:v>2421.6895999999997</c:v>
                </c:pt>
                <c:pt idx="8">
                  <c:v>2406.4896</c:v>
                </c:pt>
                <c:pt idx="9">
                  <c:v>2395.7496</c:v>
                </c:pt>
                <c:pt idx="10">
                  <c:v>2215.8648000000003</c:v>
                </c:pt>
                <c:pt idx="11">
                  <c:v>2097.3998</c:v>
                </c:pt>
                <c:pt idx="12">
                  <c:v>2030.1998</c:v>
                </c:pt>
                <c:pt idx="13">
                  <c:v>2020.9448</c:v>
                </c:pt>
                <c:pt idx="14">
                  <c:v>2015.3917999999999</c:v>
                </c:pt>
              </c:numCache>
            </c:numRef>
          </c:xVal>
          <c:yVal>
            <c:numRef>
              <c:f>'UA Optimizer'!$AA$42:$AA$56</c:f>
              <c:numCache>
                <c:ptCount val="15"/>
                <c:pt idx="1">
                  <c:v>1591.86</c:v>
                </c:pt>
                <c:pt idx="2">
                  <c:v>3439.14</c:v>
                </c:pt>
                <c:pt idx="3">
                  <c:v>6479.139999999999</c:v>
                </c:pt>
                <c:pt idx="4">
                  <c:v>13309.06</c:v>
                </c:pt>
                <c:pt idx="5">
                  <c:v>14017.9</c:v>
                </c:pt>
                <c:pt idx="6">
                  <c:v>14777.9</c:v>
                </c:pt>
                <c:pt idx="7">
                  <c:v>34742.37</c:v>
                </c:pt>
                <c:pt idx="8">
                  <c:v>35236.37</c:v>
                </c:pt>
                <c:pt idx="9">
                  <c:v>35623.01</c:v>
                </c:pt>
                <c:pt idx="10">
                  <c:v>42223.01</c:v>
                </c:pt>
                <c:pt idx="11">
                  <c:v>48208.61</c:v>
                </c:pt>
                <c:pt idx="12">
                  <c:v>51811.01</c:v>
                </c:pt>
                <c:pt idx="13">
                  <c:v>52421.840000000004</c:v>
                </c:pt>
                <c:pt idx="14">
                  <c:v>52829.060000000005</c:v>
                </c:pt>
              </c:numCache>
            </c:numRef>
          </c:yVal>
          <c:smooth val="0"/>
        </c:ser>
        <c:axId val="7533977"/>
        <c:axId val="696930"/>
      </c:scatterChart>
      <c:valAx>
        <c:axId val="7533977"/>
        <c:scaling>
          <c:orientation val="minMax"/>
        </c:scaling>
        <c:axPos val="b"/>
        <c:delete val="0"/>
        <c:numFmt formatCode="General" sourceLinked="1"/>
        <c:majorTickMark val="out"/>
        <c:minorTickMark val="none"/>
        <c:tickLblPos val="nextTo"/>
        <c:crossAx val="696930"/>
        <c:crosses val="autoZero"/>
        <c:crossBetween val="midCat"/>
        <c:dispUnits/>
      </c:valAx>
      <c:valAx>
        <c:axId val="696930"/>
        <c:scaling>
          <c:orientation val="minMax"/>
        </c:scaling>
        <c:axPos val="l"/>
        <c:majorGridlines/>
        <c:delete val="0"/>
        <c:numFmt formatCode="General" sourceLinked="1"/>
        <c:majorTickMark val="out"/>
        <c:minorTickMark val="none"/>
        <c:tickLblPos val="nextTo"/>
        <c:crossAx val="753397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9.emf" /><Relationship Id="rId5" Type="http://schemas.openxmlformats.org/officeDocument/2006/relationships/image" Target="../media/image11.emf" /><Relationship Id="rId6" Type="http://schemas.openxmlformats.org/officeDocument/2006/relationships/image" Target="../media/image13.emf" /><Relationship Id="rId7" Type="http://schemas.openxmlformats.org/officeDocument/2006/relationships/image" Target="../media/image15.emf" /><Relationship Id="rId8" Type="http://schemas.openxmlformats.org/officeDocument/2006/relationships/image" Target="../media/image3.emf" /><Relationship Id="rId9" Type="http://schemas.openxmlformats.org/officeDocument/2006/relationships/image" Target="../media/image12.emf" /><Relationship Id="rId10" Type="http://schemas.openxmlformats.org/officeDocument/2006/relationships/image" Target="../media/image5.emf" /><Relationship Id="rId11" Type="http://schemas.openxmlformats.org/officeDocument/2006/relationships/image" Target="../media/image1.emf" /><Relationship Id="rId12" Type="http://schemas.openxmlformats.org/officeDocument/2006/relationships/image" Target="../media/image7.emf" /><Relationship Id="rId13" Type="http://schemas.openxmlformats.org/officeDocument/2006/relationships/image" Target="../media/image10.emf" /><Relationship Id="rId14" Type="http://schemas.openxmlformats.org/officeDocument/2006/relationships/image" Target="../media/image2.emf" /><Relationship Id="rId15"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7"/>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54</xdr:row>
      <xdr:rowOff>152400</xdr:rowOff>
    </xdr:from>
    <xdr:to>
      <xdr:col>19</xdr:col>
      <xdr:colOff>0</xdr:colOff>
      <xdr:row>72</xdr:row>
      <xdr:rowOff>0</xdr:rowOff>
    </xdr:to>
    <xdr:graphicFrame>
      <xdr:nvGraphicFramePr>
        <xdr:cNvPr id="1" name="Chart 3"/>
        <xdr:cNvGraphicFramePr/>
      </xdr:nvGraphicFramePr>
      <xdr:xfrm>
        <a:off x="13077825" y="9915525"/>
        <a:ext cx="5915025" cy="2809875"/>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58</xdr:row>
      <xdr:rowOff>0</xdr:rowOff>
    </xdr:from>
    <xdr:to>
      <xdr:col>26</xdr:col>
      <xdr:colOff>419100</xdr:colOff>
      <xdr:row>75</xdr:row>
      <xdr:rowOff>0</xdr:rowOff>
    </xdr:to>
    <xdr:graphicFrame>
      <xdr:nvGraphicFramePr>
        <xdr:cNvPr id="2" name="Chart 4"/>
        <xdr:cNvGraphicFramePr/>
      </xdr:nvGraphicFramePr>
      <xdr:xfrm>
        <a:off x="21345525" y="10410825"/>
        <a:ext cx="5924550" cy="2819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2:AL7"/>
  <sheetViews>
    <sheetView tabSelected="1" workbookViewId="0" topLeftCell="A1">
      <selection activeCell="A1" sqref="A1"/>
    </sheetView>
  </sheetViews>
  <sheetFormatPr defaultColWidth="9.140625" defaultRowHeight="12.75"/>
  <cols>
    <col min="1" max="1" width="36.8515625" style="0" customWidth="1"/>
    <col min="2" max="2" width="45.00390625" style="0" customWidth="1"/>
    <col min="3" max="3" width="17.00390625" style="0" customWidth="1"/>
    <col min="5" max="5" width="10.140625" style="0" customWidth="1"/>
    <col min="6" max="6" width="12.57421875" style="0" customWidth="1"/>
    <col min="7" max="7" width="12.00390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2.2812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00390625" style="0" customWidth="1"/>
  </cols>
  <sheetData>
    <row r="1" ht="13.5" thickBot="1"/>
    <row r="2" spans="1:36" s="76" customFormat="1" ht="15.75" thickBot="1">
      <c r="A2" s="441" t="s">
        <v>111</v>
      </c>
      <c r="B2" s="442"/>
      <c r="C2" s="442"/>
      <c r="D2" s="442"/>
      <c r="E2" s="442"/>
      <c r="F2" s="442"/>
      <c r="G2" s="442"/>
      <c r="H2" s="442"/>
      <c r="I2" s="442"/>
      <c r="J2" s="442"/>
      <c r="K2" s="442"/>
      <c r="L2" s="442"/>
      <c r="M2" s="442"/>
      <c r="N2" s="442"/>
      <c r="O2" s="442"/>
      <c r="P2" s="442"/>
      <c r="Q2" s="442"/>
      <c r="R2" s="442"/>
      <c r="S2" s="442"/>
      <c r="T2" s="442"/>
      <c r="U2" s="442"/>
      <c r="V2" s="442"/>
      <c r="W2" s="443"/>
      <c r="X2" s="441" t="s">
        <v>112</v>
      </c>
      <c r="Y2" s="442"/>
      <c r="Z2" s="443"/>
      <c r="AA2" s="442" t="s">
        <v>113</v>
      </c>
      <c r="AB2" s="442"/>
      <c r="AC2" s="442"/>
      <c r="AD2" s="445"/>
      <c r="AE2" s="444" t="s">
        <v>114</v>
      </c>
      <c r="AF2" s="442"/>
      <c r="AG2" s="442"/>
      <c r="AH2" s="445"/>
      <c r="AI2" s="74"/>
      <c r="AJ2" s="75"/>
    </row>
    <row r="3" spans="1:38" s="80" customFormat="1" ht="79.5" thickBot="1">
      <c r="A3" s="77" t="s">
        <v>115</v>
      </c>
      <c r="B3" s="78" t="s">
        <v>116</v>
      </c>
      <c r="C3" s="78" t="s">
        <v>117</v>
      </c>
      <c r="D3" s="78" t="s">
        <v>118</v>
      </c>
      <c r="E3" s="78" t="s">
        <v>148</v>
      </c>
      <c r="F3" s="78" t="s">
        <v>149</v>
      </c>
      <c r="G3" s="78" t="s">
        <v>150</v>
      </c>
      <c r="H3" s="78" t="s">
        <v>119</v>
      </c>
      <c r="I3" s="78" t="s">
        <v>151</v>
      </c>
      <c r="J3" s="78" t="s">
        <v>120</v>
      </c>
      <c r="K3" s="78" t="s">
        <v>121</v>
      </c>
      <c r="L3" s="78" t="s">
        <v>122</v>
      </c>
      <c r="M3" s="78" t="s">
        <v>123</v>
      </c>
      <c r="N3" s="78" t="s">
        <v>152</v>
      </c>
      <c r="O3" s="78" t="s">
        <v>124</v>
      </c>
      <c r="P3" s="78" t="s">
        <v>153</v>
      </c>
      <c r="Q3" s="78" t="s">
        <v>125</v>
      </c>
      <c r="R3" s="78" t="s">
        <v>126</v>
      </c>
      <c r="S3" s="78" t="s">
        <v>130</v>
      </c>
      <c r="T3" s="78" t="s">
        <v>131</v>
      </c>
      <c r="U3" s="78" t="s">
        <v>132</v>
      </c>
      <c r="V3" s="78" t="s">
        <v>133</v>
      </c>
      <c r="W3" s="78" t="s">
        <v>134</v>
      </c>
      <c r="X3" s="77" t="s">
        <v>135</v>
      </c>
      <c r="Y3" s="77" t="s">
        <v>136</v>
      </c>
      <c r="Z3" s="78" t="s">
        <v>137</v>
      </c>
      <c r="AA3" s="78" t="s">
        <v>138</v>
      </c>
      <c r="AB3" s="78" t="s">
        <v>139</v>
      </c>
      <c r="AC3" s="78" t="s">
        <v>140</v>
      </c>
      <c r="AD3" s="78" t="s">
        <v>141</v>
      </c>
      <c r="AE3" s="78" t="s">
        <v>142</v>
      </c>
      <c r="AF3" s="78" t="s">
        <v>143</v>
      </c>
      <c r="AG3" s="78" t="s">
        <v>144</v>
      </c>
      <c r="AH3" s="79" t="s">
        <v>134</v>
      </c>
      <c r="AI3" s="94" t="s">
        <v>145</v>
      </c>
      <c r="AJ3" s="94" t="s">
        <v>146</v>
      </c>
      <c r="AK3" s="94" t="s">
        <v>61</v>
      </c>
      <c r="AL3" s="76"/>
    </row>
    <row r="4" spans="1:38" ht="67.5">
      <c r="A4" s="88" t="str">
        <f>MFResWX!B23</f>
        <v>Multifamily Weatherization - Heating Zone 3</v>
      </c>
      <c r="B4" s="81" t="str">
        <f>VLOOKUP($A4,LookupTable!$A$3:$D$7,2,0)</f>
        <v>Insulation must be installed in substantial compliance with WeatherWise Specifications</v>
      </c>
      <c r="C4" s="81" t="str">
        <f>VLOOKUP($A4,LookupTable!$A$3:$D$7,3,0)</f>
        <v>Multifamily dwelling unit in buildings with more than 4 units w/Electric Heat </v>
      </c>
      <c r="D4" s="81" t="str">
        <f>VLOOKUP($A4,LookupTable!$A$3:$D$7,4,0)</f>
        <v>Heating Zone 3</v>
      </c>
      <c r="E4" s="82">
        <f>MFResWX!E23</f>
        <v>592.76</v>
      </c>
      <c r="F4" s="82">
        <f>MFResWX!F23</f>
        <v>0</v>
      </c>
      <c r="G4" s="82">
        <f>MFResWX!G23</f>
        <v>0</v>
      </c>
      <c r="H4" s="83">
        <f>MFResWX!C23</f>
        <v>45</v>
      </c>
      <c r="I4" s="83" t="s">
        <v>156</v>
      </c>
      <c r="J4" s="118">
        <f>MFResWX!D23</f>
        <v>1588.6530171686125</v>
      </c>
      <c r="K4" s="118">
        <f>MFResWX!K23</f>
        <v>1709.787809727719</v>
      </c>
      <c r="L4" s="85">
        <f>MFResWX!J23</f>
        <v>0.4009999930858612</v>
      </c>
      <c r="M4" s="90">
        <f>MFResWX!L23</f>
        <v>0.37270325064095733</v>
      </c>
      <c r="N4" s="89">
        <f>MFResWX!N23/MFResWX!K23</f>
        <v>0.34668514017429214</v>
      </c>
      <c r="O4" s="89">
        <f>MFResWX!O23/MFResWX!$K23</f>
        <v>0</v>
      </c>
      <c r="P4" s="89">
        <f>MFResWX!P23/MFResWX!$K23</f>
        <v>0</v>
      </c>
      <c r="Q4" s="89">
        <f>MFResWX!Q23/MFResWX!$K23</f>
        <v>0.3466851578120801</v>
      </c>
      <c r="R4" s="84">
        <f>MFResWX!S23/MFResWX!K23</f>
        <v>0.42092979011151566</v>
      </c>
      <c r="S4" s="84">
        <f>MFResWX!T23/MFResWX!$K23</f>
        <v>0.012061538285621223</v>
      </c>
      <c r="T4" s="84">
        <f>MFResWX!U23/MFResWX!$K23</f>
        <v>0.062387576347311076</v>
      </c>
      <c r="U4" s="84">
        <f>SUM(R4:T4)</f>
        <v>0.49537890474444796</v>
      </c>
      <c r="V4" s="84">
        <f>U4-Q4</f>
        <v>0.14869374693236787</v>
      </c>
      <c r="W4" s="85">
        <f>U4/Q4</f>
        <v>1.4289013924644762</v>
      </c>
      <c r="X4" s="85">
        <f>MFResWX!I23</f>
        <v>0.21</v>
      </c>
      <c r="Y4" s="90">
        <f>MFResWX!M23</f>
        <v>0.9294345378875732</v>
      </c>
      <c r="Z4" s="85">
        <f>MFResWX!Y23/MFResWX!K23</f>
        <v>0.20052435367028576</v>
      </c>
      <c r="AA4" s="84" t="s">
        <v>157</v>
      </c>
      <c r="AB4" s="91" t="s">
        <v>158</v>
      </c>
      <c r="AC4" s="84">
        <f>MFResWX!Z23/MFResWX!$K23</f>
        <v>0</v>
      </c>
      <c r="AD4" s="84">
        <f>MFResWX!AA23/MFResWX!$K23</f>
        <v>0</v>
      </c>
      <c r="AE4" s="84">
        <f>MFResWX!AC23/MFResWX!$K23</f>
        <v>0.3466851578120801</v>
      </c>
      <c r="AF4" s="84">
        <f>MFResWX!AB23/MFResWX!$K23</f>
        <v>0.695356310531536</v>
      </c>
      <c r="AG4" s="84">
        <f>AF4-AE4</f>
        <v>0.3486711527194559</v>
      </c>
      <c r="AH4" s="85">
        <f>AF4/AE4</f>
        <v>2.0057285259049142</v>
      </c>
      <c r="AI4" s="96" t="s">
        <v>221</v>
      </c>
      <c r="AJ4" s="96" t="s">
        <v>159</v>
      </c>
      <c r="AK4" s="440">
        <f>VLOOKUP(A4,MFResWX!$B$23:$R$26,17,0)</f>
        <v>18.796404944539972</v>
      </c>
      <c r="AL4" s="76"/>
    </row>
    <row r="5" spans="1:37" ht="67.5">
      <c r="A5" s="88" t="str">
        <f>MFResWX!B24</f>
        <v>Multifamily Weatherization - Heating Zone 2</v>
      </c>
      <c r="B5" s="81" t="str">
        <f>VLOOKUP($A5,LookupTable!$A$3:$D$7,2,0)</f>
        <v>Insulation must be installed in substantial compliance with WeatherWise Specifications</v>
      </c>
      <c r="C5" s="81" t="str">
        <f>VLOOKUP($A5,LookupTable!$A$3:$D$7,3,0)</f>
        <v>Multifamily dwelling unit in buildings with more than 4 units w/Electric Heat </v>
      </c>
      <c r="D5" s="81" t="str">
        <f>VLOOKUP($A5,LookupTable!$A$3:$D$7,4,0)</f>
        <v>Heating Zone 2</v>
      </c>
      <c r="E5" s="82">
        <f>MFResWX!E24</f>
        <v>592.76</v>
      </c>
      <c r="F5" s="82">
        <f>MFResWX!F24</f>
        <v>0</v>
      </c>
      <c r="G5" s="82">
        <f>MFResWX!G24</f>
        <v>0</v>
      </c>
      <c r="H5" s="83">
        <f>MFResWX!C24</f>
        <v>45</v>
      </c>
      <c r="I5" s="83" t="s">
        <v>156</v>
      </c>
      <c r="J5" s="118">
        <f>MFResWX!D24</f>
        <v>1350.9995674162167</v>
      </c>
      <c r="K5" s="118">
        <f>MFResWX!K24</f>
        <v>1454.0132844317031</v>
      </c>
      <c r="L5" s="85">
        <f>MFResWX!J24</f>
        <v>0.4009999632835388</v>
      </c>
      <c r="M5" s="90">
        <f>MFResWX!L24</f>
        <v>0.31694896553808616</v>
      </c>
      <c r="N5" s="89">
        <f>MFResWX!N24/MFResWX!K24</f>
        <v>0.4076702962967962</v>
      </c>
      <c r="O5" s="89">
        <f>MFResWX!O24/MFResWX!$K24</f>
        <v>0</v>
      </c>
      <c r="P5" s="89">
        <f>MFResWX!P24/MFResWX!$K24</f>
        <v>0</v>
      </c>
      <c r="Q5" s="89">
        <f>MFResWX!Q24/MFResWX!$K24</f>
        <v>0.40767031703723583</v>
      </c>
      <c r="R5" s="84">
        <f>MFResWX!S24/MFResWX!K24</f>
        <v>0.42092979011151516</v>
      </c>
      <c r="S5" s="84">
        <f>MFResWX!T24/MFResWX!$K24</f>
        <v>0.012061537532703623</v>
      </c>
      <c r="T5" s="84">
        <f>MFResWX!U24/MFResWX!$K24</f>
        <v>0.062387570690482015</v>
      </c>
      <c r="U5" s="84">
        <f>SUM(R5:T5)</f>
        <v>0.4953788983347008</v>
      </c>
      <c r="V5" s="84">
        <f>U5-Q5</f>
        <v>0.08770858129746495</v>
      </c>
      <c r="W5" s="85">
        <f>U5/Q5</f>
        <v>1.215145860838953</v>
      </c>
      <c r="X5" s="85">
        <f>MFResWX!I24</f>
        <v>0.21</v>
      </c>
      <c r="Y5" s="90">
        <f>MFResWX!M24</f>
        <v>0.7903964519500732</v>
      </c>
      <c r="Z5" s="85">
        <f>MFResWX!Y24/MFResWX!K24</f>
        <v>0.200524346371787</v>
      </c>
      <c r="AA5" s="84" t="s">
        <v>157</v>
      </c>
      <c r="AB5" s="91" t="s">
        <v>158</v>
      </c>
      <c r="AC5" s="84">
        <f>MFResWX!Z24/MFResWX!$K24</f>
        <v>0</v>
      </c>
      <c r="AD5" s="84">
        <f>MFResWX!AA24/MFResWX!$K24</f>
        <v>0</v>
      </c>
      <c r="AE5" s="84">
        <f>MFResWX!AC24/MFResWX!$K24</f>
        <v>0.40767031703723583</v>
      </c>
      <c r="AF5" s="84">
        <f>MFResWX!AB24/MFResWX!$K24</f>
        <v>0.6953563099025519</v>
      </c>
      <c r="AG5" s="84">
        <f>AF5-AE5</f>
        <v>0.2876859928653161</v>
      </c>
      <c r="AH5" s="85">
        <f>AF5/AE5</f>
        <v>1.7056829522347574</v>
      </c>
      <c r="AI5" s="96" t="s">
        <v>221</v>
      </c>
      <c r="AJ5" s="96" t="s">
        <v>159</v>
      </c>
      <c r="AK5" s="440">
        <f>VLOOKUP(A5,MFResWX!$B$23:$R$26,17,0)</f>
        <v>22.102868237164184</v>
      </c>
    </row>
    <row r="6" spans="1:37" ht="67.5">
      <c r="A6" s="88" t="str">
        <f>MFResWX!B25</f>
        <v>Multifamily Weatherization - PNW Average Climate</v>
      </c>
      <c r="B6" s="81" t="str">
        <f>VLOOKUP($A6,LookupTable!$A$3:$D$7,2,0)</f>
        <v>Insulation must be installed in substantial compliance with WeatherWise Specifications</v>
      </c>
      <c r="C6" s="81" t="str">
        <f>VLOOKUP($A6,LookupTable!$A$3:$D$7,3,0)</f>
        <v>Multifamily dwelling unit in buildings with more than 4 units w/Electric Heat </v>
      </c>
      <c r="D6" s="81" t="str">
        <f>VLOOKUP($A6,LookupTable!$A$3:$D$7,4,0)</f>
        <v>PNW Average Climate</v>
      </c>
      <c r="E6" s="82">
        <f>MFResWX!E25</f>
        <v>592.76</v>
      </c>
      <c r="F6" s="82">
        <f>MFResWX!F25</f>
        <v>0</v>
      </c>
      <c r="G6" s="82">
        <f>MFResWX!G25</f>
        <v>0</v>
      </c>
      <c r="H6" s="83">
        <f>MFResWX!C25</f>
        <v>45</v>
      </c>
      <c r="I6" s="83" t="s">
        <v>156</v>
      </c>
      <c r="J6" s="118">
        <f>MFResWX!D25</f>
        <v>1115.7622034236422</v>
      </c>
      <c r="K6" s="118">
        <f>MFResWX!K25</f>
        <v>1200.8390714346947</v>
      </c>
      <c r="L6" s="85">
        <f>MFResWX!J25</f>
        <v>0.4009999930858612</v>
      </c>
      <c r="M6" s="90">
        <f>MFResWX!L25</f>
        <v>0.2617615021431532</v>
      </c>
      <c r="N6" s="89">
        <f>MFResWX!N25/MFResWX!K25</f>
        <v>0.4936198701259415</v>
      </c>
      <c r="O6" s="89">
        <f>MFResWX!O25/MFResWX!$K25</f>
        <v>0</v>
      </c>
      <c r="P6" s="89">
        <f>MFResWX!P25/MFResWX!$K25</f>
        <v>0</v>
      </c>
      <c r="Q6" s="89">
        <f>MFResWX!Q25/MFResWX!$K25</f>
        <v>0.4936198952391107</v>
      </c>
      <c r="R6" s="84">
        <f>MFResWX!S25/MFResWX!K25</f>
        <v>0.42092979011151443</v>
      </c>
      <c r="S6" s="84">
        <f>MFResWX!T25/MFResWX!$K25</f>
        <v>0.012061537818230413</v>
      </c>
      <c r="T6" s="84">
        <f>MFResWX!U25/MFResWX!$K25</f>
        <v>0.06238756619859243</v>
      </c>
      <c r="U6" s="84">
        <f>SUM(R6:T6)</f>
        <v>0.4953788941283373</v>
      </c>
      <c r="V6" s="84">
        <f>U6-Q6</f>
        <v>0.0017589988892265929</v>
      </c>
      <c r="W6" s="85">
        <f>U6/Q6</f>
        <v>1.003563468381627</v>
      </c>
      <c r="X6" s="85">
        <f>MFResWX!I25</f>
        <v>0.21</v>
      </c>
      <c r="Y6" s="90">
        <f>MFResWX!M25</f>
        <v>0.6527718305587769</v>
      </c>
      <c r="Z6" s="85">
        <f>MFResWX!Y25/MFResWX!K25</f>
        <v>0.20052429570760555</v>
      </c>
      <c r="AA6" s="84" t="s">
        <v>157</v>
      </c>
      <c r="AB6" s="91" t="s">
        <v>158</v>
      </c>
      <c r="AC6" s="84">
        <f>MFResWX!Z25/MFResWX!$K25</f>
        <v>0</v>
      </c>
      <c r="AD6" s="84">
        <f>MFResWX!AA25/MFResWX!$K25</f>
        <v>0</v>
      </c>
      <c r="AE6" s="84">
        <f>MFResWX!AC25/MFResWX!$K25</f>
        <v>0.4936198952391107</v>
      </c>
      <c r="AF6" s="84">
        <f>MFResWX!AB25/MFResWX!$K25</f>
        <v>0.6953562264553441</v>
      </c>
      <c r="AG6" s="84">
        <f>AF6-AE6</f>
        <v>0.2017363312162334</v>
      </c>
      <c r="AH6" s="85">
        <f>AF6/AE6</f>
        <v>1.4086876018611685</v>
      </c>
      <c r="AI6" s="96" t="s">
        <v>221</v>
      </c>
      <c r="AJ6" s="96" t="s">
        <v>159</v>
      </c>
      <c r="AK6" s="440">
        <f>VLOOKUP(A6,MFResWX!$B$23:$R$26,17,0)</f>
        <v>26.76284008854222</v>
      </c>
    </row>
    <row r="7" spans="1:37" ht="67.5">
      <c r="A7" s="88" t="str">
        <f>MFResWX!B26</f>
        <v>Multifamily Weatherization - Heating Zone 1</v>
      </c>
      <c r="B7" s="81" t="str">
        <f>VLOOKUP($A7,LookupTable!$A$3:$D$7,2,0)</f>
        <v>Insulation must be installed in substantial compliance with WeatherWise Specifications</v>
      </c>
      <c r="C7" s="81" t="str">
        <f>VLOOKUP($A7,LookupTable!$A$3:$D$7,3,0)</f>
        <v>Multifamily dwelling unit in buildings with more than 4 units w/Electric Heat </v>
      </c>
      <c r="D7" s="81" t="str">
        <f>VLOOKUP($A7,LookupTable!$A$3:$D$7,4,0)</f>
        <v>Heating Zone 1</v>
      </c>
      <c r="E7" s="82">
        <f>MFResWX!E26</f>
        <v>592.76</v>
      </c>
      <c r="F7" s="82">
        <f>MFResWX!F26</f>
        <v>0</v>
      </c>
      <c r="G7" s="82">
        <f>MFResWX!G26</f>
        <v>0</v>
      </c>
      <c r="H7" s="83">
        <f>MFResWX!C26</f>
        <v>45</v>
      </c>
      <c r="I7" s="83" t="s">
        <v>156</v>
      </c>
      <c r="J7" s="95">
        <f>MFResWX!D26</f>
        <v>1018.5028908874243</v>
      </c>
      <c r="K7" s="95">
        <f>MFResWX!K26</f>
        <v>1096.1637363175903</v>
      </c>
      <c r="L7" s="85">
        <f>MFResWX!J26</f>
        <v>0.4009999930858612</v>
      </c>
      <c r="M7" s="90">
        <f>MFResWX!L26</f>
        <v>0.23894414583840265</v>
      </c>
      <c r="N7" s="89">
        <f>MFResWX!N26/MFResWX!K26</f>
        <v>0.5407568293355867</v>
      </c>
      <c r="O7" s="89">
        <f>MFResWX!O26/MFResWX!$K26</f>
        <v>0</v>
      </c>
      <c r="P7" s="89">
        <f>MFResWX!P26/MFResWX!$K26</f>
        <v>0</v>
      </c>
      <c r="Q7" s="89">
        <f>MFResWX!Q26/MFResWX!$K26</f>
        <v>0.5407568568468734</v>
      </c>
      <c r="R7" s="84">
        <f>MFResWX!S26/MFResWX!K26</f>
        <v>0.42092979011151527</v>
      </c>
      <c r="S7" s="84">
        <f>MFResWX!T26/MFResWX!$K26</f>
        <v>0.0120615377521076</v>
      </c>
      <c r="T7" s="84">
        <f>MFResWX!U26/MFResWX!$K26</f>
        <v>0.06238757143886161</v>
      </c>
      <c r="U7" s="84">
        <f>SUM(R7:T7)</f>
        <v>0.49537889930248447</v>
      </c>
      <c r="V7" s="84">
        <f>U7-Q7</f>
        <v>-0.04537795754438889</v>
      </c>
      <c r="W7" s="85">
        <f>U7/Q7</f>
        <v>0.9160843603371291</v>
      </c>
      <c r="X7" s="85">
        <f>MFResWX!I26</f>
        <v>0.21</v>
      </c>
      <c r="Y7" s="90">
        <f>MFResWX!M26</f>
        <v>0.5958706736564636</v>
      </c>
      <c r="Z7" s="85">
        <f>MFResWX!Y26/MFResWX!K26</f>
        <v>0.2005243127243117</v>
      </c>
      <c r="AA7" s="84" t="s">
        <v>157</v>
      </c>
      <c r="AB7" s="91" t="s">
        <v>158</v>
      </c>
      <c r="AC7" s="84">
        <f>MFResWX!Z26/MFResWX!$K26</f>
        <v>0</v>
      </c>
      <c r="AD7" s="84">
        <f>MFResWX!AA26/MFResWX!$K26</f>
        <v>0</v>
      </c>
      <c r="AE7" s="84">
        <f>MFResWX!AC26/MFResWX!$K26</f>
        <v>0.5407568568468734</v>
      </c>
      <c r="AF7" s="84">
        <f>MFResWX!AB26/MFResWX!$K26</f>
        <v>0.6953562492039788</v>
      </c>
      <c r="AG7" s="84">
        <f>AF7-AE7</f>
        <v>0.1545993923571054</v>
      </c>
      <c r="AH7" s="85">
        <f>AF7/AE7</f>
        <v>1.2858944651364512</v>
      </c>
      <c r="AI7" s="96" t="s">
        <v>221</v>
      </c>
      <c r="AJ7" s="96" t="s">
        <v>159</v>
      </c>
      <c r="AK7" s="440">
        <f>VLOOKUP(A7,MFResWX!$B$23:$R$26,17,0)</f>
        <v>29.318488630943907</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X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45</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154</v>
      </c>
      <c r="E8" s="31" t="b">
        <v>0</v>
      </c>
      <c r="F8" s="16"/>
      <c r="G8" s="5"/>
      <c r="H8" s="5"/>
      <c r="I8"/>
      <c r="J8"/>
      <c r="K8"/>
    </row>
    <row r="9" spans="1:11" ht="15" customHeight="1">
      <c r="A9" s="17" t="s">
        <v>24</v>
      </c>
      <c r="B9" s="21">
        <v>1</v>
      </c>
      <c r="C9" s="4"/>
      <c r="D9" s="92" t="s">
        <v>216</v>
      </c>
      <c r="E9" s="31" t="b">
        <v>1</v>
      </c>
      <c r="F9"/>
      <c r="G9" s="5"/>
      <c r="H9" s="5"/>
      <c r="I9"/>
      <c r="J9"/>
      <c r="K9"/>
    </row>
    <row r="10" spans="1:10" ht="15" customHeight="1">
      <c r="A10" s="17" t="s">
        <v>25</v>
      </c>
      <c r="B10" s="21">
        <v>0</v>
      </c>
      <c r="C10" s="4"/>
      <c r="D10" s="30" t="s">
        <v>217</v>
      </c>
      <c r="E10" s="32" t="b">
        <v>1</v>
      </c>
      <c r="F10" s="8"/>
      <c r="G10" s="9"/>
      <c r="H10" s="5"/>
      <c r="I10"/>
      <c r="J10"/>
    </row>
    <row r="11" spans="1:24" s="10" customFormat="1" ht="15" customHeight="1">
      <c r="A11" s="87" t="s">
        <v>26</v>
      </c>
      <c r="B11" s="21">
        <v>0</v>
      </c>
      <c r="C11" s="4"/>
      <c r="D11" s="30" t="s">
        <v>228</v>
      </c>
      <c r="E11" s="32" t="b">
        <v>1</v>
      </c>
      <c r="F11" s="5"/>
      <c r="G11" s="5"/>
      <c r="H11" s="5"/>
      <c r="I11"/>
      <c r="J11"/>
      <c r="K11" s="3"/>
      <c r="M11" s="3"/>
      <c r="N11" s="3"/>
      <c r="O11" s="3"/>
      <c r="P11" s="3"/>
      <c r="Q11" s="3"/>
      <c r="R11" s="3"/>
      <c r="S11" s="3"/>
      <c r="T11" s="3"/>
      <c r="U11" s="3"/>
      <c r="V11" s="3"/>
      <c r="W11" s="3"/>
      <c r="X11" s="3"/>
    </row>
    <row r="12" spans="1:10" ht="15" customHeight="1">
      <c r="A12" s="17" t="s">
        <v>27</v>
      </c>
      <c r="B12" s="18">
        <v>45</v>
      </c>
      <c r="C12" s="4"/>
      <c r="D12" s="30" t="s">
        <v>219</v>
      </c>
      <c r="E12" s="32" t="b">
        <v>0</v>
      </c>
      <c r="F12" s="4"/>
      <c r="G12" s="5"/>
      <c r="H12" s="5"/>
      <c r="I12"/>
      <c r="J12" s="11"/>
    </row>
    <row r="13" spans="1:9" ht="15" customHeight="1">
      <c r="A13" s="34" t="s">
        <v>29</v>
      </c>
      <c r="B13" s="20">
        <v>0.025</v>
      </c>
      <c r="C13" s="4"/>
      <c r="D13" s="17" t="s">
        <v>218</v>
      </c>
      <c r="E13" s="33" t="b">
        <v>0</v>
      </c>
      <c r="F13" s="4"/>
      <c r="G13" s="5"/>
      <c r="H13" s="5"/>
      <c r="I13"/>
    </row>
    <row r="14" spans="1:9" ht="15" customHeight="1">
      <c r="A14" s="34" t="s">
        <v>28</v>
      </c>
      <c r="B14" s="22">
        <v>3</v>
      </c>
      <c r="C14" s="4"/>
      <c r="D14" s="17" t="s">
        <v>220</v>
      </c>
      <c r="E14" s="33" t="b">
        <v>0</v>
      </c>
      <c r="F14" s="5"/>
      <c r="G14" s="5"/>
      <c r="H14" s="5"/>
      <c r="I14"/>
    </row>
    <row r="15" spans="1:9" ht="14.25">
      <c r="A15" s="34" t="s">
        <v>30</v>
      </c>
      <c r="B15" s="20">
        <v>0.05</v>
      </c>
      <c r="C15" s="4"/>
      <c r="D15" s="17"/>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446" t="s">
        <v>319</v>
      </c>
      <c r="C21" s="447"/>
      <c r="D21" s="448"/>
      <c r="E21" s="12"/>
      <c r="F21" s="5"/>
      <c r="G21" s="5"/>
      <c r="H21" s="14"/>
      <c r="I21" s="5"/>
    </row>
    <row r="22" spans="1:9" ht="14.25">
      <c r="A22" s="34" t="s">
        <v>0</v>
      </c>
      <c r="B22" s="7" t="s">
        <v>257</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21"/>
  <sheetViews>
    <sheetView workbookViewId="0" topLeftCell="U1">
      <selection activeCell="K41" sqref="K41"/>
    </sheetView>
  </sheetViews>
  <sheetFormatPr defaultColWidth="9.140625" defaultRowHeight="12.75"/>
  <cols>
    <col min="1" max="1" width="122.8515625" style="37" customWidth="1"/>
    <col min="2" max="2" width="118.28125" style="37" customWidth="1"/>
    <col min="3" max="3" width="8.8515625" style="37" customWidth="1"/>
    <col min="4" max="4" width="8.57421875" style="37" customWidth="1"/>
    <col min="5" max="5" width="8.421875" style="37" customWidth="1"/>
    <col min="6" max="6" width="9.00390625" style="37" customWidth="1"/>
    <col min="7" max="7" width="10.851562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8515625" style="37" customWidth="1"/>
  </cols>
  <sheetData>
    <row r="1" ht="14.25">
      <c r="A1" s="36" t="s">
        <v>127</v>
      </c>
    </row>
    <row r="2" ht="12.75">
      <c r="A2" s="37" t="s">
        <v>160</v>
      </c>
    </row>
    <row r="4" spans="1:23" ht="12.75">
      <c r="A4" s="40" t="s">
        <v>32</v>
      </c>
      <c r="B4" s="41"/>
      <c r="C4" s="42"/>
      <c r="D4" s="42"/>
      <c r="E4" s="42"/>
      <c r="F4" s="42"/>
      <c r="G4" s="42"/>
      <c r="H4" s="43"/>
      <c r="I4" s="44" t="s">
        <v>33</v>
      </c>
      <c r="J4" s="45"/>
      <c r="K4" s="45"/>
      <c r="L4" s="45"/>
      <c r="M4" s="45"/>
      <c r="N4" s="45"/>
      <c r="O4"/>
      <c r="P4"/>
      <c r="Q4"/>
      <c r="R4"/>
      <c r="S4"/>
      <c r="T4"/>
      <c r="U4"/>
      <c r="V4"/>
      <c r="W4"/>
    </row>
    <row r="5" spans="1:25" s="97" customFormat="1" ht="26.25" customHeight="1">
      <c r="A5" s="46" t="s">
        <v>34</v>
      </c>
      <c r="B5" s="46" t="s">
        <v>35</v>
      </c>
      <c r="C5" s="46" t="s">
        <v>161</v>
      </c>
      <c r="D5" s="46" t="s">
        <v>162</v>
      </c>
      <c r="E5" s="46" t="s">
        <v>36</v>
      </c>
      <c r="F5" s="46" t="s">
        <v>37</v>
      </c>
      <c r="G5" s="47" t="s">
        <v>38</v>
      </c>
      <c r="H5" s="47" t="s">
        <v>163</v>
      </c>
      <c r="I5" s="47" t="s">
        <v>39</v>
      </c>
      <c r="J5" s="47" t="s">
        <v>40</v>
      </c>
      <c r="K5" s="47" t="s">
        <v>41</v>
      </c>
      <c r="L5" s="47" t="s">
        <v>42</v>
      </c>
      <c r="M5" s="47" t="s">
        <v>43</v>
      </c>
      <c r="N5" s="47" t="s">
        <v>44</v>
      </c>
      <c r="O5"/>
      <c r="P5"/>
      <c r="Q5"/>
      <c r="R5"/>
      <c r="S5"/>
      <c r="T5"/>
      <c r="U5"/>
      <c r="V5"/>
      <c r="W5"/>
      <c r="X5"/>
      <c r="Y5"/>
    </row>
    <row r="6" spans="1:23" ht="12.75">
      <c r="A6" s="116" t="str">
        <f>B6</f>
        <v>Multifamily Weatherization - Heating Zone 1</v>
      </c>
      <c r="B6" s="116" t="s">
        <v>265</v>
      </c>
      <c r="C6" s="320">
        <f>IF('Cost-Effectiveness Level'!$AE$16=1,'Cost-Effectiveness Level'!Q21,'Cost-Effectiveness Level'!Q35)</f>
        <v>1018.5028908874243</v>
      </c>
      <c r="D6" s="321">
        <v>45</v>
      </c>
      <c r="E6" s="415">
        <f>IF('Cost-Effectiveness Level'!AE$16=1,'Cost-Effectiveness Level'!R21,'Cost-Effectiveness Level'!R35)</f>
        <v>592.7579418900344</v>
      </c>
      <c r="F6" s="322">
        <v>0</v>
      </c>
      <c r="G6" s="323" t="s">
        <v>164</v>
      </c>
      <c r="H6" s="116"/>
      <c r="I6" s="116"/>
      <c r="J6" s="116"/>
      <c r="K6" s="116"/>
      <c r="L6" s="116"/>
      <c r="M6" s="116"/>
      <c r="N6" s="116"/>
      <c r="O6"/>
      <c r="P6"/>
      <c r="Q6"/>
      <c r="R6"/>
      <c r="S6"/>
      <c r="T6"/>
      <c r="U6"/>
      <c r="V6"/>
      <c r="W6"/>
    </row>
    <row r="7" spans="1:23" ht="12.75">
      <c r="A7" s="116" t="str">
        <f>B7</f>
        <v>Multifamily Weatherization - Heating Zone 2</v>
      </c>
      <c r="B7" s="116" t="s">
        <v>266</v>
      </c>
      <c r="C7" s="320">
        <f>IF('Cost-Effectiveness Level'!$AE$16=1,'Cost-Effectiveness Level'!Q22,'Cost-Effectiveness Level'!Q36)</f>
        <v>1350.9995674162167</v>
      </c>
      <c r="D7" s="321">
        <v>45</v>
      </c>
      <c r="E7" s="415">
        <f>IF('Cost-Effectiveness Level'!AE$16=1,'Cost-Effectiveness Level'!R22,'Cost-Effectiveness Level'!R36)</f>
        <v>592.7579418900344</v>
      </c>
      <c r="F7" s="322">
        <v>0</v>
      </c>
      <c r="G7" s="323" t="s">
        <v>164</v>
      </c>
      <c r="H7" s="116"/>
      <c r="I7" s="116"/>
      <c r="J7" s="116"/>
      <c r="K7" s="116"/>
      <c r="L7" s="116"/>
      <c r="M7" s="116"/>
      <c r="N7" s="116"/>
      <c r="O7"/>
      <c r="P7"/>
      <c r="Q7"/>
      <c r="R7"/>
      <c r="S7"/>
      <c r="T7"/>
      <c r="U7"/>
      <c r="V7"/>
      <c r="W7"/>
    </row>
    <row r="8" spans="1:23" ht="12.75">
      <c r="A8" s="116" t="str">
        <f>B8</f>
        <v>Multifamily Weatherization - Heating Zone 3</v>
      </c>
      <c r="B8" s="116" t="s">
        <v>267</v>
      </c>
      <c r="C8" s="320">
        <f>IF('Cost-Effectiveness Level'!$AE$16=1,'Cost-Effectiveness Level'!Q23,'Cost-Effectiveness Level'!Q37)</f>
        <v>1588.6530171686125</v>
      </c>
      <c r="D8" s="321">
        <v>45</v>
      </c>
      <c r="E8" s="415">
        <f>IF('Cost-Effectiveness Level'!AE$16=1,'Cost-Effectiveness Level'!R23,'Cost-Effectiveness Level'!R37)</f>
        <v>592.7579418900344</v>
      </c>
      <c r="F8" s="322">
        <v>0</v>
      </c>
      <c r="G8" s="323" t="s">
        <v>164</v>
      </c>
      <c r="H8" s="116"/>
      <c r="I8" s="116"/>
      <c r="J8" s="116"/>
      <c r="K8" s="116"/>
      <c r="L8" s="116"/>
      <c r="M8" s="116"/>
      <c r="N8" s="116"/>
      <c r="O8"/>
      <c r="P8"/>
      <c r="Q8"/>
      <c r="R8"/>
      <c r="S8"/>
      <c r="T8"/>
      <c r="U8"/>
      <c r="V8"/>
      <c r="W8"/>
    </row>
    <row r="9" spans="1:41" ht="12.75" customHeight="1">
      <c r="A9" s="116" t="str">
        <f>B9</f>
        <v>Multifamily Weatherization - PNW Average Climate</v>
      </c>
      <c r="B9" s="116" t="s">
        <v>268</v>
      </c>
      <c r="C9" s="320">
        <f>IF('Cost-Effectiveness Level'!$AE$16=1,'Cost-Effectiveness Level'!Q24,'Cost-Effectiveness Level'!Q38)</f>
        <v>1115.7622034236422</v>
      </c>
      <c r="D9" s="321">
        <v>45</v>
      </c>
      <c r="E9" s="415">
        <f>IF('Cost-Effectiveness Level'!AE$16=1,'Cost-Effectiveness Level'!R24,'Cost-Effectiveness Level'!R38)</f>
        <v>592.7579418900344</v>
      </c>
      <c r="F9" s="322">
        <v>0</v>
      </c>
      <c r="G9" s="323" t="s">
        <v>164</v>
      </c>
      <c r="H9" s="116"/>
      <c r="I9" s="116"/>
      <c r="J9" s="116"/>
      <c r="K9" s="116"/>
      <c r="L9" s="116"/>
      <c r="M9" s="116"/>
      <c r="N9" s="116"/>
      <c r="O9"/>
      <c r="P9"/>
      <c r="Q9"/>
      <c r="R9"/>
      <c r="S9"/>
      <c r="T9"/>
      <c r="U9"/>
      <c r="V9"/>
      <c r="W9"/>
      <c r="Z9"/>
      <c r="AA9"/>
      <c r="AB9"/>
      <c r="AC9"/>
      <c r="AD9"/>
      <c r="AE9"/>
      <c r="AF9"/>
      <c r="AG9"/>
      <c r="AH9"/>
      <c r="AI9"/>
      <c r="AJ9"/>
      <c r="AK9"/>
      <c r="AL9"/>
      <c r="AM9"/>
      <c r="AN9"/>
      <c r="AO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320</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128</v>
      </c>
      <c r="B13" s="53"/>
      <c r="C13" s="54" t="s">
        <v>78</v>
      </c>
      <c r="D13" s="56"/>
      <c r="E13" s="56"/>
      <c r="F13" s="56"/>
      <c r="G13" s="56"/>
      <c r="H13" s="56"/>
      <c r="I13" s="56"/>
      <c r="J13" s="55"/>
      <c r="K13" s="54" t="s">
        <v>45</v>
      </c>
      <c r="L13" s="56"/>
      <c r="M13" s="55"/>
      <c r="N13" s="54" t="s">
        <v>46</v>
      </c>
      <c r="O13" s="56"/>
      <c r="P13" s="56"/>
      <c r="Q13" s="55"/>
      <c r="R13" s="54" t="s">
        <v>47</v>
      </c>
      <c r="S13" s="55"/>
      <c r="T13" s="54" t="s">
        <v>48</v>
      </c>
      <c r="U13" s="56"/>
      <c r="V13" s="56"/>
      <c r="W13" s="56"/>
      <c r="X13" s="55"/>
      <c r="Y13" s="54" t="s">
        <v>49</v>
      </c>
      <c r="Z13" s="56"/>
      <c r="AA13" s="56"/>
      <c r="AB13" s="56"/>
      <c r="AC13" s="55"/>
      <c r="AD13" s="54" t="s">
        <v>79</v>
      </c>
      <c r="AE13" s="56"/>
      <c r="AF13" s="56"/>
      <c r="AG13" s="56"/>
      <c r="AH13" s="56"/>
      <c r="AI13" s="55"/>
      <c r="AJ13" s="54" t="s">
        <v>80</v>
      </c>
      <c r="AK13" s="56"/>
      <c r="AL13" s="56"/>
      <c r="AM13" s="56"/>
      <c r="AN13" s="56"/>
      <c r="AO13" s="55"/>
    </row>
    <row r="14" spans="1:41" ht="51">
      <c r="A14" s="57" t="s">
        <v>51</v>
      </c>
      <c r="B14" s="58" t="s">
        <v>52</v>
      </c>
      <c r="C14" s="59" t="s">
        <v>81</v>
      </c>
      <c r="D14" s="59" t="s">
        <v>82</v>
      </c>
      <c r="E14" s="59" t="s">
        <v>83</v>
      </c>
      <c r="F14" s="59" t="s">
        <v>84</v>
      </c>
      <c r="G14" s="59" t="s">
        <v>147</v>
      </c>
      <c r="H14" s="59" t="s">
        <v>86</v>
      </c>
      <c r="I14" s="59" t="s">
        <v>87</v>
      </c>
      <c r="J14" s="59" t="s">
        <v>88</v>
      </c>
      <c r="K14" s="59" t="s">
        <v>89</v>
      </c>
      <c r="L14" s="59" t="s">
        <v>90</v>
      </c>
      <c r="M14" s="59" t="s">
        <v>91</v>
      </c>
      <c r="N14" s="59" t="s">
        <v>20</v>
      </c>
      <c r="O14" s="59" t="s">
        <v>21</v>
      </c>
      <c r="P14" s="59" t="s">
        <v>22</v>
      </c>
      <c r="Q14" s="59" t="s">
        <v>4</v>
      </c>
      <c r="R14" s="59" t="s">
        <v>53</v>
      </c>
      <c r="S14" s="59" t="s">
        <v>4</v>
      </c>
      <c r="T14" s="59" t="s">
        <v>20</v>
      </c>
      <c r="U14" s="59" t="s">
        <v>21</v>
      </c>
      <c r="V14" s="59" t="s">
        <v>22</v>
      </c>
      <c r="W14" s="59" t="s">
        <v>4</v>
      </c>
      <c r="X14" s="59" t="s">
        <v>57</v>
      </c>
      <c r="Y14" s="59" t="s">
        <v>20</v>
      </c>
      <c r="Z14" s="59" t="s">
        <v>21</v>
      </c>
      <c r="AA14" s="59" t="s">
        <v>22</v>
      </c>
      <c r="AB14" s="59" t="s">
        <v>4</v>
      </c>
      <c r="AC14" s="59" t="s">
        <v>57</v>
      </c>
      <c r="AD14" s="59" t="s">
        <v>92</v>
      </c>
      <c r="AE14" s="59" t="s">
        <v>93</v>
      </c>
      <c r="AF14" s="59" t="s">
        <v>56</v>
      </c>
      <c r="AG14" s="59" t="s">
        <v>94</v>
      </c>
      <c r="AH14" s="59" t="s">
        <v>95</v>
      </c>
      <c r="AI14" s="59" t="s">
        <v>96</v>
      </c>
      <c r="AJ14" s="59" t="s">
        <v>97</v>
      </c>
      <c r="AK14" s="59" t="s">
        <v>54</v>
      </c>
      <c r="AL14" s="59" t="s">
        <v>55</v>
      </c>
      <c r="AM14" s="59" t="s">
        <v>98</v>
      </c>
      <c r="AN14" s="59" t="s">
        <v>99</v>
      </c>
      <c r="AO14" s="59" t="s">
        <v>100</v>
      </c>
    </row>
    <row r="15" spans="1:41" ht="12.75" customHeight="1">
      <c r="A15" t="s">
        <v>265</v>
      </c>
      <c r="B15" t="s">
        <v>265</v>
      </c>
      <c r="C15" s="49">
        <v>45</v>
      </c>
      <c r="D15" s="49">
        <v>1018.5028908874243</v>
      </c>
      <c r="E15" s="49">
        <v>592.76</v>
      </c>
      <c r="F15" s="49">
        <v>0</v>
      </c>
      <c r="G15" s="49">
        <v>0</v>
      </c>
      <c r="H15" s="49" t="s">
        <v>164</v>
      </c>
      <c r="I15" s="49">
        <v>0.21</v>
      </c>
      <c r="J15" s="49">
        <v>0.4009999930858612</v>
      </c>
      <c r="K15" s="49">
        <v>1096.1637363175903</v>
      </c>
      <c r="L15" s="60">
        <v>0.23894414583840265</v>
      </c>
      <c r="M15" s="49">
        <v>0.5958706981504622</v>
      </c>
      <c r="N15" s="49"/>
      <c r="O15" s="49"/>
      <c r="P15" s="49">
        <v>592.7580264837502</v>
      </c>
      <c r="Q15" s="49">
        <v>0</v>
      </c>
      <c r="R15" s="49">
        <v>0</v>
      </c>
      <c r="S15" s="49">
        <v>0</v>
      </c>
      <c r="T15" s="49">
        <v>0</v>
      </c>
      <c r="U15" s="49">
        <v>0</v>
      </c>
      <c r="V15" s="49">
        <v>592.7580264837502</v>
      </c>
      <c r="W15" s="49">
        <v>0</v>
      </c>
      <c r="X15" s="49">
        <v>592.7580264837502</v>
      </c>
      <c r="Y15" s="49">
        <v>0</v>
      </c>
      <c r="Z15" s="49">
        <v>0</v>
      </c>
      <c r="AA15" s="49">
        <v>29.3184871673584</v>
      </c>
      <c r="AB15" s="49">
        <v>0</v>
      </c>
      <c r="AC15" s="49">
        <v>29.318486849539187</v>
      </c>
      <c r="AD15" s="49">
        <v>461.40797145601766</v>
      </c>
      <c r="AE15" s="49">
        <v>13.221420324253238</v>
      </c>
      <c r="AF15" s="49">
        <v>68.38699340820312</v>
      </c>
      <c r="AG15" s="49">
        <v>542.4168456696583</v>
      </c>
      <c r="AH15" s="49">
        <v>592.7580264837502</v>
      </c>
      <c r="AI15" s="69">
        <v>0.9150729664299672</v>
      </c>
      <c r="AJ15" s="49">
        <v>219.80747985839844</v>
      </c>
      <c r="AK15" s="49">
        <v>0</v>
      </c>
      <c r="AL15" s="49">
        <v>0</v>
      </c>
      <c r="AM15" s="49">
        <v>762.2243041992188</v>
      </c>
      <c r="AN15" s="49">
        <v>592.7580264837502</v>
      </c>
      <c r="AO15" s="48">
        <v>1.285894513130188</v>
      </c>
    </row>
    <row r="16" spans="1:41" ht="12.75" customHeight="1">
      <c r="A16" t="s">
        <v>266</v>
      </c>
      <c r="B16" t="s">
        <v>266</v>
      </c>
      <c r="C16" s="49">
        <v>45</v>
      </c>
      <c r="D16" s="49">
        <v>1350.9995674162167</v>
      </c>
      <c r="E16" s="49">
        <v>592.76</v>
      </c>
      <c r="F16" s="49">
        <v>0</v>
      </c>
      <c r="G16" s="49">
        <v>0</v>
      </c>
      <c r="H16" s="49" t="s">
        <v>164</v>
      </c>
      <c r="I16" s="49">
        <v>0.21</v>
      </c>
      <c r="J16" s="49">
        <v>0.4009999930858612</v>
      </c>
      <c r="K16" s="49">
        <v>1454.0132844317031</v>
      </c>
      <c r="L16" s="60">
        <v>0.31694896553808616</v>
      </c>
      <c r="M16" s="49">
        <v>0.790396436416451</v>
      </c>
      <c r="N16" s="49"/>
      <c r="O16" s="49"/>
      <c r="P16" s="49">
        <v>592.7580264837502</v>
      </c>
      <c r="Q16" s="49">
        <v>0</v>
      </c>
      <c r="R16" s="49">
        <v>0</v>
      </c>
      <c r="S16" s="49">
        <v>0</v>
      </c>
      <c r="T16" s="49">
        <v>0</v>
      </c>
      <c r="U16" s="49">
        <v>0</v>
      </c>
      <c r="V16" s="49">
        <v>592.7580264837502</v>
      </c>
      <c r="W16" s="49">
        <v>0</v>
      </c>
      <c r="X16" s="49">
        <v>592.7580264837502</v>
      </c>
      <c r="Y16" s="49">
        <v>0</v>
      </c>
      <c r="Z16" s="49">
        <v>0</v>
      </c>
      <c r="AA16" s="49">
        <v>22.102867126464844</v>
      </c>
      <c r="AB16" s="49">
        <v>0</v>
      </c>
      <c r="AC16" s="49">
        <v>22.102866894183848</v>
      </c>
      <c r="AD16" s="49">
        <v>612.0375066351916</v>
      </c>
      <c r="AE16" s="49">
        <v>17.537636170213293</v>
      </c>
      <c r="AF16" s="49">
        <v>90.71235656738281</v>
      </c>
      <c r="AG16" s="49">
        <v>719.4922364061177</v>
      </c>
      <c r="AH16" s="49">
        <v>592.7580264837502</v>
      </c>
      <c r="AI16" s="48">
        <v>1.213804291565914</v>
      </c>
      <c r="AJ16" s="49">
        <v>291.5650634765625</v>
      </c>
      <c r="AK16" s="49">
        <v>0</v>
      </c>
      <c r="AL16" s="49">
        <v>0</v>
      </c>
      <c r="AM16" s="49">
        <v>1011.0573120117188</v>
      </c>
      <c r="AN16" s="49">
        <v>592.7580264837502</v>
      </c>
      <c r="AO16" s="48">
        <v>1.7056829929351807</v>
      </c>
    </row>
    <row r="17" spans="1:41" ht="12.75" customHeight="1">
      <c r="A17" t="s">
        <v>267</v>
      </c>
      <c r="B17" t="s">
        <v>267</v>
      </c>
      <c r="C17" s="49">
        <v>45</v>
      </c>
      <c r="D17" s="49">
        <v>1588.6530171686125</v>
      </c>
      <c r="E17" s="49">
        <v>592.76</v>
      </c>
      <c r="F17" s="49">
        <v>0</v>
      </c>
      <c r="G17" s="49">
        <v>0</v>
      </c>
      <c r="H17" s="49" t="s">
        <v>164</v>
      </c>
      <c r="I17" s="49">
        <v>0.21</v>
      </c>
      <c r="J17" s="49">
        <v>0.4009999930858612</v>
      </c>
      <c r="K17" s="49">
        <v>1709.787809727719</v>
      </c>
      <c r="L17" s="60">
        <v>0.37270325064095733</v>
      </c>
      <c r="M17" s="49">
        <v>0.9294345562772989</v>
      </c>
      <c r="N17" s="49"/>
      <c r="O17" s="49"/>
      <c r="P17" s="49">
        <v>592.7580264837502</v>
      </c>
      <c r="Q17" s="49">
        <v>0</v>
      </c>
      <c r="R17" s="49">
        <v>0</v>
      </c>
      <c r="S17" s="49">
        <v>0</v>
      </c>
      <c r="T17" s="49">
        <v>0</v>
      </c>
      <c r="U17" s="49">
        <v>0</v>
      </c>
      <c r="V17" s="49">
        <v>592.7580264837502</v>
      </c>
      <c r="W17" s="49">
        <v>0</v>
      </c>
      <c r="X17" s="49">
        <v>592.7580264837502</v>
      </c>
      <c r="Y17" s="49">
        <v>0</v>
      </c>
      <c r="Z17" s="49">
        <v>0</v>
      </c>
      <c r="AA17" s="49">
        <v>18.796403884887695</v>
      </c>
      <c r="AB17" s="49">
        <v>0</v>
      </c>
      <c r="AC17" s="49">
        <v>18.796403802461846</v>
      </c>
      <c r="AD17" s="49">
        <v>719.7006238839168</v>
      </c>
      <c r="AE17" s="49">
        <v>20.62267027153772</v>
      </c>
      <c r="AF17" s="49">
        <v>106.66951751708984</v>
      </c>
      <c r="AG17" s="49">
        <v>846.0576545178617</v>
      </c>
      <c r="AH17" s="49">
        <v>592.7580264837502</v>
      </c>
      <c r="AI17" s="48">
        <v>1.4273238264468366</v>
      </c>
      <c r="AJ17" s="49">
        <v>342.8540954589844</v>
      </c>
      <c r="AK17" s="49">
        <v>0</v>
      </c>
      <c r="AL17" s="49">
        <v>0</v>
      </c>
      <c r="AM17" s="49">
        <v>1188.9117431640625</v>
      </c>
      <c r="AN17" s="49">
        <v>592.7580264837502</v>
      </c>
      <c r="AO17" s="48">
        <v>2.0057287216186523</v>
      </c>
    </row>
    <row r="18" spans="1:41" ht="12.75" customHeight="1">
      <c r="A18" t="s">
        <v>268</v>
      </c>
      <c r="B18" t="s">
        <v>268</v>
      </c>
      <c r="C18" s="49">
        <v>45</v>
      </c>
      <c r="D18" s="49">
        <v>1115.7622034236422</v>
      </c>
      <c r="E18" s="49">
        <v>592.76</v>
      </c>
      <c r="F18" s="49">
        <v>0</v>
      </c>
      <c r="G18" s="49">
        <v>0</v>
      </c>
      <c r="H18" s="49" t="s">
        <v>164</v>
      </c>
      <c r="I18" s="49">
        <v>0.21</v>
      </c>
      <c r="J18" s="49">
        <v>0.4009999930858612</v>
      </c>
      <c r="K18" s="49">
        <v>1200.8390714346947</v>
      </c>
      <c r="L18" s="60">
        <v>0.2617615021431532</v>
      </c>
      <c r="M18" s="49">
        <v>0.652771837048649</v>
      </c>
      <c r="N18" s="49"/>
      <c r="O18" s="49"/>
      <c r="P18" s="49">
        <v>592.7580264837502</v>
      </c>
      <c r="Q18" s="49">
        <v>0</v>
      </c>
      <c r="R18" s="49">
        <v>0</v>
      </c>
      <c r="S18" s="49">
        <v>0</v>
      </c>
      <c r="T18" s="49">
        <v>0</v>
      </c>
      <c r="U18" s="49">
        <v>0</v>
      </c>
      <c r="V18" s="49">
        <v>592.7580264837502</v>
      </c>
      <c r="W18" s="49">
        <v>0</v>
      </c>
      <c r="X18" s="49">
        <v>592.7580264837502</v>
      </c>
      <c r="Y18" s="49">
        <v>0</v>
      </c>
      <c r="Z18" s="49">
        <v>0</v>
      </c>
      <c r="AA18" s="49">
        <v>26.76283836364746</v>
      </c>
      <c r="AB18" s="49">
        <v>0</v>
      </c>
      <c r="AC18" s="49">
        <v>26.762838462419868</v>
      </c>
      <c r="AD18" s="49">
        <v>505.46893829671194</v>
      </c>
      <c r="AE18" s="49">
        <v>14.48396583393641</v>
      </c>
      <c r="AF18" s="49">
        <v>74.91742706298828</v>
      </c>
      <c r="AG18" s="49">
        <v>594.2135401913347</v>
      </c>
      <c r="AH18" s="49">
        <v>592.7580264837502</v>
      </c>
      <c r="AI18" s="48">
        <v>1.0024554938820798</v>
      </c>
      <c r="AJ18" s="49">
        <v>240.7974090576172</v>
      </c>
      <c r="AK18" s="49">
        <v>0</v>
      </c>
      <c r="AL18" s="49">
        <v>0</v>
      </c>
      <c r="AM18" s="49">
        <v>835.0109252929688</v>
      </c>
      <c r="AN18" s="49">
        <v>592.7580264837502</v>
      </c>
      <c r="AO18" s="48">
        <v>1.408687710762024</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129</v>
      </c>
      <c r="B21" s="71"/>
      <c r="C21" s="72" t="s">
        <v>101</v>
      </c>
      <c r="D21" s="63"/>
      <c r="E21" s="63"/>
      <c r="F21" s="63"/>
      <c r="G21" s="63"/>
      <c r="H21" s="63"/>
      <c r="I21" s="63"/>
      <c r="J21" s="64"/>
      <c r="K21" s="72" t="s">
        <v>45</v>
      </c>
      <c r="L21" s="63"/>
      <c r="M21" s="64"/>
      <c r="N21" s="72" t="s">
        <v>102</v>
      </c>
      <c r="O21" s="63"/>
      <c r="P21" s="63"/>
      <c r="Q21" s="63"/>
      <c r="R21" s="73" t="s">
        <v>103</v>
      </c>
      <c r="S21" s="72" t="s">
        <v>79</v>
      </c>
      <c r="T21" s="63"/>
      <c r="U21" s="63"/>
      <c r="V21" s="63"/>
      <c r="W21" s="63"/>
      <c r="X21" s="64"/>
      <c r="Y21" s="72" t="s">
        <v>80</v>
      </c>
      <c r="Z21" s="63"/>
      <c r="AA21" s="63"/>
      <c r="AB21" s="63"/>
      <c r="AC21" s="63"/>
      <c r="AD21" s="64"/>
      <c r="AE21" s="49"/>
      <c r="AF21" s="49"/>
      <c r="AG21" s="49"/>
      <c r="AH21" s="49"/>
      <c r="AI21" s="49"/>
      <c r="AJ21" s="49"/>
      <c r="AK21" s="49"/>
      <c r="AL21" s="49"/>
      <c r="AM21" s="49"/>
      <c r="AN21" s="49"/>
      <c r="AO21" s="49"/>
    </row>
    <row r="22" spans="1:41" ht="51">
      <c r="A22" s="57"/>
      <c r="B22" s="58" t="s">
        <v>51</v>
      </c>
      <c r="C22" s="59" t="s">
        <v>104</v>
      </c>
      <c r="D22" s="59" t="s">
        <v>82</v>
      </c>
      <c r="E22" s="59" t="s">
        <v>83</v>
      </c>
      <c r="F22" s="59" t="s">
        <v>84</v>
      </c>
      <c r="G22" s="59" t="s">
        <v>85</v>
      </c>
      <c r="H22" s="59" t="s">
        <v>86</v>
      </c>
      <c r="I22" s="59" t="s">
        <v>105</v>
      </c>
      <c r="J22" s="59" t="s">
        <v>106</v>
      </c>
      <c r="K22" s="59" t="s">
        <v>89</v>
      </c>
      <c r="L22" s="59" t="s">
        <v>90</v>
      </c>
      <c r="M22" s="59" t="s">
        <v>91</v>
      </c>
      <c r="N22" s="59" t="s">
        <v>46</v>
      </c>
      <c r="O22" s="59" t="s">
        <v>107</v>
      </c>
      <c r="P22" s="59" t="s">
        <v>108</v>
      </c>
      <c r="Q22" s="59" t="s">
        <v>109</v>
      </c>
      <c r="R22" s="59" t="s">
        <v>110</v>
      </c>
      <c r="S22" s="59" t="s">
        <v>92</v>
      </c>
      <c r="T22" s="59" t="s">
        <v>93</v>
      </c>
      <c r="U22" s="59" t="s">
        <v>56</v>
      </c>
      <c r="V22" s="59" t="s">
        <v>94</v>
      </c>
      <c r="W22" s="59" t="s">
        <v>95</v>
      </c>
      <c r="X22" s="59" t="s">
        <v>96</v>
      </c>
      <c r="Y22" s="59" t="s">
        <v>97</v>
      </c>
      <c r="Z22" s="59" t="s">
        <v>54</v>
      </c>
      <c r="AA22" s="59" t="s">
        <v>55</v>
      </c>
      <c r="AB22" s="59" t="s">
        <v>98</v>
      </c>
      <c r="AC22" s="59" t="s">
        <v>99</v>
      </c>
      <c r="AD22" s="59" t="s">
        <v>100</v>
      </c>
      <c r="AE22" s="49"/>
      <c r="AF22" s="49"/>
      <c r="AG22" s="49"/>
      <c r="AH22" s="49"/>
      <c r="AI22" s="49"/>
      <c r="AJ22" s="49"/>
      <c r="AK22" s="49"/>
      <c r="AL22" s="49"/>
      <c r="AM22" s="49"/>
      <c r="AN22" s="49"/>
      <c r="AO22" s="49"/>
    </row>
    <row r="23" spans="1:41" ht="12.75" customHeight="1">
      <c r="A23"/>
      <c r="B23" t="s">
        <v>267</v>
      </c>
      <c r="C23" s="49">
        <v>45</v>
      </c>
      <c r="D23" s="49">
        <v>1588.6530171686125</v>
      </c>
      <c r="E23" s="49">
        <v>592.76</v>
      </c>
      <c r="F23" s="49">
        <v>0</v>
      </c>
      <c r="G23" s="49">
        <v>0</v>
      </c>
      <c r="H23" s="49"/>
      <c r="I23" s="49">
        <v>0.21</v>
      </c>
      <c r="J23" s="49">
        <v>0.4009999930858612</v>
      </c>
      <c r="K23" s="49">
        <v>1709.787809727719</v>
      </c>
      <c r="L23" s="49">
        <v>0.37270325064095733</v>
      </c>
      <c r="M23" s="49">
        <v>0.9294345378875732</v>
      </c>
      <c r="N23" s="49">
        <v>592.7580264837502</v>
      </c>
      <c r="O23" s="49">
        <v>0</v>
      </c>
      <c r="P23" s="49">
        <v>0</v>
      </c>
      <c r="Q23" s="49">
        <v>592.758056640625</v>
      </c>
      <c r="R23" s="49">
        <v>18.796404944539972</v>
      </c>
      <c r="S23" s="49">
        <v>719.7006238839168</v>
      </c>
      <c r="T23" s="49">
        <v>20.622671127319336</v>
      </c>
      <c r="U23" s="49">
        <v>106.66951751708984</v>
      </c>
      <c r="V23" s="49">
        <v>846.0576545178617</v>
      </c>
      <c r="W23" s="49">
        <v>592.7580264837502</v>
      </c>
      <c r="X23" s="48">
        <v>1.4273238264468366</v>
      </c>
      <c r="Y23" s="60">
        <v>342.8540954589844</v>
      </c>
      <c r="Z23" s="60">
        <v>0</v>
      </c>
      <c r="AA23" s="60">
        <v>0</v>
      </c>
      <c r="AB23" s="60">
        <v>1188.9117431640625</v>
      </c>
      <c r="AC23" s="60">
        <v>592.758056640625</v>
      </c>
      <c r="AD23" s="48">
        <v>2.0057284832000732</v>
      </c>
      <c r="AE23" s="60"/>
      <c r="AF23" s="60"/>
      <c r="AG23" s="60"/>
      <c r="AH23" s="60"/>
      <c r="AI23" s="60"/>
      <c r="AJ23" s="60"/>
      <c r="AK23" s="60"/>
      <c r="AL23" s="49"/>
      <c r="AM23" s="49"/>
      <c r="AN23" s="49"/>
      <c r="AO23" s="49"/>
    </row>
    <row r="24" spans="1:41" ht="12.75" customHeight="1">
      <c r="A24"/>
      <c r="B24" t="s">
        <v>266</v>
      </c>
      <c r="C24" s="49">
        <v>45</v>
      </c>
      <c r="D24" s="49">
        <v>1350.9995674162167</v>
      </c>
      <c r="E24" s="49">
        <v>592.76</v>
      </c>
      <c r="F24" s="49">
        <v>0</v>
      </c>
      <c r="G24" s="49">
        <v>0</v>
      </c>
      <c r="H24" s="49"/>
      <c r="I24" s="49">
        <v>0.21</v>
      </c>
      <c r="J24" s="49">
        <v>0.4009999632835388</v>
      </c>
      <c r="K24" s="49">
        <v>1454.0132844317031</v>
      </c>
      <c r="L24" s="49">
        <v>0.31694896553808616</v>
      </c>
      <c r="M24" s="49">
        <v>0.7903964519500732</v>
      </c>
      <c r="N24" s="49">
        <v>592.7580264837502</v>
      </c>
      <c r="O24" s="49">
        <v>0</v>
      </c>
      <c r="P24" s="49">
        <v>0</v>
      </c>
      <c r="Q24" s="49">
        <v>592.758056640625</v>
      </c>
      <c r="R24" s="49">
        <v>22.102868237164184</v>
      </c>
      <c r="S24" s="49">
        <v>612.0375066351916</v>
      </c>
      <c r="T24" s="49">
        <v>17.537635803222656</v>
      </c>
      <c r="U24" s="49">
        <v>90.71235656738281</v>
      </c>
      <c r="V24" s="49">
        <v>719.4922364061177</v>
      </c>
      <c r="W24" s="49">
        <v>592.7580264837502</v>
      </c>
      <c r="X24" s="48">
        <v>1.213804291565914</v>
      </c>
      <c r="Y24" s="60">
        <v>291.5650634765625</v>
      </c>
      <c r="Z24" s="60">
        <v>0</v>
      </c>
      <c r="AA24" s="60">
        <v>0</v>
      </c>
      <c r="AB24" s="60">
        <v>1011.0573120117188</v>
      </c>
      <c r="AC24" s="60">
        <v>592.758056640625</v>
      </c>
      <c r="AD24" s="48">
        <v>1.7056829929351807</v>
      </c>
      <c r="AE24" s="60"/>
      <c r="AF24" s="60"/>
      <c r="AG24" s="60"/>
      <c r="AH24" s="60"/>
      <c r="AI24" s="60"/>
      <c r="AJ24" s="60"/>
      <c r="AK24" s="60"/>
      <c r="AL24" s="49"/>
      <c r="AM24" s="49"/>
      <c r="AN24" s="49"/>
      <c r="AO24" s="49"/>
    </row>
    <row r="25" spans="1:41" ht="12.75" customHeight="1">
      <c r="A25"/>
      <c r="B25" t="s">
        <v>268</v>
      </c>
      <c r="C25" s="49">
        <v>45</v>
      </c>
      <c r="D25" s="49">
        <v>1115.7622034236422</v>
      </c>
      <c r="E25" s="49">
        <v>592.76</v>
      </c>
      <c r="F25" s="49">
        <v>0</v>
      </c>
      <c r="G25" s="49">
        <v>0</v>
      </c>
      <c r="H25" s="49"/>
      <c r="I25" s="49">
        <v>0.21</v>
      </c>
      <c r="J25" s="49">
        <v>0.4009999930858612</v>
      </c>
      <c r="K25" s="49">
        <v>1200.8390714346947</v>
      </c>
      <c r="L25" s="49">
        <v>0.2617615021431532</v>
      </c>
      <c r="M25" s="49">
        <v>0.6527718305587769</v>
      </c>
      <c r="N25" s="49">
        <v>592.7580264837502</v>
      </c>
      <c r="O25" s="49">
        <v>0</v>
      </c>
      <c r="P25" s="49">
        <v>0</v>
      </c>
      <c r="Q25" s="49">
        <v>592.758056640625</v>
      </c>
      <c r="R25" s="49">
        <v>26.76284008854222</v>
      </c>
      <c r="S25" s="49">
        <v>505.46893829671194</v>
      </c>
      <c r="T25" s="49">
        <v>14.483965873718262</v>
      </c>
      <c r="U25" s="49">
        <v>74.91742706298828</v>
      </c>
      <c r="V25" s="49">
        <v>594.2135401913347</v>
      </c>
      <c r="W25" s="49">
        <v>592.7580264837502</v>
      </c>
      <c r="X25" s="48">
        <v>1.0024554938820798</v>
      </c>
      <c r="Y25" s="60">
        <v>240.7974090576172</v>
      </c>
      <c r="Z25" s="60">
        <v>0</v>
      </c>
      <c r="AA25" s="60">
        <v>0</v>
      </c>
      <c r="AB25" s="60">
        <v>835.0109252929688</v>
      </c>
      <c r="AC25" s="60">
        <v>592.758056640625</v>
      </c>
      <c r="AD25" s="48">
        <v>1.4086875915527344</v>
      </c>
      <c r="AE25" s="60"/>
      <c r="AF25" s="60"/>
      <c r="AG25" s="60"/>
      <c r="AH25" s="60"/>
      <c r="AI25" s="60"/>
      <c r="AJ25" s="60"/>
      <c r="AK25" s="60"/>
      <c r="AL25" s="49"/>
      <c r="AM25" s="49"/>
      <c r="AN25" s="49"/>
      <c r="AO25" s="49"/>
    </row>
    <row r="26" spans="1:41" ht="12.75" customHeight="1">
      <c r="A26"/>
      <c r="B26" t="s">
        <v>265</v>
      </c>
      <c r="C26" s="49">
        <v>45</v>
      </c>
      <c r="D26" s="49">
        <v>1018.5028908874243</v>
      </c>
      <c r="E26" s="49">
        <v>592.76</v>
      </c>
      <c r="F26" s="49">
        <v>0</v>
      </c>
      <c r="G26" s="49">
        <v>0</v>
      </c>
      <c r="H26" s="49"/>
      <c r="I26" s="49">
        <v>0.21</v>
      </c>
      <c r="J26" s="49">
        <v>0.4009999930858612</v>
      </c>
      <c r="K26" s="49">
        <v>1096.1637363175903</v>
      </c>
      <c r="L26" s="49">
        <v>0.23894414583840265</v>
      </c>
      <c r="M26" s="49">
        <v>0.5958706736564636</v>
      </c>
      <c r="N26" s="49">
        <v>592.7580264837502</v>
      </c>
      <c r="O26" s="49">
        <v>0</v>
      </c>
      <c r="P26" s="49">
        <v>0</v>
      </c>
      <c r="Q26" s="49">
        <v>592.758056640625</v>
      </c>
      <c r="R26" s="49">
        <v>29.318488630943907</v>
      </c>
      <c r="S26" s="49">
        <v>461.40797145601766</v>
      </c>
      <c r="T26" s="49">
        <v>13.221420288085938</v>
      </c>
      <c r="U26" s="49">
        <v>68.38699340820312</v>
      </c>
      <c r="V26" s="49">
        <v>542.4168456696583</v>
      </c>
      <c r="W26" s="49">
        <v>592.7580264837502</v>
      </c>
      <c r="X26" s="69">
        <v>0.9150729664299672</v>
      </c>
      <c r="Y26" s="60">
        <v>219.80747985839844</v>
      </c>
      <c r="Z26" s="60">
        <v>0</v>
      </c>
      <c r="AA26" s="60">
        <v>0</v>
      </c>
      <c r="AB26" s="60">
        <v>762.2243041992188</v>
      </c>
      <c r="AC26" s="60">
        <v>592.758056640625</v>
      </c>
      <c r="AD26" s="48">
        <v>1.285894513130188</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62</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63</v>
      </c>
      <c r="C30" s="59" t="s">
        <v>59</v>
      </c>
      <c r="D30" s="59" t="s">
        <v>60</v>
      </c>
      <c r="E30" s="59" t="s">
        <v>64</v>
      </c>
      <c r="F30" s="59" t="s">
        <v>65</v>
      </c>
      <c r="G30" s="59" t="s">
        <v>66</v>
      </c>
      <c r="H30" s="59" t="s">
        <v>67</v>
      </c>
      <c r="I30" s="59" t="s">
        <v>61</v>
      </c>
      <c r="J30" s="59" t="s">
        <v>50</v>
      </c>
      <c r="K30" s="59" t="s">
        <v>58</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68</v>
      </c>
      <c r="C31" s="49">
        <v>3163.801094159422</v>
      </c>
      <c r="D31" s="49">
        <v>1185.5160529675004</v>
      </c>
      <c r="E31" s="49">
        <v>1185.52</v>
      </c>
      <c r="F31" s="49">
        <v>237.10316</v>
      </c>
      <c r="G31" s="49">
        <v>1422.6192129675005</v>
      </c>
      <c r="H31" s="49">
        <v>3938.978515625</v>
      </c>
      <c r="I31" s="49">
        <v>24.379176810748532</v>
      </c>
      <c r="J31" s="49">
        <v>1331.7381305191084</v>
      </c>
      <c r="K31" s="69">
        <v>0.9361170708085549</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69</v>
      </c>
      <c r="C32" s="49">
        <v>0</v>
      </c>
      <c r="D32" s="49">
        <v>0</v>
      </c>
      <c r="E32" s="49">
        <v>0</v>
      </c>
      <c r="F32" s="49">
        <v>0</v>
      </c>
      <c r="G32" s="49">
        <v>0</v>
      </c>
      <c r="H32" s="49">
        <v>0</v>
      </c>
      <c r="I32" s="49">
        <v>0</v>
      </c>
      <c r="J32" s="49">
        <v>2298.6150402718376</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70</v>
      </c>
      <c r="C33" s="49">
        <v>2716.723541028454</v>
      </c>
      <c r="D33" s="49">
        <v>1820.8994140625</v>
      </c>
      <c r="E33" s="49">
        <v>1820.8989949982088</v>
      </c>
      <c r="F33" s="49">
        <v>364.1797989996418</v>
      </c>
      <c r="G33" s="49">
        <v>2185.0792130621417</v>
      </c>
      <c r="H33" s="49">
        <v>7045.7275390625</v>
      </c>
      <c r="I33" s="49">
        <v>43.607508973987</v>
      </c>
      <c r="J33" s="49">
        <v>1143.5498699161199</v>
      </c>
      <c r="K33" s="69">
        <v>0.5233448119775777</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71</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72</v>
      </c>
      <c r="C35" s="49">
        <v>0</v>
      </c>
      <c r="D35" s="49">
        <v>0</v>
      </c>
      <c r="E35" s="49">
        <v>0</v>
      </c>
      <c r="F35" s="49">
        <v>0</v>
      </c>
      <c r="G35" s="49">
        <v>0</v>
      </c>
      <c r="H35" s="49">
        <v>0</v>
      </c>
      <c r="I35" s="49">
        <v>0</v>
      </c>
      <c r="J35" s="49">
        <v>0</v>
      </c>
      <c r="K35" s="70">
        <v>0</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73</v>
      </c>
      <c r="C36" s="49">
        <v>3163.801094159422</v>
      </c>
      <c r="D36" s="49">
        <v>1185.5160529675004</v>
      </c>
      <c r="E36" s="49">
        <v>1185.52</v>
      </c>
      <c r="F36" s="49">
        <v>237.10316</v>
      </c>
      <c r="G36" s="49">
        <v>1422.6192129675005</v>
      </c>
      <c r="H36" s="49">
        <v>3938.978515625</v>
      </c>
      <c r="I36" s="49">
        <v>24.379176810748532</v>
      </c>
      <c r="J36" s="49">
        <v>1331.7381305191084</v>
      </c>
      <c r="K36" s="70">
        <v>0.9361170708085549</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74</v>
      </c>
      <c r="C37" s="49">
        <v>2297.0028077522848</v>
      </c>
      <c r="D37" s="49">
        <v>1185.5160529675004</v>
      </c>
      <c r="E37" s="49">
        <v>1185.52</v>
      </c>
      <c r="F37" s="49">
        <v>237.10316</v>
      </c>
      <c r="G37" s="49">
        <v>1422.6192129675005</v>
      </c>
      <c r="H37" s="49">
        <v>5425.3935546875</v>
      </c>
      <c r="I37" s="49">
        <v>33.57891684252144</v>
      </c>
      <c r="J37" s="49">
        <v>966.8769097527296</v>
      </c>
      <c r="K37" s="70">
        <v>0.6796456148907767</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75</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76</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77</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39"/>
      <c r="AF511" s="39"/>
      <c r="AG511" s="39"/>
      <c r="AH511" s="39"/>
      <c r="AI511" s="39"/>
      <c r="AJ511" s="39"/>
      <c r="AK511" s="39"/>
      <c r="AL511" s="39"/>
      <c r="AM511" s="39"/>
      <c r="AN511" s="39"/>
      <c r="AO511" s="39"/>
    </row>
    <row r="512" spans="1:41" ht="12"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39"/>
      <c r="AF512" s="39"/>
      <c r="AG512" s="39"/>
      <c r="AH512" s="39"/>
      <c r="AI512" s="39"/>
      <c r="AJ512" s="39"/>
      <c r="AK512" s="39"/>
      <c r="AL512" s="39"/>
      <c r="AM512" s="39"/>
      <c r="AN512" s="39"/>
      <c r="AO512" s="3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39"/>
      <c r="AF513" s="39"/>
      <c r="AG513" s="39"/>
      <c r="AH513" s="39"/>
      <c r="AI513" s="39"/>
      <c r="AJ513" s="39"/>
      <c r="AK513" s="39"/>
      <c r="AL513" s="39"/>
      <c r="AM513" s="39"/>
      <c r="AN513" s="39"/>
      <c r="AO513" s="3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39"/>
      <c r="AF514" s="39"/>
      <c r="AG514" s="39"/>
      <c r="AH514" s="39"/>
      <c r="AI514" s="39"/>
      <c r="AJ514" s="39"/>
      <c r="AK514" s="39"/>
      <c r="AL514" s="39"/>
      <c r="AM514" s="39"/>
      <c r="AN514" s="39"/>
      <c r="AO514" s="39"/>
    </row>
    <row r="515" spans="1:30"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row>
    <row r="516" spans="1:30"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row>
    <row r="517" spans="1:30"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row>
    <row r="518" spans="3:30" ht="12.75">
      <c r="C518" s="39"/>
      <c r="D518" s="39"/>
      <c r="E518" s="39"/>
      <c r="F518" s="39"/>
      <c r="G518" s="39"/>
      <c r="H518" s="39"/>
      <c r="I518" s="102"/>
      <c r="J518" s="102"/>
      <c r="K518" s="102"/>
      <c r="L518" s="102"/>
      <c r="M518" s="102"/>
      <c r="S518" s="39"/>
      <c r="T518" s="39"/>
      <c r="U518" s="39"/>
      <c r="X518" s="49"/>
      <c r="Y518" s="49"/>
      <c r="Z518" s="39"/>
      <c r="AA518" s="39"/>
      <c r="AB518" s="39"/>
      <c r="AC518" s="39"/>
      <c r="AD518" s="39"/>
    </row>
    <row r="519" spans="3:30" ht="12.75">
      <c r="C519" s="39"/>
      <c r="D519" s="39"/>
      <c r="E519" s="39"/>
      <c r="F519" s="39"/>
      <c r="G519" s="39"/>
      <c r="H519" s="39"/>
      <c r="I519" s="102"/>
      <c r="J519" s="102"/>
      <c r="K519" s="102"/>
      <c r="L519" s="102"/>
      <c r="M519" s="102"/>
      <c r="S519" s="39"/>
      <c r="T519" s="39"/>
      <c r="U519" s="39"/>
      <c r="X519" s="49"/>
      <c r="Y519" s="49"/>
      <c r="Z519" s="39"/>
      <c r="AA519" s="39"/>
      <c r="AB519" s="39"/>
      <c r="AC519" s="39"/>
      <c r="AD519" s="39"/>
    </row>
    <row r="520" spans="3:30" ht="12.75">
      <c r="C520" s="39"/>
      <c r="D520" s="39"/>
      <c r="E520" s="39"/>
      <c r="F520" s="39"/>
      <c r="G520" s="39"/>
      <c r="H520" s="39"/>
      <c r="I520" s="102"/>
      <c r="J520" s="102"/>
      <c r="K520" s="102"/>
      <c r="L520" s="102"/>
      <c r="M520" s="102"/>
      <c r="S520" s="39"/>
      <c r="T520" s="39"/>
      <c r="U520" s="39"/>
      <c r="X520" s="49"/>
      <c r="Y520" s="49"/>
      <c r="Z520" s="39"/>
      <c r="AA520" s="39"/>
      <c r="AB520" s="39"/>
      <c r="AC520" s="39"/>
      <c r="AD520" s="39"/>
    </row>
    <row r="521" spans="3:30" ht="12.75">
      <c r="C521" s="39"/>
      <c r="D521" s="39"/>
      <c r="E521" s="39"/>
      <c r="F521" s="39"/>
      <c r="G521" s="39"/>
      <c r="H521" s="39"/>
      <c r="I521" s="102"/>
      <c r="J521" s="102"/>
      <c r="K521" s="102"/>
      <c r="L521" s="102"/>
      <c r="M521" s="102"/>
      <c r="S521" s="39"/>
      <c r="T521" s="39"/>
      <c r="U521" s="39"/>
      <c r="X521" s="49"/>
      <c r="Y521" s="49"/>
      <c r="Z521" s="39"/>
      <c r="AA521" s="39"/>
      <c r="AB521" s="39"/>
      <c r="AC521" s="39"/>
      <c r="AD521"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dimension ref="A1:AO532"/>
  <sheetViews>
    <sheetView zoomScale="75" zoomScaleNormal="75" workbookViewId="0" topLeftCell="L13">
      <selection activeCell="K62" sqref="K62"/>
    </sheetView>
  </sheetViews>
  <sheetFormatPr defaultColWidth="9.140625" defaultRowHeight="12.75"/>
  <cols>
    <col min="1" max="1" width="39.28125" style="37" customWidth="1"/>
    <col min="2" max="2" width="34.00390625" style="37" customWidth="1"/>
    <col min="3" max="3" width="8.8515625" style="37" customWidth="1"/>
    <col min="4" max="4" width="8.57421875" style="37" customWidth="1"/>
    <col min="5" max="5" width="9.57421875" style="37" customWidth="1"/>
    <col min="6" max="6" width="9.00390625" style="37" customWidth="1"/>
    <col min="7" max="7" width="10.14062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223</v>
      </c>
    </row>
    <row r="4" spans="1:23" ht="12.75">
      <c r="A4" s="40" t="s">
        <v>32</v>
      </c>
      <c r="B4" s="41"/>
      <c r="C4" s="42"/>
      <c r="D4" s="42"/>
      <c r="E4" s="42"/>
      <c r="F4" s="42"/>
      <c r="G4" s="42"/>
      <c r="H4" s="43"/>
      <c r="I4" s="44" t="s">
        <v>33</v>
      </c>
      <c r="J4" s="45"/>
      <c r="K4" s="45"/>
      <c r="L4" s="45"/>
      <c r="M4" s="45"/>
      <c r="N4" s="45"/>
      <c r="O4"/>
      <c r="P4"/>
      <c r="Q4"/>
      <c r="R4"/>
      <c r="S4"/>
      <c r="T4"/>
      <c r="U4"/>
      <c r="V4"/>
      <c r="W4"/>
    </row>
    <row r="5" spans="1:25" s="97" customFormat="1" ht="26.25" customHeight="1">
      <c r="A5" s="46" t="s">
        <v>34</v>
      </c>
      <c r="B5" s="46" t="s">
        <v>35</v>
      </c>
      <c r="C5" s="46" t="s">
        <v>161</v>
      </c>
      <c r="D5" s="46" t="s">
        <v>162</v>
      </c>
      <c r="E5" s="46" t="s">
        <v>36</v>
      </c>
      <c r="F5" s="46" t="s">
        <v>37</v>
      </c>
      <c r="G5" s="47" t="s">
        <v>38</v>
      </c>
      <c r="H5" s="47" t="s">
        <v>163</v>
      </c>
      <c r="I5" s="47" t="s">
        <v>39</v>
      </c>
      <c r="J5" s="47" t="s">
        <v>40</v>
      </c>
      <c r="K5" s="47" t="s">
        <v>41</v>
      </c>
      <c r="L5" s="47" t="s">
        <v>42</v>
      </c>
      <c r="M5" s="47" t="s">
        <v>43</v>
      </c>
      <c r="N5" s="47" t="s">
        <v>44</v>
      </c>
      <c r="O5"/>
      <c r="P5"/>
      <c r="Q5"/>
      <c r="R5"/>
      <c r="S5"/>
      <c r="T5"/>
      <c r="U5"/>
      <c r="V5"/>
      <c r="W5"/>
      <c r="X5"/>
      <c r="Y5"/>
    </row>
    <row r="6" spans="1:25" s="97" customFormat="1" ht="12.75">
      <c r="A6" t="str">
        <f>B6</f>
        <v>ATTIC R19</v>
      </c>
      <c r="B6" t="str">
        <f>'UA Optimizer'!O43</f>
        <v>ATTIC R19</v>
      </c>
      <c r="C6" s="98">
        <f>'UA Optimizer'!V43/12</f>
        <v>1159.2399357770628</v>
      </c>
      <c r="D6" s="98">
        <v>45</v>
      </c>
      <c r="E6" s="93">
        <f>'UA Optimizer'!R43/12</f>
        <v>260.8666666666667</v>
      </c>
      <c r="F6" s="99">
        <v>0</v>
      </c>
      <c r="G6" s="100" t="s">
        <v>164</v>
      </c>
      <c r="H6" s="49"/>
      <c r="I6"/>
      <c r="J6"/>
      <c r="K6"/>
      <c r="L6"/>
      <c r="M6"/>
      <c r="N6"/>
      <c r="O6"/>
      <c r="P6"/>
      <c r="Q6"/>
      <c r="R6"/>
      <c r="S6"/>
      <c r="T6"/>
      <c r="U6"/>
      <c r="V6"/>
      <c r="W6"/>
      <c r="X6"/>
      <c r="Y6"/>
    </row>
    <row r="7" spans="1:25" s="97" customFormat="1" ht="12.75">
      <c r="A7" t="str">
        <f>B7</f>
        <v>FLOOR R19</v>
      </c>
      <c r="B7" t="str">
        <f>'UA Optimizer'!O44</f>
        <v>FLOOR R19</v>
      </c>
      <c r="C7" s="98">
        <f>'UA Optimizer'!V44/12</f>
        <v>719.5292065834547</v>
      </c>
      <c r="D7" s="98">
        <v>45</v>
      </c>
      <c r="E7" s="93">
        <f>'UA Optimizer'!R44/12</f>
        <v>242.66666666666666</v>
      </c>
      <c r="F7" s="99">
        <v>0</v>
      </c>
      <c r="G7" s="100" t="s">
        <v>164</v>
      </c>
      <c r="H7" s="49"/>
      <c r="I7"/>
      <c r="J7"/>
      <c r="K7"/>
      <c r="L7"/>
      <c r="M7"/>
      <c r="N7"/>
      <c r="O7"/>
      <c r="P7"/>
      <c r="Q7"/>
      <c r="R7"/>
      <c r="S7"/>
      <c r="T7"/>
      <c r="U7"/>
      <c r="V7"/>
      <c r="W7"/>
      <c r="X7"/>
      <c r="Y7"/>
    </row>
    <row r="8" spans="1:25" s="97" customFormat="1" ht="12.75">
      <c r="A8" t="str">
        <f>B8</f>
        <v>WALL R11</v>
      </c>
      <c r="B8" t="str">
        <f>'UA Optimizer'!O45</f>
        <v>WALL R11</v>
      </c>
      <c r="C8" s="98">
        <f>'UA Optimizer'!V45/12</f>
        <v>917.967929601713</v>
      </c>
      <c r="D8" s="98">
        <v>45</v>
      </c>
      <c r="E8" s="93">
        <f>'UA Optimizer'!R45/12</f>
        <v>343.17</v>
      </c>
      <c r="F8" s="99">
        <v>0</v>
      </c>
      <c r="G8" s="100" t="s">
        <v>164</v>
      </c>
      <c r="H8" s="49"/>
      <c r="I8"/>
      <c r="J8"/>
      <c r="K8"/>
      <c r="L8"/>
      <c r="M8"/>
      <c r="N8"/>
      <c r="O8"/>
      <c r="P8"/>
      <c r="Q8"/>
      <c r="R8"/>
      <c r="S8"/>
      <c r="T8"/>
      <c r="U8"/>
      <c r="V8"/>
      <c r="W8"/>
      <c r="X8"/>
      <c r="Y8"/>
    </row>
    <row r="9" spans="1:25" s="97" customFormat="1" ht="12.75">
      <c r="A9" t="str">
        <f>B9</f>
        <v>ATTIC R38</v>
      </c>
      <c r="B9" t="str">
        <f>'UA Optimizer'!O46</f>
        <v>ATTIC R38</v>
      </c>
      <c r="C9" s="98">
        <f>'UA Optimizer'!V46/12</f>
        <v>225.83954106270843</v>
      </c>
      <c r="D9" s="98">
        <v>45</v>
      </c>
      <c r="E9" s="93">
        <f>'UA Optimizer'!R46/12</f>
        <v>100.10000000000001</v>
      </c>
      <c r="F9" s="99">
        <v>0</v>
      </c>
      <c r="G9" s="100" t="s">
        <v>164</v>
      </c>
      <c r="H9" s="49"/>
      <c r="I9"/>
      <c r="J9"/>
      <c r="K9"/>
      <c r="L9"/>
      <c r="M9"/>
      <c r="N9"/>
      <c r="O9"/>
      <c r="P9"/>
      <c r="Q9"/>
      <c r="R9"/>
      <c r="S9"/>
      <c r="T9"/>
      <c r="U9"/>
      <c r="V9"/>
      <c r="W9"/>
      <c r="X9"/>
      <c r="Y9"/>
    </row>
    <row r="10" spans="1:31" ht="12.75">
      <c r="A10" t="str">
        <f aca="true" t="shared" si="0" ref="A10:A16">B10</f>
        <v>FLOOR R30</v>
      </c>
      <c r="B10" t="str">
        <f>'UA Optimizer'!O47</f>
        <v>FLOOR R30</v>
      </c>
      <c r="C10" s="98">
        <f>'UA Optimizer'!V47/12</f>
        <v>128.5616385354157</v>
      </c>
      <c r="D10" s="98">
        <v>45</v>
      </c>
      <c r="E10" s="93">
        <f>'UA Optimizer'!R47/12</f>
        <v>60.666666666666664</v>
      </c>
      <c r="F10" s="99">
        <v>0</v>
      </c>
      <c r="G10" s="100" t="s">
        <v>164</v>
      </c>
      <c r="H10" s="49"/>
      <c r="I10"/>
      <c r="J10"/>
      <c r="K10"/>
      <c r="L10"/>
      <c r="M10"/>
      <c r="N10"/>
      <c r="O10"/>
      <c r="P10"/>
      <c r="Q10"/>
      <c r="R10"/>
      <c r="S10"/>
      <c r="T10"/>
      <c r="U10"/>
      <c r="V10"/>
      <c r="W10"/>
      <c r="Z10"/>
      <c r="AA10"/>
      <c r="AB10"/>
      <c r="AC10"/>
      <c r="AD10"/>
      <c r="AE10"/>
    </row>
    <row r="11" spans="1:31" ht="12.75">
      <c r="A11" t="str">
        <f t="shared" si="0"/>
        <v>CLASS 35 PRIME WINDOW (Energy Star)</v>
      </c>
      <c r="B11" t="str">
        <f>'UA Optimizer'!O48</f>
        <v>CLASS 35 PRIME WINDOW (Energy Star)</v>
      </c>
      <c r="C11" s="98">
        <f>'UA Optimizer'!V48/12</f>
        <v>2403.771292303744</v>
      </c>
      <c r="D11" s="98">
        <v>45</v>
      </c>
      <c r="E11" s="93">
        <f>'UA Optimizer'!R48/12</f>
        <v>1520.95</v>
      </c>
      <c r="F11" s="99">
        <v>0</v>
      </c>
      <c r="G11" s="100" t="s">
        <v>164</v>
      </c>
      <c r="H11" s="49"/>
      <c r="I11"/>
      <c r="J11"/>
      <c r="K11"/>
      <c r="L11"/>
      <c r="M11"/>
      <c r="N11"/>
      <c r="O11"/>
      <c r="P11"/>
      <c r="Q11"/>
      <c r="R11"/>
      <c r="S11"/>
      <c r="T11"/>
      <c r="U11"/>
      <c r="V11"/>
      <c r="W11"/>
      <c r="Z11"/>
      <c r="AA11"/>
      <c r="AB11"/>
      <c r="AC11"/>
      <c r="AD11"/>
      <c r="AE11"/>
    </row>
    <row r="12" spans="1:8" ht="12.75" customHeight="1">
      <c r="A12" t="str">
        <f t="shared" si="0"/>
        <v>FLOOR R38</v>
      </c>
      <c r="B12" t="str">
        <f>'UA Optimizer'!O49</f>
        <v>FLOOR R38</v>
      </c>
      <c r="C12" s="98">
        <f>'UA Optimizer'!V49/12</f>
        <v>38.33081043070646</v>
      </c>
      <c r="D12" s="98">
        <v>45</v>
      </c>
      <c r="E12" s="93">
        <f>'UA Optimizer'!R49/12</f>
        <v>39.43333333333333</v>
      </c>
      <c r="F12" s="99">
        <v>0</v>
      </c>
      <c r="G12" s="100" t="s">
        <v>164</v>
      </c>
      <c r="H12" s="49"/>
    </row>
    <row r="13" spans="1:31" ht="12.75">
      <c r="A13" t="str">
        <f t="shared" si="0"/>
        <v>ATTIC R49</v>
      </c>
      <c r="B13" t="str">
        <f>'UA Optimizer'!O50</f>
        <v>ATTIC R49</v>
      </c>
      <c r="C13" s="98">
        <f>'UA Optimizer'!V50/12</f>
        <v>47.91351303838322</v>
      </c>
      <c r="D13" s="98">
        <v>45</v>
      </c>
      <c r="E13" s="93">
        <f>'UA Optimizer'!R50/12</f>
        <v>54.6</v>
      </c>
      <c r="F13" s="99">
        <v>0</v>
      </c>
      <c r="G13" s="100" t="s">
        <v>164</v>
      </c>
      <c r="H13" s="49"/>
      <c r="I13"/>
      <c r="J13"/>
      <c r="K13"/>
      <c r="L13"/>
      <c r="M13"/>
      <c r="N13"/>
      <c r="O13"/>
      <c r="P13"/>
      <c r="Q13"/>
      <c r="R13"/>
      <c r="S13"/>
      <c r="T13"/>
      <c r="U13"/>
      <c r="V13"/>
      <c r="W13"/>
      <c r="Z13"/>
      <c r="AA13"/>
      <c r="AB13"/>
      <c r="AC13"/>
      <c r="AD13"/>
      <c r="AE13"/>
    </row>
    <row r="14" spans="1:31" ht="12.75">
      <c r="A14" t="str">
        <f t="shared" si="0"/>
        <v>INFILTRATION @ 0.35 ACH</v>
      </c>
      <c r="B14" t="str">
        <f>'UA Optimizer'!O51</f>
        <v>INFILTRATION @ 0.35 ACH</v>
      </c>
      <c r="C14" s="98">
        <f>'UA Optimizer'!V51/12</f>
        <v>435.35732411368554</v>
      </c>
      <c r="D14" s="98">
        <v>45</v>
      </c>
      <c r="E14" s="93">
        <f>'UA Optimizer'!R51/12</f>
        <v>550</v>
      </c>
      <c r="F14" s="99">
        <v>0</v>
      </c>
      <c r="G14" s="100" t="s">
        <v>164</v>
      </c>
      <c r="H14" s="49"/>
      <c r="I14"/>
      <c r="J14"/>
      <c r="K14"/>
      <c r="L14"/>
      <c r="M14"/>
      <c r="N14"/>
      <c r="O14"/>
      <c r="P14"/>
      <c r="Q14"/>
      <c r="R14"/>
      <c r="S14"/>
      <c r="T14"/>
      <c r="U14"/>
      <c r="V14"/>
      <c r="W14"/>
      <c r="Z14"/>
      <c r="AA14"/>
      <c r="AB14"/>
      <c r="AC14"/>
      <c r="AD14"/>
      <c r="AE14"/>
    </row>
    <row r="15" spans="1:8" ht="12.75" customHeight="1">
      <c r="A15" t="str">
        <f t="shared" si="0"/>
        <v>CLASS 25 PRIME WINDOW </v>
      </c>
      <c r="B15" t="str">
        <f>'UA Optimizer'!O52</f>
        <v>CLASS 25 PRIME WINDOW </v>
      </c>
      <c r="C15" s="98">
        <f>'UA Optimizer'!V52/12</f>
        <v>264.72882839144194</v>
      </c>
      <c r="D15" s="98">
        <v>45</v>
      </c>
      <c r="E15" s="93">
        <f>'UA Optimizer'!R52/12</f>
        <v>456</v>
      </c>
      <c r="F15" s="99">
        <v>0</v>
      </c>
      <c r="G15" s="100" t="s">
        <v>164</v>
      </c>
      <c r="H15" s="49"/>
    </row>
    <row r="16" spans="1:8" ht="12.75" customHeight="1">
      <c r="A16" t="str">
        <f t="shared" si="0"/>
        <v>DOOR R5</v>
      </c>
      <c r="B16" t="str">
        <f>'UA Optimizer'!O53</f>
        <v>DOOR R5</v>
      </c>
      <c r="C16" s="98">
        <f>'UA Optimizer'!V53/12</f>
        <v>80.12048997948052</v>
      </c>
      <c r="D16" s="98">
        <v>45</v>
      </c>
      <c r="E16" s="93">
        <f>'UA Optimizer'!R53/12</f>
        <v>150.1</v>
      </c>
      <c r="F16" s="99">
        <v>0</v>
      </c>
      <c r="G16" s="100" t="s">
        <v>164</v>
      </c>
      <c r="H16" s="49"/>
    </row>
    <row r="17" spans="1:41" ht="12.75" customHeight="1">
      <c r="A17"/>
      <c r="B17"/>
      <c r="C17"/>
      <c r="D17"/>
      <c r="E17"/>
      <c r="F17"/>
      <c r="G17"/>
      <c r="H17"/>
      <c r="I17"/>
      <c r="J17"/>
      <c r="K17"/>
      <c r="L17"/>
      <c r="M17"/>
      <c r="N17"/>
      <c r="O17"/>
      <c r="P17"/>
      <c r="Q17"/>
      <c r="R17"/>
      <c r="S17"/>
      <c r="T17"/>
      <c r="U17"/>
      <c r="V17"/>
      <c r="W17"/>
      <c r="Z17"/>
      <c r="AA17"/>
      <c r="AB17"/>
      <c r="AC17"/>
      <c r="AD17"/>
      <c r="AE17"/>
      <c r="AF17"/>
      <c r="AG17"/>
      <c r="AH17"/>
      <c r="AI17"/>
      <c r="AJ17"/>
      <c r="AK17"/>
      <c r="AL17"/>
      <c r="AM17"/>
      <c r="AN17"/>
      <c r="AO17"/>
    </row>
    <row r="18" spans="1:41" ht="12.75" customHeight="1" thickBo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s="86" t="s">
        <v>320</v>
      </c>
      <c r="B19" s="50"/>
      <c r="C19" s="50"/>
      <c r="D19" s="51"/>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52" t="s">
        <v>128</v>
      </c>
      <c r="B20" s="53"/>
      <c r="C20" s="54" t="s">
        <v>78</v>
      </c>
      <c r="D20" s="56"/>
      <c r="E20" s="56"/>
      <c r="F20" s="56"/>
      <c r="G20" s="56"/>
      <c r="H20" s="56"/>
      <c r="I20" s="56"/>
      <c r="J20" s="55"/>
      <c r="K20" s="54" t="s">
        <v>45</v>
      </c>
      <c r="L20" s="56"/>
      <c r="M20" s="55"/>
      <c r="N20" s="54" t="s">
        <v>46</v>
      </c>
      <c r="O20" s="56"/>
      <c r="P20" s="56"/>
      <c r="Q20" s="55"/>
      <c r="R20" s="54" t="s">
        <v>47</v>
      </c>
      <c r="S20" s="55"/>
      <c r="T20" s="54" t="s">
        <v>48</v>
      </c>
      <c r="U20" s="56"/>
      <c r="V20" s="56"/>
      <c r="W20" s="56"/>
      <c r="X20" s="55"/>
      <c r="Y20" s="54" t="s">
        <v>49</v>
      </c>
      <c r="Z20" s="56"/>
      <c r="AA20" s="56"/>
      <c r="AB20" s="56"/>
      <c r="AC20" s="55"/>
      <c r="AD20" s="54" t="s">
        <v>79</v>
      </c>
      <c r="AE20" s="56"/>
      <c r="AF20" s="56"/>
      <c r="AG20" s="56"/>
      <c r="AH20" s="56"/>
      <c r="AI20" s="55"/>
      <c r="AJ20" s="54" t="s">
        <v>80</v>
      </c>
      <c r="AK20" s="56"/>
      <c r="AL20" s="56"/>
      <c r="AM20" s="56"/>
      <c r="AN20" s="56"/>
      <c r="AO20" s="55"/>
    </row>
    <row r="21" spans="1:41" ht="51">
      <c r="A21" s="57" t="s">
        <v>51</v>
      </c>
      <c r="B21" s="58" t="s">
        <v>52</v>
      </c>
      <c r="C21" s="59" t="s">
        <v>81</v>
      </c>
      <c r="D21" s="59" t="s">
        <v>82</v>
      </c>
      <c r="E21" s="59" t="s">
        <v>83</v>
      </c>
      <c r="F21" s="59" t="s">
        <v>84</v>
      </c>
      <c r="G21" s="59" t="s">
        <v>147</v>
      </c>
      <c r="H21" s="59" t="s">
        <v>86</v>
      </c>
      <c r="I21" s="59" t="s">
        <v>87</v>
      </c>
      <c r="J21" s="59" t="s">
        <v>88</v>
      </c>
      <c r="K21" s="59" t="s">
        <v>89</v>
      </c>
      <c r="L21" s="59" t="s">
        <v>90</v>
      </c>
      <c r="M21" s="59" t="s">
        <v>91</v>
      </c>
      <c r="N21" s="59" t="s">
        <v>20</v>
      </c>
      <c r="O21" s="59" t="s">
        <v>21</v>
      </c>
      <c r="P21" s="59" t="s">
        <v>22</v>
      </c>
      <c r="Q21" s="59" t="s">
        <v>4</v>
      </c>
      <c r="R21" s="59" t="s">
        <v>53</v>
      </c>
      <c r="S21" s="59" t="s">
        <v>4</v>
      </c>
      <c r="T21" s="59" t="s">
        <v>20</v>
      </c>
      <c r="U21" s="59" t="s">
        <v>21</v>
      </c>
      <c r="V21" s="59" t="s">
        <v>22</v>
      </c>
      <c r="W21" s="59" t="s">
        <v>4</v>
      </c>
      <c r="X21" s="59" t="s">
        <v>57</v>
      </c>
      <c r="Y21" s="59" t="s">
        <v>20</v>
      </c>
      <c r="Z21" s="59" t="s">
        <v>21</v>
      </c>
      <c r="AA21" s="59" t="s">
        <v>22</v>
      </c>
      <c r="AB21" s="59" t="s">
        <v>4</v>
      </c>
      <c r="AC21" s="59" t="s">
        <v>57</v>
      </c>
      <c r="AD21" s="59" t="s">
        <v>92</v>
      </c>
      <c r="AE21" s="59" t="s">
        <v>93</v>
      </c>
      <c r="AF21" s="59" t="s">
        <v>56</v>
      </c>
      <c r="AG21" s="59" t="s">
        <v>94</v>
      </c>
      <c r="AH21" s="59" t="s">
        <v>95</v>
      </c>
      <c r="AI21" s="59" t="s">
        <v>96</v>
      </c>
      <c r="AJ21" s="59" t="s">
        <v>97</v>
      </c>
      <c r="AK21" s="59" t="s">
        <v>54</v>
      </c>
      <c r="AL21" s="59" t="s">
        <v>55</v>
      </c>
      <c r="AM21" s="59" t="s">
        <v>98</v>
      </c>
      <c r="AN21" s="59" t="s">
        <v>99</v>
      </c>
      <c r="AO21" s="59" t="s">
        <v>100</v>
      </c>
    </row>
    <row r="22" spans="1:41" ht="12.75" customHeight="1">
      <c r="A22" t="s">
        <v>166</v>
      </c>
      <c r="B22" t="s">
        <v>166</v>
      </c>
      <c r="C22" s="49">
        <v>45</v>
      </c>
      <c r="D22" s="49">
        <v>1159.2399357770628</v>
      </c>
      <c r="E22" s="49">
        <v>260.87</v>
      </c>
      <c r="F22" s="49">
        <v>0</v>
      </c>
      <c r="G22" s="49">
        <v>0</v>
      </c>
      <c r="H22" s="49" t="s">
        <v>164</v>
      </c>
      <c r="I22" s="49">
        <v>0.21</v>
      </c>
      <c r="J22" s="49">
        <v>0.4009999930858612</v>
      </c>
      <c r="K22" s="49">
        <v>1247.6319808800638</v>
      </c>
      <c r="L22" s="60">
        <v>0.2719615219105267</v>
      </c>
      <c r="M22" s="49">
        <v>0.6782082957599825</v>
      </c>
      <c r="N22" s="49"/>
      <c r="O22" s="49"/>
      <c r="P22" s="49">
        <v>260.8667556642071</v>
      </c>
      <c r="Q22" s="49">
        <v>0</v>
      </c>
      <c r="R22" s="49">
        <v>0</v>
      </c>
      <c r="S22" s="49">
        <v>0</v>
      </c>
      <c r="T22" s="49">
        <v>0</v>
      </c>
      <c r="U22" s="49">
        <v>0</v>
      </c>
      <c r="V22" s="49">
        <v>260.8667556642071</v>
      </c>
      <c r="W22" s="49">
        <v>0</v>
      </c>
      <c r="X22" s="49">
        <v>260.8667556642071</v>
      </c>
      <c r="Y22" s="49">
        <v>0</v>
      </c>
      <c r="Z22" s="49">
        <v>0</v>
      </c>
      <c r="AA22" s="49">
        <v>11.336311340332031</v>
      </c>
      <c r="AB22" s="49">
        <v>0</v>
      </c>
      <c r="AC22" s="49">
        <v>11.336311675814448</v>
      </c>
      <c r="AD22" s="49">
        <v>525.1654678482599</v>
      </c>
      <c r="AE22" s="49">
        <v>15.048360279286582</v>
      </c>
      <c r="AF22" s="49">
        <v>77.83673095703125</v>
      </c>
      <c r="AG22" s="49">
        <v>617.3681750093767</v>
      </c>
      <c r="AH22" s="49">
        <v>260.8667556642071</v>
      </c>
      <c r="AI22" s="48">
        <v>2.3666034924130592</v>
      </c>
      <c r="AJ22" s="49">
        <v>250.1805419921875</v>
      </c>
      <c r="AK22" s="49">
        <v>0</v>
      </c>
      <c r="AL22" s="49">
        <v>0</v>
      </c>
      <c r="AM22" s="49">
        <v>867.5487060546875</v>
      </c>
      <c r="AN22" s="49">
        <v>260.8667556642071</v>
      </c>
      <c r="AO22" s="48">
        <v>3.325639247894287</v>
      </c>
    </row>
    <row r="23" spans="1:41" ht="12.75" customHeight="1">
      <c r="A23" t="s">
        <v>171</v>
      </c>
      <c r="B23" t="s">
        <v>171</v>
      </c>
      <c r="C23" s="49">
        <v>45</v>
      </c>
      <c r="D23" s="49">
        <v>719.5292065834547</v>
      </c>
      <c r="E23" s="49">
        <v>242.67</v>
      </c>
      <c r="F23" s="49">
        <v>0</v>
      </c>
      <c r="G23" s="49">
        <v>0</v>
      </c>
      <c r="H23" s="49" t="s">
        <v>164</v>
      </c>
      <c r="I23" s="49">
        <v>0.21</v>
      </c>
      <c r="J23" s="49">
        <v>0.4009999930858612</v>
      </c>
      <c r="K23" s="49">
        <v>774.3933085854429</v>
      </c>
      <c r="L23" s="60">
        <v>0.1688039309570014</v>
      </c>
      <c r="M23" s="49">
        <v>0.4209574410662334</v>
      </c>
      <c r="N23" s="49"/>
      <c r="O23" s="49"/>
      <c r="P23" s="49">
        <v>242.66675178065833</v>
      </c>
      <c r="Q23" s="49">
        <v>0</v>
      </c>
      <c r="R23" s="49">
        <v>0</v>
      </c>
      <c r="S23" s="49">
        <v>0</v>
      </c>
      <c r="T23" s="49">
        <v>0</v>
      </c>
      <c r="U23" s="49">
        <v>0</v>
      </c>
      <c r="V23" s="49">
        <v>242.66675178065833</v>
      </c>
      <c r="W23" s="49">
        <v>0</v>
      </c>
      <c r="X23" s="49">
        <v>242.66675178065833</v>
      </c>
      <c r="Y23" s="49">
        <v>0</v>
      </c>
      <c r="Z23" s="49">
        <v>0</v>
      </c>
      <c r="AA23" s="49">
        <v>16.989797592163086</v>
      </c>
      <c r="AB23" s="49">
        <v>0</v>
      </c>
      <c r="AC23" s="49">
        <v>16.989798361200094</v>
      </c>
      <c r="AD23" s="49">
        <v>325.96521284663186</v>
      </c>
      <c r="AE23" s="49">
        <v>9.3403741520335</v>
      </c>
      <c r="AF23" s="49">
        <v>48.31251907348633</v>
      </c>
      <c r="AG23" s="49">
        <v>383.1945567644879</v>
      </c>
      <c r="AH23" s="49">
        <v>242.66675178065833</v>
      </c>
      <c r="AI23" s="48">
        <v>1.5790978943454514</v>
      </c>
      <c r="AJ23" s="49">
        <v>155.28469848632812</v>
      </c>
      <c r="AK23" s="49">
        <v>0</v>
      </c>
      <c r="AL23" s="49">
        <v>0</v>
      </c>
      <c r="AM23" s="49">
        <v>538.479248046875</v>
      </c>
      <c r="AN23" s="49">
        <v>242.66675178065833</v>
      </c>
      <c r="AO23" s="48">
        <v>2.2190070152282715</v>
      </c>
    </row>
    <row r="24" spans="1:41" ht="12.75" customHeight="1">
      <c r="A24" t="s">
        <v>167</v>
      </c>
      <c r="B24" t="s">
        <v>167</v>
      </c>
      <c r="C24" s="49">
        <v>45</v>
      </c>
      <c r="D24" s="49">
        <v>917.967929601713</v>
      </c>
      <c r="E24" s="49">
        <v>343.17</v>
      </c>
      <c r="F24" s="49">
        <v>0</v>
      </c>
      <c r="G24" s="49">
        <v>0</v>
      </c>
      <c r="H24" s="49" t="s">
        <v>164</v>
      </c>
      <c r="I24" s="49">
        <v>0.21</v>
      </c>
      <c r="J24" s="49">
        <v>0.4009999930858612</v>
      </c>
      <c r="K24" s="49">
        <v>987.9629842338435</v>
      </c>
      <c r="L24" s="60">
        <v>0.21535831150622858</v>
      </c>
      <c r="M24" s="49">
        <v>0.5370531551608195</v>
      </c>
      <c r="N24" s="49"/>
      <c r="O24" s="49"/>
      <c r="P24" s="49">
        <v>343.17007322623385</v>
      </c>
      <c r="Q24" s="49">
        <v>0</v>
      </c>
      <c r="R24" s="49">
        <v>0</v>
      </c>
      <c r="S24" s="49">
        <v>0</v>
      </c>
      <c r="T24" s="49">
        <v>0</v>
      </c>
      <c r="U24" s="49">
        <v>0</v>
      </c>
      <c r="V24" s="49">
        <v>343.17007322623385</v>
      </c>
      <c r="W24" s="49">
        <v>0</v>
      </c>
      <c r="X24" s="49">
        <v>343.17007322623385</v>
      </c>
      <c r="Y24" s="49">
        <v>0</v>
      </c>
      <c r="Z24" s="49">
        <v>0</v>
      </c>
      <c r="AA24" s="49">
        <v>18.8325138092041</v>
      </c>
      <c r="AB24" s="49">
        <v>0</v>
      </c>
      <c r="AC24" s="49">
        <v>18.832512892348355</v>
      </c>
      <c r="AD24" s="49">
        <v>415.8630515914991</v>
      </c>
      <c r="AE24" s="49">
        <v>11.916352864618673</v>
      </c>
      <c r="AF24" s="49">
        <v>61.63661193847656</v>
      </c>
      <c r="AG24" s="49">
        <v>488.87565656280026</v>
      </c>
      <c r="AH24" s="49">
        <v>343.17007322623385</v>
      </c>
      <c r="AI24" s="48">
        <v>1.4245870916620123</v>
      </c>
      <c r="AJ24" s="49">
        <v>198.11061096191406</v>
      </c>
      <c r="AK24" s="49">
        <v>0</v>
      </c>
      <c r="AL24" s="49">
        <v>0</v>
      </c>
      <c r="AM24" s="49">
        <v>686.9862670898438</v>
      </c>
      <c r="AN24" s="49">
        <v>343.17007322623385</v>
      </c>
      <c r="AO24" s="48">
        <v>2.001882791519165</v>
      </c>
    </row>
    <row r="25" spans="1:41" ht="12.75" customHeight="1">
      <c r="A25" t="s">
        <v>173</v>
      </c>
      <c r="B25" t="s">
        <v>173</v>
      </c>
      <c r="C25" s="49">
        <v>45</v>
      </c>
      <c r="D25" s="49">
        <v>225.83954106270843</v>
      </c>
      <c r="E25" s="49">
        <v>100.1</v>
      </c>
      <c r="F25" s="49">
        <v>0</v>
      </c>
      <c r="G25" s="49">
        <v>0</v>
      </c>
      <c r="H25" s="49" t="s">
        <v>164</v>
      </c>
      <c r="I25" s="49">
        <v>0.21</v>
      </c>
      <c r="J25" s="49">
        <v>0.4009999930858612</v>
      </c>
      <c r="K25" s="49">
        <v>243.05980606873996</v>
      </c>
      <c r="L25" s="60">
        <v>0.052982703062087126</v>
      </c>
      <c r="M25" s="49">
        <v>0.1321264438294955</v>
      </c>
      <c r="N25" s="49"/>
      <c r="O25" s="49"/>
      <c r="P25" s="49">
        <v>100.10002135951862</v>
      </c>
      <c r="Q25" s="49">
        <v>0</v>
      </c>
      <c r="R25" s="49">
        <v>0</v>
      </c>
      <c r="S25" s="49">
        <v>0</v>
      </c>
      <c r="T25" s="49">
        <v>0</v>
      </c>
      <c r="U25" s="49">
        <v>0</v>
      </c>
      <c r="V25" s="49">
        <v>100.10002135951862</v>
      </c>
      <c r="W25" s="49">
        <v>0</v>
      </c>
      <c r="X25" s="49">
        <v>100.10002135951862</v>
      </c>
      <c r="Y25" s="49">
        <v>0</v>
      </c>
      <c r="Z25" s="49">
        <v>0</v>
      </c>
      <c r="AA25" s="49">
        <v>22.32855224609375</v>
      </c>
      <c r="AB25" s="49">
        <v>0</v>
      </c>
      <c r="AC25" s="49">
        <v>22.328552118115702</v>
      </c>
      <c r="AD25" s="49">
        <v>102.31111315306025</v>
      </c>
      <c r="AE25" s="49">
        <v>2.9316750349376792</v>
      </c>
      <c r="AF25" s="49">
        <v>15.163911819458008</v>
      </c>
      <c r="AG25" s="49">
        <v>120.27376005118313</v>
      </c>
      <c r="AH25" s="49">
        <v>100.10002135951862</v>
      </c>
      <c r="AI25" s="48">
        <v>1.201535808061505</v>
      </c>
      <c r="AJ25" s="49">
        <v>48.739410400390625</v>
      </c>
      <c r="AK25" s="49">
        <v>0</v>
      </c>
      <c r="AL25" s="49">
        <v>0</v>
      </c>
      <c r="AM25" s="49">
        <v>169.01316833496094</v>
      </c>
      <c r="AN25" s="49">
        <v>100.10002135951862</v>
      </c>
      <c r="AO25" s="48">
        <v>1.6884428262710571</v>
      </c>
    </row>
    <row r="26" spans="1:41" ht="12.75" customHeight="1">
      <c r="A26" t="s">
        <v>172</v>
      </c>
      <c r="B26" t="s">
        <v>172</v>
      </c>
      <c r="C26" s="49">
        <v>45</v>
      </c>
      <c r="D26" s="49">
        <v>128.5616385354157</v>
      </c>
      <c r="E26" s="49">
        <v>60.67</v>
      </c>
      <c r="F26" s="49">
        <v>0</v>
      </c>
      <c r="G26" s="49">
        <v>0</v>
      </c>
      <c r="H26" s="49" t="s">
        <v>164</v>
      </c>
      <c r="I26" s="49">
        <v>0.21</v>
      </c>
      <c r="J26" s="49">
        <v>0.4009999930858612</v>
      </c>
      <c r="K26" s="49">
        <v>138.36446347374115</v>
      </c>
      <c r="L26" s="60">
        <v>0.030160985483963412</v>
      </c>
      <c r="M26" s="49">
        <v>0.07521442893767186</v>
      </c>
      <c r="N26" s="49"/>
      <c r="O26" s="49"/>
      <c r="P26" s="49">
        <v>60.66671294516991</v>
      </c>
      <c r="Q26" s="49">
        <v>0</v>
      </c>
      <c r="R26" s="49">
        <v>0</v>
      </c>
      <c r="S26" s="49">
        <v>0</v>
      </c>
      <c r="T26" s="49">
        <v>0</v>
      </c>
      <c r="U26" s="49">
        <v>0</v>
      </c>
      <c r="V26" s="49">
        <v>60.66671294516991</v>
      </c>
      <c r="W26" s="49">
        <v>0</v>
      </c>
      <c r="X26" s="49">
        <v>60.66671294516991</v>
      </c>
      <c r="Y26" s="49">
        <v>0</v>
      </c>
      <c r="Z26" s="49">
        <v>0</v>
      </c>
      <c r="AA26" s="49">
        <v>23.771984100341797</v>
      </c>
      <c r="AB26" s="49">
        <v>0</v>
      </c>
      <c r="AC26" s="49">
        <v>23.771984613263747</v>
      </c>
      <c r="AD26" s="49">
        <v>58.24172456889433</v>
      </c>
      <c r="AE26" s="49">
        <v>1.6688882043038988</v>
      </c>
      <c r="AF26" s="49">
        <v>8.632223129272461</v>
      </c>
      <c r="AG26" s="49">
        <v>68.46715837264205</v>
      </c>
      <c r="AH26" s="49">
        <v>60.66671294516991</v>
      </c>
      <c r="AI26" s="48">
        <v>1.1285786726985212</v>
      </c>
      <c r="AJ26" s="49">
        <v>27.745437622070312</v>
      </c>
      <c r="AK26" s="49">
        <v>0</v>
      </c>
      <c r="AL26" s="49">
        <v>0</v>
      </c>
      <c r="AM26" s="49">
        <v>96.21259307861328</v>
      </c>
      <c r="AN26" s="49">
        <v>60.66671294516991</v>
      </c>
      <c r="AO26" s="48">
        <v>1.5859206914901733</v>
      </c>
    </row>
    <row r="27" spans="1:41" ht="12.75" customHeight="1">
      <c r="A27" t="s">
        <v>242</v>
      </c>
      <c r="B27" t="s">
        <v>242</v>
      </c>
      <c r="C27" s="49">
        <v>45</v>
      </c>
      <c r="D27" s="49">
        <v>2403.771292303744</v>
      </c>
      <c r="E27" s="49">
        <v>1520.95</v>
      </c>
      <c r="F27" s="49">
        <v>0</v>
      </c>
      <c r="G27" s="49">
        <v>0</v>
      </c>
      <c r="H27" s="49" t="s">
        <v>164</v>
      </c>
      <c r="I27" s="49">
        <v>0.21</v>
      </c>
      <c r="J27" s="49">
        <v>0.4009999930858612</v>
      </c>
      <c r="K27" s="49">
        <v>2587.058853341904</v>
      </c>
      <c r="L27" s="60">
        <v>0.5639326931413456</v>
      </c>
      <c r="M27" s="49">
        <v>1.4063159672439138</v>
      </c>
      <c r="N27" s="49"/>
      <c r="O27" s="49"/>
      <c r="P27" s="49">
        <v>1520.9503245430556</v>
      </c>
      <c r="Q27" s="49">
        <v>0</v>
      </c>
      <c r="R27" s="49">
        <v>0</v>
      </c>
      <c r="S27" s="49">
        <v>0</v>
      </c>
      <c r="T27" s="49">
        <v>0</v>
      </c>
      <c r="U27" s="49">
        <v>0</v>
      </c>
      <c r="V27" s="49">
        <v>1520.9503245430556</v>
      </c>
      <c r="W27" s="49">
        <v>0</v>
      </c>
      <c r="X27" s="49">
        <v>1520.9503245430556</v>
      </c>
      <c r="Y27" s="49">
        <v>0</v>
      </c>
      <c r="Z27" s="49">
        <v>0</v>
      </c>
      <c r="AA27" s="49">
        <v>31.874858856201172</v>
      </c>
      <c r="AB27" s="49">
        <v>0</v>
      </c>
      <c r="AC27" s="49">
        <v>31.874858135577544</v>
      </c>
      <c r="AD27" s="49">
        <v>1088.970140143349</v>
      </c>
      <c r="AE27" s="49">
        <v>31.203908111866113</v>
      </c>
      <c r="AF27" s="49">
        <v>161.4003143310547</v>
      </c>
      <c r="AG27" s="49">
        <v>1280.1593878259378</v>
      </c>
      <c r="AH27" s="49">
        <v>1520.9503245430556</v>
      </c>
      <c r="AI27" s="69">
        <v>0.8416838914252776</v>
      </c>
      <c r="AJ27" s="49">
        <v>518.7681884765625</v>
      </c>
      <c r="AK27" s="49">
        <v>0</v>
      </c>
      <c r="AL27" s="49">
        <v>0</v>
      </c>
      <c r="AM27" s="49">
        <v>1798.9276123046875</v>
      </c>
      <c r="AN27" s="49">
        <v>1520.9503245430556</v>
      </c>
      <c r="AO27" s="48">
        <v>1.1827654838562012</v>
      </c>
    </row>
    <row r="28" spans="1:41" ht="12.75" customHeight="1">
      <c r="A28" t="s">
        <v>175</v>
      </c>
      <c r="B28" t="s">
        <v>175</v>
      </c>
      <c r="C28" s="49">
        <v>45</v>
      </c>
      <c r="D28" s="49">
        <v>38.33081043070646</v>
      </c>
      <c r="E28" s="49">
        <v>39.43</v>
      </c>
      <c r="F28" s="49">
        <v>0</v>
      </c>
      <c r="G28" s="49">
        <v>0</v>
      </c>
      <c r="H28" s="49" t="s">
        <v>164</v>
      </c>
      <c r="I28" s="49">
        <v>0.21</v>
      </c>
      <c r="J28" s="49">
        <v>0.4009999930858612</v>
      </c>
      <c r="K28" s="49">
        <v>41.253534726047825</v>
      </c>
      <c r="L28" s="60">
        <v>0.00899253486622772</v>
      </c>
      <c r="M28" s="49">
        <v>0.022425274367279747</v>
      </c>
      <c r="N28" s="49"/>
      <c r="O28" s="49"/>
      <c r="P28" s="49">
        <v>39.43330841434871</v>
      </c>
      <c r="Q28" s="49">
        <v>0</v>
      </c>
      <c r="R28" s="49">
        <v>0</v>
      </c>
      <c r="S28" s="49">
        <v>0</v>
      </c>
      <c r="T28" s="49">
        <v>0</v>
      </c>
      <c r="U28" s="49">
        <v>0</v>
      </c>
      <c r="V28" s="49">
        <v>39.43330841434871</v>
      </c>
      <c r="W28" s="49">
        <v>0</v>
      </c>
      <c r="X28" s="49">
        <v>39.43330841434871</v>
      </c>
      <c r="Y28" s="49">
        <v>0</v>
      </c>
      <c r="Z28" s="49">
        <v>0</v>
      </c>
      <c r="AA28" s="49">
        <v>51.82527160644531</v>
      </c>
      <c r="AB28" s="49">
        <v>0</v>
      </c>
      <c r="AC28" s="49">
        <v>51.82527182464079</v>
      </c>
      <c r="AD28" s="49">
        <v>17.36484171359341</v>
      </c>
      <c r="AE28" s="49">
        <v>0.4975810678672447</v>
      </c>
      <c r="AF28" s="49">
        <v>2.5737080574035645</v>
      </c>
      <c r="AG28" s="49">
        <v>20.41356749039751</v>
      </c>
      <c r="AH28" s="49">
        <v>39.43330841434871</v>
      </c>
      <c r="AI28" s="69">
        <v>0.5176732136167801</v>
      </c>
      <c r="AJ28" s="49">
        <v>8.272337913513184</v>
      </c>
      <c r="AK28" s="49">
        <v>0</v>
      </c>
      <c r="AL28" s="49">
        <v>0</v>
      </c>
      <c r="AM28" s="49">
        <v>28.68590545654297</v>
      </c>
      <c r="AN28" s="49">
        <v>39.43330841434871</v>
      </c>
      <c r="AO28" s="69">
        <v>0.7274537086486816</v>
      </c>
    </row>
    <row r="29" spans="1:41" ht="12.75" customHeight="1">
      <c r="A29" t="s">
        <v>174</v>
      </c>
      <c r="B29" t="s">
        <v>174</v>
      </c>
      <c r="C29" s="49">
        <v>45</v>
      </c>
      <c r="D29" s="49">
        <v>47.91351303838322</v>
      </c>
      <c r="E29" s="49">
        <v>54.6</v>
      </c>
      <c r="F29" s="49">
        <v>0</v>
      </c>
      <c r="G29" s="49">
        <v>0</v>
      </c>
      <c r="H29" s="49" t="s">
        <v>164</v>
      </c>
      <c r="I29" s="49">
        <v>0.21</v>
      </c>
      <c r="J29" s="49">
        <v>0.4009999930858612</v>
      </c>
      <c r="K29" s="49">
        <v>51.56691840755994</v>
      </c>
      <c r="L29" s="60">
        <v>0.011240668582784684</v>
      </c>
      <c r="M29" s="49">
        <v>0.02803159295909977</v>
      </c>
      <c r="N29" s="49"/>
      <c r="O29" s="49"/>
      <c r="P29" s="49">
        <v>54.60001165064652</v>
      </c>
      <c r="Q29" s="49">
        <v>0</v>
      </c>
      <c r="R29" s="49">
        <v>0</v>
      </c>
      <c r="S29" s="49">
        <v>0</v>
      </c>
      <c r="T29" s="49">
        <v>0</v>
      </c>
      <c r="U29" s="49">
        <v>0</v>
      </c>
      <c r="V29" s="49">
        <v>54.60001165064652</v>
      </c>
      <c r="W29" s="49">
        <v>0</v>
      </c>
      <c r="X29" s="49">
        <v>54.60001165064652</v>
      </c>
      <c r="Y29" s="49">
        <v>0</v>
      </c>
      <c r="Z29" s="49">
        <v>0</v>
      </c>
      <c r="AA29" s="49">
        <v>57.40650177001953</v>
      </c>
      <c r="AB29" s="49">
        <v>0</v>
      </c>
      <c r="AC29" s="49">
        <v>57.40650347042481</v>
      </c>
      <c r="AD29" s="49">
        <v>21.70605214199182</v>
      </c>
      <c r="AE29" s="49">
        <v>0.6219763348340581</v>
      </c>
      <c r="AF29" s="49">
        <v>3.217134714126587</v>
      </c>
      <c r="AG29" s="49">
        <v>25.516959005369078</v>
      </c>
      <c r="AH29" s="49">
        <v>54.60001165064652</v>
      </c>
      <c r="AI29" s="69">
        <v>0.4673434718043129</v>
      </c>
      <c r="AJ29" s="49">
        <v>10.34041976928711</v>
      </c>
      <c r="AK29" s="49">
        <v>0</v>
      </c>
      <c r="AL29" s="49">
        <v>0</v>
      </c>
      <c r="AM29" s="49">
        <v>35.85737991333008</v>
      </c>
      <c r="AN29" s="49">
        <v>54.60001165064652</v>
      </c>
      <c r="AO29" s="69">
        <v>0.6567284464836121</v>
      </c>
    </row>
    <row r="30" spans="1:41" ht="12.75" customHeight="1">
      <c r="A30" t="s">
        <v>170</v>
      </c>
      <c r="B30" t="s">
        <v>170</v>
      </c>
      <c r="C30" s="49">
        <v>45</v>
      </c>
      <c r="D30" s="49">
        <v>435.35732411368554</v>
      </c>
      <c r="E30" s="49">
        <v>550</v>
      </c>
      <c r="F30" s="49">
        <v>0</v>
      </c>
      <c r="G30" s="49">
        <v>0</v>
      </c>
      <c r="H30" s="49" t="s">
        <v>164</v>
      </c>
      <c r="I30" s="49">
        <v>0.21</v>
      </c>
      <c r="J30" s="49">
        <v>0.4009999930858612</v>
      </c>
      <c r="K30" s="49">
        <v>468.55332007735404</v>
      </c>
      <c r="L30" s="60">
        <v>0.10213626772742787</v>
      </c>
      <c r="M30" s="49">
        <v>0.25470391393637426</v>
      </c>
      <c r="N30" s="49"/>
      <c r="O30" s="49"/>
      <c r="P30" s="49">
        <v>550.0001173599925</v>
      </c>
      <c r="Q30" s="49">
        <v>0</v>
      </c>
      <c r="R30" s="49">
        <v>0</v>
      </c>
      <c r="S30" s="49">
        <v>0</v>
      </c>
      <c r="T30" s="49">
        <v>0</v>
      </c>
      <c r="U30" s="49">
        <v>0</v>
      </c>
      <c r="V30" s="49">
        <v>550.0001173599925</v>
      </c>
      <c r="W30" s="49">
        <v>0</v>
      </c>
      <c r="X30" s="49">
        <v>550.0001173599925</v>
      </c>
      <c r="Y30" s="49">
        <v>0</v>
      </c>
      <c r="Z30" s="49">
        <v>0</v>
      </c>
      <c r="AA30" s="49">
        <v>63.64192581176758</v>
      </c>
      <c r="AB30" s="49">
        <v>0</v>
      </c>
      <c r="AC30" s="49">
        <v>63.64192419368031</v>
      </c>
      <c r="AD30" s="49">
        <v>197.2280506762148</v>
      </c>
      <c r="AE30" s="49">
        <v>5.651473574448013</v>
      </c>
      <c r="AF30" s="49">
        <v>29.231903076171875</v>
      </c>
      <c r="AG30" s="49">
        <v>231.85515518176044</v>
      </c>
      <c r="AH30" s="49">
        <v>550.0001173599925</v>
      </c>
      <c r="AI30" s="69">
        <v>0.4215547376510902</v>
      </c>
      <c r="AJ30" s="49">
        <v>93.95632934570312</v>
      </c>
      <c r="AK30" s="49">
        <v>0</v>
      </c>
      <c r="AL30" s="49">
        <v>0</v>
      </c>
      <c r="AM30" s="49">
        <v>325.8114929199219</v>
      </c>
      <c r="AN30" s="49">
        <v>550.0001173599925</v>
      </c>
      <c r="AO30" s="69">
        <v>0.592384397983551</v>
      </c>
    </row>
    <row r="31" spans="1:41" ht="12.75" customHeight="1">
      <c r="A31" t="s">
        <v>245</v>
      </c>
      <c r="B31" t="s">
        <v>243</v>
      </c>
      <c r="C31" s="49">
        <v>45</v>
      </c>
      <c r="D31" s="49">
        <v>264.72882839144194</v>
      </c>
      <c r="E31" s="49">
        <v>456</v>
      </c>
      <c r="F31" s="49">
        <v>0</v>
      </c>
      <c r="G31" s="49">
        <v>0</v>
      </c>
      <c r="H31" s="49" t="s">
        <v>164</v>
      </c>
      <c r="I31" s="49">
        <v>0.21</v>
      </c>
      <c r="J31" s="49">
        <v>0.4009999930858612</v>
      </c>
      <c r="K31" s="49">
        <v>284.91440155628936</v>
      </c>
      <c r="L31" s="60">
        <v>0.062106258455171946</v>
      </c>
      <c r="M31" s="49">
        <v>0.1548784526833493</v>
      </c>
      <c r="N31" s="49"/>
      <c r="O31" s="49"/>
      <c r="P31" s="49">
        <v>456.0000973021028</v>
      </c>
      <c r="Q31" s="49">
        <v>0</v>
      </c>
      <c r="R31" s="49">
        <v>0</v>
      </c>
      <c r="S31" s="49">
        <v>0</v>
      </c>
      <c r="T31" s="49">
        <v>0</v>
      </c>
      <c r="U31" s="49">
        <v>0</v>
      </c>
      <c r="V31" s="49">
        <v>456.0000973021028</v>
      </c>
      <c r="W31" s="49">
        <v>0</v>
      </c>
      <c r="X31" s="49">
        <v>456.0000973021028</v>
      </c>
      <c r="Y31" s="49">
        <v>0</v>
      </c>
      <c r="Z31" s="49">
        <v>0</v>
      </c>
      <c r="AA31" s="49">
        <v>86.77409362792969</v>
      </c>
      <c r="AB31" s="49">
        <v>0</v>
      </c>
      <c r="AC31" s="49">
        <v>86.7740909337514</v>
      </c>
      <c r="AD31" s="49">
        <v>119.92895924683664</v>
      </c>
      <c r="AE31" s="49">
        <v>3.4365058198909164</v>
      </c>
      <c r="AF31" s="49">
        <v>17.775117874145508</v>
      </c>
      <c r="AG31" s="49">
        <v>140.9847508899182</v>
      </c>
      <c r="AH31" s="49">
        <v>456.0000973021028</v>
      </c>
      <c r="AI31" s="69">
        <v>0.3091770193121581</v>
      </c>
      <c r="AJ31" s="49">
        <v>57.13226318359375</v>
      </c>
      <c r="AK31" s="49">
        <v>0</v>
      </c>
      <c r="AL31" s="49">
        <v>0</v>
      </c>
      <c r="AM31" s="49">
        <v>198.1170196533203</v>
      </c>
      <c r="AN31" s="49">
        <v>456.0000973021028</v>
      </c>
      <c r="AO31" s="69">
        <v>0.43446704745292664</v>
      </c>
    </row>
    <row r="32" spans="1:41" ht="12.75" customHeight="1">
      <c r="A32" t="s">
        <v>176</v>
      </c>
      <c r="B32" t="s">
        <v>176</v>
      </c>
      <c r="C32" s="49">
        <v>45</v>
      </c>
      <c r="D32" s="49">
        <v>80.12048997948052</v>
      </c>
      <c r="E32" s="49">
        <v>150.1</v>
      </c>
      <c r="F32" s="49">
        <v>0</v>
      </c>
      <c r="G32" s="49">
        <v>0</v>
      </c>
      <c r="H32" s="49" t="s">
        <v>164</v>
      </c>
      <c r="I32" s="49">
        <v>0.21</v>
      </c>
      <c r="J32" s="49">
        <v>0.4009999930858612</v>
      </c>
      <c r="K32" s="49">
        <v>86.2296773404159</v>
      </c>
      <c r="L32" s="60">
        <v>0.018796531864156786</v>
      </c>
      <c r="M32" s="49">
        <v>0.04687414510785818</v>
      </c>
      <c r="N32" s="49"/>
      <c r="O32" s="49"/>
      <c r="P32" s="49">
        <v>150.10003202860884</v>
      </c>
      <c r="Q32" s="49">
        <v>0</v>
      </c>
      <c r="R32" s="49">
        <v>0</v>
      </c>
      <c r="S32" s="49">
        <v>0</v>
      </c>
      <c r="T32" s="49">
        <v>0</v>
      </c>
      <c r="U32" s="49">
        <v>0</v>
      </c>
      <c r="V32" s="49">
        <v>150.10003202860884</v>
      </c>
      <c r="W32" s="49">
        <v>0</v>
      </c>
      <c r="X32" s="49">
        <v>150.10003202860884</v>
      </c>
      <c r="Y32" s="49">
        <v>0</v>
      </c>
      <c r="Z32" s="49">
        <v>0</v>
      </c>
      <c r="AA32" s="49">
        <v>94.37643432617188</v>
      </c>
      <c r="AB32" s="49">
        <v>0</v>
      </c>
      <c r="AC32" s="49">
        <v>94.37643392091424</v>
      </c>
      <c r="AD32" s="49">
        <v>36.29663998428502</v>
      </c>
      <c r="AE32" s="49">
        <v>1.040062511438583</v>
      </c>
      <c r="AF32" s="49">
        <v>5.379660606384277</v>
      </c>
      <c r="AG32" s="49">
        <v>42.669200349366236</v>
      </c>
      <c r="AH32" s="49">
        <v>150.10003202860884</v>
      </c>
      <c r="AI32" s="69">
        <v>0.28427176045661035</v>
      </c>
      <c r="AJ32" s="49">
        <v>17.29115104675293</v>
      </c>
      <c r="AK32" s="49">
        <v>0</v>
      </c>
      <c r="AL32" s="49">
        <v>0</v>
      </c>
      <c r="AM32" s="49">
        <v>59.960350036621094</v>
      </c>
      <c r="AN32" s="49">
        <v>150.10003202860884</v>
      </c>
      <c r="AO32" s="69">
        <v>0.399469256401062</v>
      </c>
    </row>
    <row r="33" spans="1:41" ht="12.75" customHeight="1">
      <c r="A33"/>
      <c r="B33"/>
      <c r="C33" s="49"/>
      <c r="D33" s="49"/>
      <c r="E33" s="49"/>
      <c r="F33" s="49"/>
      <c r="G33" s="49"/>
      <c r="H33" s="49"/>
      <c r="I33" s="49"/>
      <c r="J33" s="49"/>
      <c r="K33" s="49"/>
      <c r="L33" s="60"/>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61"/>
    </row>
    <row r="34" spans="1:41" ht="12.75" customHeight="1" thickBot="1">
      <c r="A34"/>
      <c r="B34"/>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thickBot="1">
      <c r="A35" s="62" t="s">
        <v>129</v>
      </c>
      <c r="B35" s="71"/>
      <c r="C35" s="72" t="s">
        <v>101</v>
      </c>
      <c r="D35" s="63"/>
      <c r="E35" s="63"/>
      <c r="F35" s="63"/>
      <c r="G35" s="63"/>
      <c r="H35" s="63"/>
      <c r="I35" s="63"/>
      <c r="J35" s="64"/>
      <c r="K35" s="72" t="s">
        <v>45</v>
      </c>
      <c r="L35" s="63"/>
      <c r="M35" s="64"/>
      <c r="N35" s="72" t="s">
        <v>102</v>
      </c>
      <c r="O35" s="63"/>
      <c r="P35" s="63"/>
      <c r="Q35" s="63"/>
      <c r="R35" s="73" t="s">
        <v>103</v>
      </c>
      <c r="S35" s="72" t="s">
        <v>79</v>
      </c>
      <c r="T35" s="63"/>
      <c r="U35" s="63"/>
      <c r="V35" s="63"/>
      <c r="W35" s="63"/>
      <c r="X35" s="64"/>
      <c r="Y35" s="72" t="s">
        <v>80</v>
      </c>
      <c r="Z35" s="63"/>
      <c r="AA35" s="63"/>
      <c r="AB35" s="63"/>
      <c r="AC35" s="63"/>
      <c r="AD35" s="64"/>
      <c r="AE35" s="49"/>
      <c r="AF35" s="49"/>
      <c r="AG35" s="49"/>
      <c r="AH35" s="49"/>
      <c r="AI35" s="49"/>
      <c r="AJ35" s="49"/>
      <c r="AK35" s="49"/>
      <c r="AL35" s="49"/>
      <c r="AM35" s="49"/>
      <c r="AN35" s="49"/>
      <c r="AO35" s="49"/>
    </row>
    <row r="36" spans="1:41" ht="51">
      <c r="A36" s="57"/>
      <c r="B36" s="58" t="s">
        <v>51</v>
      </c>
      <c r="C36" s="59" t="s">
        <v>104</v>
      </c>
      <c r="D36" s="59" t="s">
        <v>82</v>
      </c>
      <c r="E36" s="59" t="s">
        <v>83</v>
      </c>
      <c r="F36" s="59" t="s">
        <v>84</v>
      </c>
      <c r="G36" s="59" t="s">
        <v>85</v>
      </c>
      <c r="H36" s="59" t="s">
        <v>86</v>
      </c>
      <c r="I36" s="59" t="s">
        <v>105</v>
      </c>
      <c r="J36" s="59" t="s">
        <v>106</v>
      </c>
      <c r="K36" s="59" t="s">
        <v>89</v>
      </c>
      <c r="L36" s="59" t="s">
        <v>90</v>
      </c>
      <c r="M36" s="59" t="s">
        <v>91</v>
      </c>
      <c r="N36" s="59" t="s">
        <v>46</v>
      </c>
      <c r="O36" s="59" t="s">
        <v>107</v>
      </c>
      <c r="P36" s="59" t="s">
        <v>108</v>
      </c>
      <c r="Q36" s="59" t="s">
        <v>109</v>
      </c>
      <c r="R36" s="59" t="s">
        <v>110</v>
      </c>
      <c r="S36" s="59" t="s">
        <v>92</v>
      </c>
      <c r="T36" s="59" t="s">
        <v>93</v>
      </c>
      <c r="U36" s="59" t="s">
        <v>56</v>
      </c>
      <c r="V36" s="59" t="s">
        <v>94</v>
      </c>
      <c r="W36" s="59" t="s">
        <v>95</v>
      </c>
      <c r="X36" s="59" t="s">
        <v>96</v>
      </c>
      <c r="Y36" s="59" t="s">
        <v>97</v>
      </c>
      <c r="Z36" s="59" t="s">
        <v>54</v>
      </c>
      <c r="AA36" s="59" t="s">
        <v>55</v>
      </c>
      <c r="AB36" s="59" t="s">
        <v>98</v>
      </c>
      <c r="AC36" s="59" t="s">
        <v>99</v>
      </c>
      <c r="AD36" s="59" t="s">
        <v>100</v>
      </c>
      <c r="AE36" s="49"/>
      <c r="AF36" s="49"/>
      <c r="AG36" s="49"/>
      <c r="AH36" s="49"/>
      <c r="AI36" s="49"/>
      <c r="AJ36" s="49"/>
      <c r="AK36" s="49"/>
      <c r="AL36" s="49"/>
      <c r="AM36" s="49"/>
      <c r="AN36" s="49"/>
      <c r="AO36" s="49"/>
    </row>
    <row r="37" spans="1:41" ht="12.75" customHeight="1">
      <c r="A37"/>
      <c r="B37" t="s">
        <v>166</v>
      </c>
      <c r="C37" s="49">
        <v>45</v>
      </c>
      <c r="D37" s="49">
        <v>1159.2399357770628</v>
      </c>
      <c r="E37" s="49">
        <v>260.87</v>
      </c>
      <c r="F37" s="49">
        <v>0</v>
      </c>
      <c r="G37" s="49">
        <v>0</v>
      </c>
      <c r="H37" s="49"/>
      <c r="I37" s="49">
        <v>0.21</v>
      </c>
      <c r="J37" s="49">
        <v>0.4009999930858612</v>
      </c>
      <c r="K37" s="49">
        <v>1247.6319808800638</v>
      </c>
      <c r="L37" s="49">
        <v>0.2719615219105267</v>
      </c>
      <c r="M37" s="49">
        <v>0.6782082915306091</v>
      </c>
      <c r="N37" s="49">
        <v>260.8667556642071</v>
      </c>
      <c r="O37" s="49">
        <v>0</v>
      </c>
      <c r="P37" s="49">
        <v>0</v>
      </c>
      <c r="Q37" s="49">
        <v>260.86676025390625</v>
      </c>
      <c r="R37" s="49">
        <v>11.336312108673946</v>
      </c>
      <c r="S37" s="49">
        <v>525.1654678482599</v>
      </c>
      <c r="T37" s="49">
        <v>15.048359870910645</v>
      </c>
      <c r="U37" s="49">
        <v>77.83673095703125</v>
      </c>
      <c r="V37" s="49">
        <v>617.3681750093767</v>
      </c>
      <c r="W37" s="49">
        <v>260.8667556642071</v>
      </c>
      <c r="X37" s="48">
        <v>2.3666034924130592</v>
      </c>
      <c r="Y37" s="60">
        <v>250.1805419921875</v>
      </c>
      <c r="Z37" s="60">
        <v>0</v>
      </c>
      <c r="AA37" s="60">
        <v>0</v>
      </c>
      <c r="AB37" s="60">
        <v>867.5487060546875</v>
      </c>
      <c r="AC37" s="60">
        <v>260.86676025390625</v>
      </c>
      <c r="AD37" s="48">
        <v>3.325639247894287</v>
      </c>
      <c r="AE37" s="60"/>
      <c r="AF37" s="60"/>
      <c r="AG37" s="60"/>
      <c r="AH37" s="60"/>
      <c r="AI37" s="60"/>
      <c r="AJ37" s="60"/>
      <c r="AK37" s="60"/>
      <c r="AL37" s="49"/>
      <c r="AM37" s="49"/>
      <c r="AN37" s="49"/>
      <c r="AO37" s="49"/>
    </row>
    <row r="38" spans="1:41" ht="12.75" customHeight="1">
      <c r="A38"/>
      <c r="B38" t="s">
        <v>171</v>
      </c>
      <c r="C38" s="49">
        <v>45</v>
      </c>
      <c r="D38" s="49">
        <v>719.5292065834547</v>
      </c>
      <c r="E38" s="49">
        <v>242.67</v>
      </c>
      <c r="F38" s="49">
        <v>0</v>
      </c>
      <c r="G38" s="49">
        <v>0</v>
      </c>
      <c r="H38" s="49"/>
      <c r="I38" s="49">
        <v>0.21</v>
      </c>
      <c r="J38" s="49">
        <v>0.4010000228881836</v>
      </c>
      <c r="K38" s="49">
        <v>774.3933085854429</v>
      </c>
      <c r="L38" s="49">
        <v>0.1688039309570014</v>
      </c>
      <c r="M38" s="49">
        <v>0.42095744609832764</v>
      </c>
      <c r="N38" s="49">
        <v>242.66675178065833</v>
      </c>
      <c r="O38" s="49">
        <v>0</v>
      </c>
      <c r="P38" s="49">
        <v>0</v>
      </c>
      <c r="Q38" s="49">
        <v>242.666748046875</v>
      </c>
      <c r="R38" s="49">
        <v>16.989798236531076</v>
      </c>
      <c r="S38" s="49">
        <v>325.96521284663186</v>
      </c>
      <c r="T38" s="49">
        <v>9.340373992919922</v>
      </c>
      <c r="U38" s="49">
        <v>48.31251907348633</v>
      </c>
      <c r="V38" s="49">
        <v>383.1945567644879</v>
      </c>
      <c r="W38" s="49">
        <v>242.66675178065833</v>
      </c>
      <c r="X38" s="48">
        <v>1.5790978943454514</v>
      </c>
      <c r="Y38" s="60">
        <v>155.28469848632812</v>
      </c>
      <c r="Z38" s="60">
        <v>0</v>
      </c>
      <c r="AA38" s="60">
        <v>0</v>
      </c>
      <c r="AB38" s="60">
        <v>538.479248046875</v>
      </c>
      <c r="AC38" s="60">
        <v>242.666748046875</v>
      </c>
      <c r="AD38" s="48">
        <v>2.2190072536468506</v>
      </c>
      <c r="AE38" s="60"/>
      <c r="AF38" s="60"/>
      <c r="AG38" s="60"/>
      <c r="AH38" s="60"/>
      <c r="AI38" s="60"/>
      <c r="AJ38" s="60"/>
      <c r="AK38" s="60"/>
      <c r="AL38" s="49"/>
      <c r="AM38" s="49"/>
      <c r="AN38" s="49"/>
      <c r="AO38" s="49"/>
    </row>
    <row r="39" spans="1:41" ht="12.75" customHeight="1">
      <c r="A39"/>
      <c r="B39" t="s">
        <v>167</v>
      </c>
      <c r="C39" s="49">
        <v>45</v>
      </c>
      <c r="D39" s="49">
        <v>917.967929601713</v>
      </c>
      <c r="E39" s="49">
        <v>343.17</v>
      </c>
      <c r="F39" s="49">
        <v>0</v>
      </c>
      <c r="G39" s="49">
        <v>0</v>
      </c>
      <c r="H39" s="49"/>
      <c r="I39" s="49">
        <v>0.21</v>
      </c>
      <c r="J39" s="49">
        <v>0.4009999930858612</v>
      </c>
      <c r="K39" s="49">
        <v>987.9629842338435</v>
      </c>
      <c r="L39" s="49">
        <v>0.21535831150622858</v>
      </c>
      <c r="M39" s="49">
        <v>0.5370531678199768</v>
      </c>
      <c r="N39" s="49">
        <v>343.17007322623385</v>
      </c>
      <c r="O39" s="49">
        <v>0</v>
      </c>
      <c r="P39" s="49">
        <v>0</v>
      </c>
      <c r="Q39" s="49">
        <v>343.1700744628906</v>
      </c>
      <c r="R39" s="49">
        <v>18.832512303713294</v>
      </c>
      <c r="S39" s="49">
        <v>415.8630515914991</v>
      </c>
      <c r="T39" s="49">
        <v>11.916353225708008</v>
      </c>
      <c r="U39" s="49">
        <v>61.63661193847656</v>
      </c>
      <c r="V39" s="49">
        <v>488.87565656280026</v>
      </c>
      <c r="W39" s="49">
        <v>343.17007322623385</v>
      </c>
      <c r="X39" s="48">
        <v>1.4245870916620123</v>
      </c>
      <c r="Y39" s="60">
        <v>198.11061096191406</v>
      </c>
      <c r="Z39" s="60">
        <v>0</v>
      </c>
      <c r="AA39" s="60">
        <v>0</v>
      </c>
      <c r="AB39" s="60">
        <v>686.9862670898438</v>
      </c>
      <c r="AC39" s="60">
        <v>343.1700744628906</v>
      </c>
      <c r="AD39" s="48">
        <v>2.001882791519165</v>
      </c>
      <c r="AE39" s="60"/>
      <c r="AF39" s="60"/>
      <c r="AG39" s="60"/>
      <c r="AH39" s="60"/>
      <c r="AI39" s="60"/>
      <c r="AJ39" s="60"/>
      <c r="AK39" s="60"/>
      <c r="AL39" s="49"/>
      <c r="AM39" s="49"/>
      <c r="AN39" s="49"/>
      <c r="AO39" s="49"/>
    </row>
    <row r="40" spans="1:41" ht="12.75" customHeight="1">
      <c r="A40"/>
      <c r="B40" t="s">
        <v>173</v>
      </c>
      <c r="C40" s="49">
        <v>45</v>
      </c>
      <c r="D40" s="49">
        <v>225.83954106270843</v>
      </c>
      <c r="E40" s="49">
        <v>100.1</v>
      </c>
      <c r="F40" s="49">
        <v>0</v>
      </c>
      <c r="G40" s="49">
        <v>0</v>
      </c>
      <c r="H40" s="49"/>
      <c r="I40" s="49">
        <v>0.21</v>
      </c>
      <c r="J40" s="49">
        <v>0.4009999930858612</v>
      </c>
      <c r="K40" s="49">
        <v>243.05980606873996</v>
      </c>
      <c r="L40" s="49">
        <v>0.052982703062087126</v>
      </c>
      <c r="M40" s="49">
        <v>0.13212645053863525</v>
      </c>
      <c r="N40" s="49">
        <v>100.10002135951862</v>
      </c>
      <c r="O40" s="49">
        <v>0</v>
      </c>
      <c r="P40" s="49">
        <v>0</v>
      </c>
      <c r="Q40" s="49">
        <v>100.10002136230469</v>
      </c>
      <c r="R40" s="49">
        <v>22.328552581635236</v>
      </c>
      <c r="S40" s="49">
        <v>102.31111315306025</v>
      </c>
      <c r="T40" s="49">
        <v>2.9316749572753906</v>
      </c>
      <c r="U40" s="49">
        <v>15.163911819458008</v>
      </c>
      <c r="V40" s="49">
        <v>120.27376005118313</v>
      </c>
      <c r="W40" s="49">
        <v>100.10002135951862</v>
      </c>
      <c r="X40" s="48">
        <v>1.201535808061505</v>
      </c>
      <c r="Y40" s="60">
        <v>48.739410400390625</v>
      </c>
      <c r="Z40" s="60">
        <v>0</v>
      </c>
      <c r="AA40" s="60">
        <v>0</v>
      </c>
      <c r="AB40" s="60">
        <v>169.01316833496094</v>
      </c>
      <c r="AC40" s="60">
        <v>100.10002136230469</v>
      </c>
      <c r="AD40" s="48">
        <v>1.6884428262710571</v>
      </c>
      <c r="AE40" s="60"/>
      <c r="AF40" s="60"/>
      <c r="AG40" s="60"/>
      <c r="AH40" s="60"/>
      <c r="AI40" s="60"/>
      <c r="AJ40" s="60"/>
      <c r="AK40" s="60"/>
      <c r="AL40" s="49"/>
      <c r="AM40" s="49"/>
      <c r="AN40" s="49"/>
      <c r="AO40" s="49"/>
    </row>
    <row r="41" spans="1:41" ht="12.75" customHeight="1">
      <c r="A41"/>
      <c r="B41" t="s">
        <v>172</v>
      </c>
      <c r="C41" s="49">
        <v>45</v>
      </c>
      <c r="D41" s="49">
        <v>128.5616385354157</v>
      </c>
      <c r="E41" s="49">
        <v>60.67</v>
      </c>
      <c r="F41" s="49">
        <v>0</v>
      </c>
      <c r="G41" s="49">
        <v>0</v>
      </c>
      <c r="H41" s="49"/>
      <c r="I41" s="49">
        <v>0.21</v>
      </c>
      <c r="J41" s="49">
        <v>0.4009999930858612</v>
      </c>
      <c r="K41" s="49">
        <v>138.36446347374115</v>
      </c>
      <c r="L41" s="49">
        <v>0.030160985483963412</v>
      </c>
      <c r="M41" s="49">
        <v>0.0752144306898117</v>
      </c>
      <c r="N41" s="49">
        <v>60.66671294516991</v>
      </c>
      <c r="O41" s="49">
        <v>0</v>
      </c>
      <c r="P41" s="49">
        <v>0</v>
      </c>
      <c r="Q41" s="49">
        <v>60.66671371459961</v>
      </c>
      <c r="R41" s="49">
        <v>23.771985357214003</v>
      </c>
      <c r="S41" s="49">
        <v>58.24172456889433</v>
      </c>
      <c r="T41" s="49">
        <v>1.6688882112503052</v>
      </c>
      <c r="U41" s="49">
        <v>8.632223129272461</v>
      </c>
      <c r="V41" s="49">
        <v>68.46715837264205</v>
      </c>
      <c r="W41" s="49">
        <v>60.66671294516991</v>
      </c>
      <c r="X41" s="48">
        <v>1.1285786726985212</v>
      </c>
      <c r="Y41" s="60">
        <v>27.745437622070312</v>
      </c>
      <c r="Z41" s="60">
        <v>0</v>
      </c>
      <c r="AA41" s="60">
        <v>0</v>
      </c>
      <c r="AB41" s="60">
        <v>96.21259307861328</v>
      </c>
      <c r="AC41" s="60">
        <v>60.66671371459961</v>
      </c>
      <c r="AD41" s="48">
        <v>1.5859206914901733</v>
      </c>
      <c r="AE41" s="60"/>
      <c r="AF41" s="60"/>
      <c r="AG41" s="60"/>
      <c r="AH41" s="60"/>
      <c r="AI41" s="60"/>
      <c r="AJ41" s="60"/>
      <c r="AK41" s="60"/>
      <c r="AL41" s="49"/>
      <c r="AM41" s="49"/>
      <c r="AN41" s="49"/>
      <c r="AO41" s="49"/>
    </row>
    <row r="42" spans="1:41" ht="12.75" customHeight="1">
      <c r="A42"/>
      <c r="B42" t="s">
        <v>242</v>
      </c>
      <c r="C42" s="49">
        <v>45</v>
      </c>
      <c r="D42" s="49">
        <v>2403.771292303744</v>
      </c>
      <c r="E42" s="49">
        <v>1520.95</v>
      </c>
      <c r="F42" s="49">
        <v>0</v>
      </c>
      <c r="G42" s="49">
        <v>0</v>
      </c>
      <c r="H42" s="49"/>
      <c r="I42" s="49">
        <v>0.21</v>
      </c>
      <c r="J42" s="49">
        <v>0.4009999930858612</v>
      </c>
      <c r="K42" s="49">
        <v>2587.058853341904</v>
      </c>
      <c r="L42" s="49">
        <v>0.5639326931413456</v>
      </c>
      <c r="M42" s="49">
        <v>1.4063159227371216</v>
      </c>
      <c r="N42" s="49">
        <v>1520.9503245430556</v>
      </c>
      <c r="O42" s="49">
        <v>0</v>
      </c>
      <c r="P42" s="49">
        <v>0</v>
      </c>
      <c r="Q42" s="49">
        <v>1520.9503173828125</v>
      </c>
      <c r="R42" s="49">
        <v>31.87485919301375</v>
      </c>
      <c r="S42" s="49">
        <v>1088.970140143349</v>
      </c>
      <c r="T42" s="49">
        <v>31.203908920288086</v>
      </c>
      <c r="U42" s="49">
        <v>161.4003143310547</v>
      </c>
      <c r="V42" s="49">
        <v>1280.1593878259378</v>
      </c>
      <c r="W42" s="49">
        <v>1520.9503245430556</v>
      </c>
      <c r="X42" s="69">
        <v>0.8416838914252776</v>
      </c>
      <c r="Y42" s="60">
        <v>518.7681884765625</v>
      </c>
      <c r="Z42" s="60">
        <v>0</v>
      </c>
      <c r="AA42" s="60">
        <v>0</v>
      </c>
      <c r="AB42" s="60">
        <v>1798.9276123046875</v>
      </c>
      <c r="AC42" s="60">
        <v>1520.9503173828125</v>
      </c>
      <c r="AD42" s="48">
        <v>1.1827654838562012</v>
      </c>
      <c r="AE42" s="60"/>
      <c r="AF42" s="60"/>
      <c r="AG42" s="60"/>
      <c r="AH42" s="60"/>
      <c r="AI42" s="60"/>
      <c r="AJ42" s="60"/>
      <c r="AK42" s="60"/>
      <c r="AL42" s="49"/>
      <c r="AM42" s="49"/>
      <c r="AN42" s="49"/>
      <c r="AO42" s="49"/>
    </row>
    <row r="43" spans="1:41" ht="12.75" customHeight="1">
      <c r="A43"/>
      <c r="B43" t="s">
        <v>175</v>
      </c>
      <c r="C43" s="49">
        <v>45</v>
      </c>
      <c r="D43" s="49">
        <v>38.33081043070646</v>
      </c>
      <c r="E43" s="49">
        <v>39.43</v>
      </c>
      <c r="F43" s="49">
        <v>0</v>
      </c>
      <c r="G43" s="49">
        <v>0</v>
      </c>
      <c r="H43" s="49"/>
      <c r="I43" s="49">
        <v>0.21</v>
      </c>
      <c r="J43" s="49">
        <v>0.4009999930858612</v>
      </c>
      <c r="K43" s="49">
        <v>41.253534726047825</v>
      </c>
      <c r="L43" s="49">
        <v>0.00899253486622772</v>
      </c>
      <c r="M43" s="49">
        <v>0.022425275295972824</v>
      </c>
      <c r="N43" s="49">
        <v>39.43330841434871</v>
      </c>
      <c r="O43" s="49">
        <v>0</v>
      </c>
      <c r="P43" s="49">
        <v>0</v>
      </c>
      <c r="Q43" s="49">
        <v>39.43330764770508</v>
      </c>
      <c r="R43" s="49">
        <v>51.825272060419145</v>
      </c>
      <c r="S43" s="49">
        <v>17.36484171359341</v>
      </c>
      <c r="T43" s="49">
        <v>0.4975810647010803</v>
      </c>
      <c r="U43" s="49">
        <v>2.5737080574035645</v>
      </c>
      <c r="V43" s="49">
        <v>20.41356749039751</v>
      </c>
      <c r="W43" s="49">
        <v>39.43330841434871</v>
      </c>
      <c r="X43" s="69">
        <v>0.5176732136167801</v>
      </c>
      <c r="Y43" s="60">
        <v>8.272337913513184</v>
      </c>
      <c r="Z43" s="60">
        <v>0</v>
      </c>
      <c r="AA43" s="60">
        <v>0</v>
      </c>
      <c r="AB43" s="60">
        <v>28.68590545654297</v>
      </c>
      <c r="AC43" s="60">
        <v>39.43330764770508</v>
      </c>
      <c r="AD43" s="69">
        <v>0.7274537086486816</v>
      </c>
      <c r="AE43" s="60"/>
      <c r="AF43" s="60"/>
      <c r="AG43" s="60"/>
      <c r="AH43" s="60"/>
      <c r="AI43" s="60"/>
      <c r="AJ43" s="60"/>
      <c r="AK43" s="60"/>
      <c r="AL43" s="49"/>
      <c r="AM43" s="49"/>
      <c r="AN43" s="49"/>
      <c r="AO43" s="49"/>
    </row>
    <row r="44" spans="1:41" ht="12.75" customHeight="1">
      <c r="A44"/>
      <c r="B44" t="s">
        <v>174</v>
      </c>
      <c r="C44" s="49">
        <v>45</v>
      </c>
      <c r="D44" s="49">
        <v>47.91351303838322</v>
      </c>
      <c r="E44" s="49">
        <v>54.6</v>
      </c>
      <c r="F44" s="49">
        <v>0</v>
      </c>
      <c r="G44" s="49">
        <v>0</v>
      </c>
      <c r="H44" s="49"/>
      <c r="I44" s="49">
        <v>0.21</v>
      </c>
      <c r="J44" s="49">
        <v>0.4009999930858612</v>
      </c>
      <c r="K44" s="49">
        <v>51.56691840755994</v>
      </c>
      <c r="L44" s="49">
        <v>0.011240668582784684</v>
      </c>
      <c r="M44" s="49">
        <v>0.028031593188643456</v>
      </c>
      <c r="N44" s="49">
        <v>54.60001165064652</v>
      </c>
      <c r="O44" s="49">
        <v>0</v>
      </c>
      <c r="P44" s="49">
        <v>0</v>
      </c>
      <c r="Q44" s="49">
        <v>54.60000991821289</v>
      </c>
      <c r="R44" s="49">
        <v>57.40650354202887</v>
      </c>
      <c r="S44" s="49">
        <v>21.70605214199182</v>
      </c>
      <c r="T44" s="49">
        <v>0.6219763159751892</v>
      </c>
      <c r="U44" s="49">
        <v>3.217134714126587</v>
      </c>
      <c r="V44" s="49">
        <v>25.516959005369078</v>
      </c>
      <c r="W44" s="49">
        <v>54.60001165064652</v>
      </c>
      <c r="X44" s="69">
        <v>0.4673434718043129</v>
      </c>
      <c r="Y44" s="60">
        <v>10.34041976928711</v>
      </c>
      <c r="Z44" s="60">
        <v>0</v>
      </c>
      <c r="AA44" s="60">
        <v>0</v>
      </c>
      <c r="AB44" s="60">
        <v>35.85737991333008</v>
      </c>
      <c r="AC44" s="60">
        <v>54.60000991821289</v>
      </c>
      <c r="AD44" s="69">
        <v>0.6567284464836121</v>
      </c>
      <c r="AE44" s="60"/>
      <c r="AF44" s="60"/>
      <c r="AG44" s="60"/>
      <c r="AH44" s="60"/>
      <c r="AI44" s="60"/>
      <c r="AJ44" s="60"/>
      <c r="AK44" s="60"/>
      <c r="AL44" s="49"/>
      <c r="AM44" s="49"/>
      <c r="AN44" s="49"/>
      <c r="AO44" s="49"/>
    </row>
    <row r="45" spans="1:41" ht="12.75" customHeight="1">
      <c r="A45"/>
      <c r="B45" t="s">
        <v>170</v>
      </c>
      <c r="C45" s="49">
        <v>45</v>
      </c>
      <c r="D45" s="49">
        <v>435.35732411368554</v>
      </c>
      <c r="E45" s="49">
        <v>550</v>
      </c>
      <c r="F45" s="49">
        <v>0</v>
      </c>
      <c r="G45" s="49">
        <v>0</v>
      </c>
      <c r="H45" s="49"/>
      <c r="I45" s="49">
        <v>0.21</v>
      </c>
      <c r="J45" s="49">
        <v>0.4009999930858612</v>
      </c>
      <c r="K45" s="49">
        <v>468.55332007735404</v>
      </c>
      <c r="L45" s="49">
        <v>0.10213626772742787</v>
      </c>
      <c r="M45" s="49">
        <v>0.25470390915870667</v>
      </c>
      <c r="N45" s="49">
        <v>550.0001173599925</v>
      </c>
      <c r="O45" s="49">
        <v>0</v>
      </c>
      <c r="P45" s="49">
        <v>0</v>
      </c>
      <c r="Q45" s="49">
        <v>550.0001220703125</v>
      </c>
      <c r="R45" s="49">
        <v>63.641925077725176</v>
      </c>
      <c r="S45" s="49">
        <v>197.2280506762148</v>
      </c>
      <c r="T45" s="49">
        <v>5.651473522186279</v>
      </c>
      <c r="U45" s="49">
        <v>29.231903076171875</v>
      </c>
      <c r="V45" s="49">
        <v>231.85515518176044</v>
      </c>
      <c r="W45" s="49">
        <v>550.0001173599925</v>
      </c>
      <c r="X45" s="69">
        <v>0.4215547376510902</v>
      </c>
      <c r="Y45" s="60">
        <v>93.95632934570312</v>
      </c>
      <c r="Z45" s="60">
        <v>0</v>
      </c>
      <c r="AA45" s="60">
        <v>0</v>
      </c>
      <c r="AB45" s="60">
        <v>325.8114929199219</v>
      </c>
      <c r="AC45" s="60">
        <v>550.0001220703125</v>
      </c>
      <c r="AD45" s="69">
        <v>0.592384397983551</v>
      </c>
      <c r="AE45" s="60"/>
      <c r="AF45" s="60"/>
      <c r="AG45" s="60"/>
      <c r="AH45" s="60"/>
      <c r="AI45" s="60"/>
      <c r="AJ45" s="60"/>
      <c r="AK45" s="60"/>
      <c r="AL45" s="49"/>
      <c r="AM45" s="49"/>
      <c r="AN45" s="49"/>
      <c r="AO45" s="49"/>
    </row>
    <row r="46" spans="1:41" ht="12.75" customHeight="1">
      <c r="A46"/>
      <c r="B46" t="s">
        <v>245</v>
      </c>
      <c r="C46" s="49">
        <v>45</v>
      </c>
      <c r="D46" s="49">
        <v>264.72882839144194</v>
      </c>
      <c r="E46" s="49">
        <v>456</v>
      </c>
      <c r="F46" s="49">
        <v>0</v>
      </c>
      <c r="G46" s="49">
        <v>0</v>
      </c>
      <c r="H46" s="49"/>
      <c r="I46" s="49">
        <v>0.21</v>
      </c>
      <c r="J46" s="49">
        <v>0.4009999930858612</v>
      </c>
      <c r="K46" s="49">
        <v>284.91440155628936</v>
      </c>
      <c r="L46" s="49">
        <v>0.062106258455171946</v>
      </c>
      <c r="M46" s="49">
        <v>0.15487845242023468</v>
      </c>
      <c r="N46" s="49">
        <v>456.0000973021028</v>
      </c>
      <c r="O46" s="49">
        <v>0</v>
      </c>
      <c r="P46" s="49">
        <v>0</v>
      </c>
      <c r="Q46" s="49">
        <v>456.0000915527344</v>
      </c>
      <c r="R46" s="49">
        <v>86.77409025780749</v>
      </c>
      <c r="S46" s="49">
        <v>119.92895924683664</v>
      </c>
      <c r="T46" s="49">
        <v>3.4365057945251465</v>
      </c>
      <c r="U46" s="49">
        <v>17.775117874145508</v>
      </c>
      <c r="V46" s="49">
        <v>140.9847508899182</v>
      </c>
      <c r="W46" s="49">
        <v>456.0000973021028</v>
      </c>
      <c r="X46" s="69">
        <v>0.3091770193121581</v>
      </c>
      <c r="Y46" s="60">
        <v>57.13226318359375</v>
      </c>
      <c r="Z46" s="60">
        <v>0</v>
      </c>
      <c r="AA46" s="60">
        <v>0</v>
      </c>
      <c r="AB46" s="60">
        <v>198.1170196533203</v>
      </c>
      <c r="AC46" s="60">
        <v>456.0000915527344</v>
      </c>
      <c r="AD46" s="69">
        <v>0.43446704745292664</v>
      </c>
      <c r="AE46" s="60"/>
      <c r="AF46" s="60"/>
      <c r="AG46" s="60"/>
      <c r="AH46" s="60"/>
      <c r="AI46" s="60"/>
      <c r="AJ46" s="60"/>
      <c r="AK46" s="60"/>
      <c r="AL46" s="49"/>
      <c r="AM46" s="49"/>
      <c r="AN46" s="49"/>
      <c r="AO46" s="49"/>
    </row>
    <row r="47" spans="1:41" ht="12.75" customHeight="1">
      <c r="A47"/>
      <c r="B47" t="s">
        <v>176</v>
      </c>
      <c r="C47" s="49">
        <v>45</v>
      </c>
      <c r="D47" s="49">
        <v>80.12048997948052</v>
      </c>
      <c r="E47" s="49">
        <v>150.1</v>
      </c>
      <c r="F47" s="49">
        <v>0</v>
      </c>
      <c r="G47" s="49">
        <v>0</v>
      </c>
      <c r="H47" s="49"/>
      <c r="I47" s="49">
        <v>0.21</v>
      </c>
      <c r="J47" s="49">
        <v>0.4009999930858612</v>
      </c>
      <c r="K47" s="49">
        <v>86.2296773404159</v>
      </c>
      <c r="L47" s="49">
        <v>0.018796531864156786</v>
      </c>
      <c r="M47" s="49">
        <v>0.04687414690852165</v>
      </c>
      <c r="N47" s="49">
        <v>150.10003202860884</v>
      </c>
      <c r="O47" s="49">
        <v>0</v>
      </c>
      <c r="P47" s="49">
        <v>0</v>
      </c>
      <c r="Q47" s="49">
        <v>150.10003662109375</v>
      </c>
      <c r="R47" s="49">
        <v>94.37643343135854</v>
      </c>
      <c r="S47" s="49">
        <v>36.29663998428502</v>
      </c>
      <c r="T47" s="49">
        <v>1.0400625467300415</v>
      </c>
      <c r="U47" s="49">
        <v>5.379660606384277</v>
      </c>
      <c r="V47" s="49">
        <v>42.669200349366236</v>
      </c>
      <c r="W47" s="49">
        <v>150.10003202860884</v>
      </c>
      <c r="X47" s="69">
        <v>0.28427176045661035</v>
      </c>
      <c r="Y47" s="60">
        <v>17.29115104675293</v>
      </c>
      <c r="Z47" s="60">
        <v>0</v>
      </c>
      <c r="AA47" s="60">
        <v>0</v>
      </c>
      <c r="AB47" s="60">
        <v>59.960350036621094</v>
      </c>
      <c r="AC47" s="60">
        <v>150.10003662109375</v>
      </c>
      <c r="AD47" s="69">
        <v>0.399469256401062</v>
      </c>
      <c r="AE47" s="60"/>
      <c r="AF47" s="60"/>
      <c r="AG47" s="60"/>
      <c r="AH47" s="60"/>
      <c r="AI47" s="60"/>
      <c r="AJ47" s="60"/>
      <c r="AK47" s="60"/>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60"/>
      <c r="Y48" s="60"/>
      <c r="Z48" s="60"/>
      <c r="AA48" s="60"/>
      <c r="AB48" s="60"/>
      <c r="AC48" s="60"/>
      <c r="AD48" s="60"/>
      <c r="AE48" s="60"/>
      <c r="AF48" s="60"/>
      <c r="AG48" s="60"/>
      <c r="AH48" s="60"/>
      <c r="AI48" s="60"/>
      <c r="AJ48" s="60"/>
      <c r="AK48" s="60"/>
      <c r="AL48" s="49"/>
      <c r="AM48" s="49"/>
      <c r="AN48" s="49"/>
      <c r="AO48" s="49"/>
    </row>
    <row r="49" spans="1:41" ht="12.75" customHeight="1" thickBo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thickBot="1">
      <c r="A50" s="65" t="s">
        <v>62</v>
      </c>
      <c r="B50" s="66"/>
      <c r="C50" s="67"/>
      <c r="D50" s="67"/>
      <c r="E50" s="67"/>
      <c r="F50" s="67"/>
      <c r="G50" s="67"/>
      <c r="H50" s="67"/>
      <c r="I50" s="67"/>
      <c r="J50" s="67"/>
      <c r="K50" s="68"/>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25.5">
      <c r="A51" s="57"/>
      <c r="B51" s="58" t="s">
        <v>63</v>
      </c>
      <c r="C51" s="59" t="s">
        <v>59</v>
      </c>
      <c r="D51" s="59" t="s">
        <v>60</v>
      </c>
      <c r="E51" s="59" t="s">
        <v>64</v>
      </c>
      <c r="F51" s="59" t="s">
        <v>65</v>
      </c>
      <c r="G51" s="59" t="s">
        <v>66</v>
      </c>
      <c r="H51" s="59" t="s">
        <v>67</v>
      </c>
      <c r="I51" s="59" t="s">
        <v>61</v>
      </c>
      <c r="J51" s="59" t="s">
        <v>50</v>
      </c>
      <c r="K51" s="59" t="s">
        <v>58</v>
      </c>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t="s">
        <v>68</v>
      </c>
      <c r="C52" s="49">
        <v>3253.0480797680902</v>
      </c>
      <c r="D52" s="49">
        <v>946.8036020306179</v>
      </c>
      <c r="E52" s="49">
        <v>946.8</v>
      </c>
      <c r="F52" s="49">
        <v>189.36068</v>
      </c>
      <c r="G52" s="49">
        <v>1136.1642820306179</v>
      </c>
      <c r="H52" s="49">
        <v>3059.5302734375</v>
      </c>
      <c r="I52" s="49">
        <v>18.936084776416113</v>
      </c>
      <c r="J52" s="49">
        <v>1369.3048454394511</v>
      </c>
      <c r="K52" s="48">
        <v>1.2051996943541925</v>
      </c>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t="s">
        <v>69</v>
      </c>
      <c r="C53" s="49">
        <v>0</v>
      </c>
      <c r="D53" s="49">
        <v>0</v>
      </c>
      <c r="E53" s="49">
        <v>0</v>
      </c>
      <c r="F53" s="49">
        <v>0</v>
      </c>
      <c r="G53" s="49">
        <v>0</v>
      </c>
      <c r="H53" s="49">
        <v>0</v>
      </c>
      <c r="I53" s="49">
        <v>0</v>
      </c>
      <c r="J53" s="49">
        <v>2909.041253914616</v>
      </c>
      <c r="K53" s="69">
        <v>0</v>
      </c>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t="s">
        <v>70</v>
      </c>
      <c r="C54" s="49">
        <v>3273.6413830856213</v>
      </c>
      <c r="D54" s="49">
        <v>2131.424560546875</v>
      </c>
      <c r="E54" s="49">
        <v>2131.424184894705</v>
      </c>
      <c r="F54" s="49">
        <v>426.28483697894103</v>
      </c>
      <c r="G54" s="49">
        <v>2557.709397525816</v>
      </c>
      <c r="H54" s="49">
        <v>6844.2236328125</v>
      </c>
      <c r="I54" s="49">
        <v>42.36035942077539</v>
      </c>
      <c r="J54" s="49">
        <v>1377.9731802826034</v>
      </c>
      <c r="K54" s="69">
        <v>0.5387528315826564</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71</v>
      </c>
      <c r="C55" s="49">
        <v>0</v>
      </c>
      <c r="D55" s="49">
        <v>0</v>
      </c>
      <c r="E55" s="49">
        <v>0</v>
      </c>
      <c r="F55" s="49">
        <v>0</v>
      </c>
      <c r="G55" s="49">
        <v>0</v>
      </c>
      <c r="H55" s="49">
        <v>0</v>
      </c>
      <c r="I55" s="49">
        <v>0</v>
      </c>
      <c r="J55" s="49">
        <v>0</v>
      </c>
      <c r="K55" s="69">
        <v>0</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72</v>
      </c>
      <c r="C56" s="49">
        <v>1247.6319808800638</v>
      </c>
      <c r="D56" s="49">
        <v>260.8667556642071</v>
      </c>
      <c r="E56" s="49">
        <v>260.87</v>
      </c>
      <c r="F56" s="49">
        <v>52.17334</v>
      </c>
      <c r="G56" s="49">
        <v>313.0400956642071</v>
      </c>
      <c r="H56" s="49">
        <v>2197.94873046875</v>
      </c>
      <c r="I56" s="49">
        <v>13.603573527184913</v>
      </c>
      <c r="J56" s="49">
        <v>525.1654678482599</v>
      </c>
      <c r="K56" s="101">
        <v>1.6776300388420406</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73</v>
      </c>
      <c r="C57" s="49">
        <v>2143.780562361768</v>
      </c>
      <c r="D57" s="49">
        <v>746.6035593115809</v>
      </c>
      <c r="E57" s="49">
        <v>746.6</v>
      </c>
      <c r="F57" s="49">
        <v>149.32068</v>
      </c>
      <c r="G57" s="49">
        <v>895.9242393115809</v>
      </c>
      <c r="H57" s="49">
        <v>3660.960693359375</v>
      </c>
      <c r="I57" s="49">
        <v>22.658465620033528</v>
      </c>
      <c r="J57" s="49">
        <v>902.3811021600854</v>
      </c>
      <c r="K57" s="101">
        <v>1.0072069295205874</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74</v>
      </c>
      <c r="C58" s="49">
        <v>2587.058853341904</v>
      </c>
      <c r="D58" s="49">
        <v>1520.9503245430556</v>
      </c>
      <c r="E58" s="49">
        <v>1520.95</v>
      </c>
      <c r="F58" s="49">
        <v>304.19</v>
      </c>
      <c r="G58" s="49">
        <v>1825.1403245430556</v>
      </c>
      <c r="H58" s="49">
        <v>6180.07958984375</v>
      </c>
      <c r="I58" s="49">
        <v>38.24982840239039</v>
      </c>
      <c r="J58" s="49">
        <v>1088.970140143349</v>
      </c>
      <c r="K58" s="70">
        <v>0.5966500906805535</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75</v>
      </c>
      <c r="C59" s="49">
        <v>0</v>
      </c>
      <c r="D59" s="49">
        <v>0</v>
      </c>
      <c r="E59" s="49">
        <v>0</v>
      </c>
      <c r="F59" s="49">
        <v>0</v>
      </c>
      <c r="G59" s="49">
        <v>0</v>
      </c>
      <c r="H59" s="49">
        <v>0</v>
      </c>
      <c r="I59" s="49">
        <v>0</v>
      </c>
      <c r="J59" s="49">
        <v>0</v>
      </c>
      <c r="K59" s="70">
        <v>0</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76</v>
      </c>
      <c r="C60" s="49">
        <v>0</v>
      </c>
      <c r="D60" s="49">
        <v>0</v>
      </c>
      <c r="E60" s="49">
        <v>0</v>
      </c>
      <c r="F60" s="49">
        <v>0</v>
      </c>
      <c r="G60" s="49">
        <v>0</v>
      </c>
      <c r="H60" s="49">
        <v>0</v>
      </c>
      <c r="I60" s="49">
        <v>0</v>
      </c>
      <c r="J60" s="49">
        <v>0</v>
      </c>
      <c r="K60" s="70">
        <v>0</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77</v>
      </c>
      <c r="C61" s="49">
        <v>932.5178521076672</v>
      </c>
      <c r="D61" s="49">
        <v>1250.1335667556993</v>
      </c>
      <c r="E61" s="49">
        <v>1250.13</v>
      </c>
      <c r="F61" s="49">
        <v>250.02666000000002</v>
      </c>
      <c r="G61" s="49">
        <v>1500.1602267556993</v>
      </c>
      <c r="H61" s="49">
        <v>14092.388671875</v>
      </c>
      <c r="I61" s="49">
        <v>87.22079314107643</v>
      </c>
      <c r="J61" s="49">
        <v>392.5245437629217</v>
      </c>
      <c r="K61" s="70">
        <v>0.2616550797455879</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30" ht="12"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3:30" ht="12.75">
      <c r="C529" s="39"/>
      <c r="D529" s="39"/>
      <c r="E529" s="39"/>
      <c r="F529" s="39"/>
      <c r="G529" s="39"/>
      <c r="H529" s="39"/>
      <c r="I529" s="102"/>
      <c r="J529" s="102"/>
      <c r="K529" s="102"/>
      <c r="L529" s="102"/>
      <c r="M529" s="102"/>
      <c r="S529" s="39"/>
      <c r="T529" s="39"/>
      <c r="U529" s="39"/>
      <c r="X529" s="49"/>
      <c r="Y529" s="49"/>
      <c r="Z529" s="39"/>
      <c r="AA529" s="39"/>
      <c r="AB529" s="39"/>
      <c r="AC529" s="39"/>
      <c r="AD529" s="39"/>
    </row>
    <row r="530" spans="3:30" ht="12.75">
      <c r="C530" s="39"/>
      <c r="D530" s="39"/>
      <c r="E530" s="39"/>
      <c r="F530" s="39"/>
      <c r="G530" s="39"/>
      <c r="H530" s="39"/>
      <c r="I530" s="102"/>
      <c r="J530" s="102"/>
      <c r="K530" s="102"/>
      <c r="L530" s="102"/>
      <c r="M530" s="102"/>
      <c r="S530" s="39"/>
      <c r="T530" s="39"/>
      <c r="U530" s="39"/>
      <c r="X530" s="49"/>
      <c r="Y530" s="49"/>
      <c r="Z530" s="39"/>
      <c r="AA530" s="39"/>
      <c r="AB530" s="39"/>
      <c r="AC530" s="39"/>
      <c r="AD530" s="39"/>
    </row>
    <row r="531" spans="3:30" ht="12.75">
      <c r="C531" s="39"/>
      <c r="D531" s="39"/>
      <c r="E531" s="39"/>
      <c r="F531" s="39"/>
      <c r="G531" s="39"/>
      <c r="H531" s="39"/>
      <c r="I531" s="102"/>
      <c r="J531" s="102"/>
      <c r="K531" s="102"/>
      <c r="L531" s="102"/>
      <c r="M531" s="102"/>
      <c r="S531" s="39"/>
      <c r="T531" s="39"/>
      <c r="U531" s="39"/>
      <c r="X531" s="49"/>
      <c r="Y531" s="49"/>
      <c r="Z531" s="39"/>
      <c r="AA531" s="39"/>
      <c r="AB531" s="39"/>
      <c r="AC531" s="39"/>
      <c r="AD531" s="39"/>
    </row>
    <row r="532" spans="3:30" ht="12.75">
      <c r="C532" s="39"/>
      <c r="D532" s="39"/>
      <c r="E532" s="39"/>
      <c r="F532" s="39"/>
      <c r="G532" s="39"/>
      <c r="H532" s="39"/>
      <c r="I532" s="102"/>
      <c r="J532" s="102"/>
      <c r="K532" s="102"/>
      <c r="L532" s="102"/>
      <c r="M532" s="102"/>
      <c r="S532" s="39"/>
      <c r="T532" s="39"/>
      <c r="U532" s="39"/>
      <c r="X532" s="49"/>
      <c r="Y532" s="49"/>
      <c r="Z532" s="39"/>
      <c r="AA532" s="39"/>
      <c r="AB532" s="39"/>
      <c r="AC532" s="39"/>
      <c r="AD532"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7"/>
  <dimension ref="A1:AO535"/>
  <sheetViews>
    <sheetView zoomScale="75" zoomScaleNormal="75" workbookViewId="0" topLeftCell="P19">
      <selection activeCell="K71" sqref="K71"/>
    </sheetView>
  </sheetViews>
  <sheetFormatPr defaultColWidth="9.140625" defaultRowHeight="12.75"/>
  <cols>
    <col min="1" max="1" width="37.140625" style="37" customWidth="1"/>
    <col min="2" max="2" width="34.57421875" style="37" customWidth="1"/>
    <col min="3" max="3" width="8.8515625" style="37" customWidth="1"/>
    <col min="4" max="4" width="8.57421875" style="37" customWidth="1"/>
    <col min="5" max="5" width="9.57421875" style="37" customWidth="1"/>
    <col min="6" max="6" width="9.00390625" style="37" customWidth="1"/>
    <col min="7" max="7" width="10.14062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127</v>
      </c>
    </row>
    <row r="2" ht="12.75">
      <c r="A2" s="37" t="s">
        <v>222</v>
      </c>
    </row>
    <row r="4" spans="1:23" ht="12.75">
      <c r="A4" s="40" t="s">
        <v>32</v>
      </c>
      <c r="B4" s="41"/>
      <c r="C4" s="42"/>
      <c r="D4" s="42"/>
      <c r="E4" s="42"/>
      <c r="F4" s="42"/>
      <c r="G4" s="42"/>
      <c r="H4" s="43"/>
      <c r="I4" s="44" t="s">
        <v>33</v>
      </c>
      <c r="J4" s="45"/>
      <c r="K4" s="45"/>
      <c r="L4" s="45"/>
      <c r="M4" s="45"/>
      <c r="N4" s="45"/>
      <c r="O4"/>
      <c r="P4"/>
      <c r="Q4"/>
      <c r="R4"/>
      <c r="S4"/>
      <c r="T4"/>
      <c r="U4"/>
      <c r="V4"/>
      <c r="W4"/>
    </row>
    <row r="5" spans="1:25" s="97" customFormat="1" ht="26.25" customHeight="1">
      <c r="A5" s="46" t="s">
        <v>34</v>
      </c>
      <c r="B5" s="46" t="s">
        <v>35</v>
      </c>
      <c r="C5" s="46" t="s">
        <v>161</v>
      </c>
      <c r="D5" s="46" t="s">
        <v>162</v>
      </c>
      <c r="E5" s="46" t="s">
        <v>36</v>
      </c>
      <c r="F5" s="46" t="s">
        <v>37</v>
      </c>
      <c r="G5" s="47" t="s">
        <v>38</v>
      </c>
      <c r="H5" s="47" t="s">
        <v>163</v>
      </c>
      <c r="I5" s="47" t="s">
        <v>39</v>
      </c>
      <c r="J5" s="47" t="s">
        <v>40</v>
      </c>
      <c r="K5" s="47" t="s">
        <v>41</v>
      </c>
      <c r="L5" s="47" t="s">
        <v>42</v>
      </c>
      <c r="M5" s="47" t="s">
        <v>43</v>
      </c>
      <c r="N5" s="47" t="s">
        <v>44</v>
      </c>
      <c r="O5"/>
      <c r="P5"/>
      <c r="Q5"/>
      <c r="R5"/>
      <c r="S5"/>
      <c r="T5"/>
      <c r="U5"/>
      <c r="V5"/>
      <c r="W5"/>
      <c r="X5"/>
      <c r="Y5"/>
    </row>
    <row r="6" spans="1:25" s="97" customFormat="1" ht="12.75">
      <c r="A6" t="str">
        <f>B6</f>
        <v>VAULT R19</v>
      </c>
      <c r="B6" t="str">
        <f>'UA Optimizer'!W43</f>
        <v>VAULT R19</v>
      </c>
      <c r="C6" s="98">
        <f>'UA Optimizer'!AD43/12</f>
        <v>758.6594219613811</v>
      </c>
      <c r="D6" s="98">
        <v>45</v>
      </c>
      <c r="E6" s="93">
        <f>'UA Optimizer'!Z43/12</f>
        <v>132.655</v>
      </c>
      <c r="F6" s="99">
        <v>0</v>
      </c>
      <c r="G6" s="100" t="s">
        <v>164</v>
      </c>
      <c r="H6" s="49"/>
      <c r="I6"/>
      <c r="J6"/>
      <c r="K6"/>
      <c r="L6"/>
      <c r="M6"/>
      <c r="N6"/>
      <c r="O6"/>
      <c r="P6"/>
      <c r="Q6"/>
      <c r="R6"/>
      <c r="S6"/>
      <c r="T6"/>
      <c r="U6"/>
      <c r="V6"/>
      <c r="W6"/>
      <c r="X6"/>
      <c r="Y6"/>
    </row>
    <row r="7" spans="1:25" s="97" customFormat="1" ht="12.75">
      <c r="A7" t="str">
        <f>B7</f>
        <v>ATTIC R19</v>
      </c>
      <c r="B7" t="str">
        <f>'UA Optimizer'!W44</f>
        <v>ATTIC R19</v>
      </c>
      <c r="C7" s="98">
        <f>'UA Optimizer'!AD44/12</f>
        <v>699.0312141078781</v>
      </c>
      <c r="D7" s="98">
        <v>45</v>
      </c>
      <c r="E7" s="93">
        <f>'UA Optimizer'!Z44/12</f>
        <v>153.94</v>
      </c>
      <c r="F7" s="99">
        <v>0</v>
      </c>
      <c r="G7" s="100" t="s">
        <v>164</v>
      </c>
      <c r="H7" s="49"/>
      <c r="I7"/>
      <c r="J7"/>
      <c r="K7"/>
      <c r="L7"/>
      <c r="M7"/>
      <c r="N7"/>
      <c r="O7"/>
      <c r="P7"/>
      <c r="Q7"/>
      <c r="R7"/>
      <c r="S7"/>
      <c r="T7"/>
      <c r="U7"/>
      <c r="V7"/>
      <c r="W7"/>
      <c r="X7"/>
      <c r="Y7"/>
    </row>
    <row r="8" spans="1:25" s="97" customFormat="1" ht="12.75">
      <c r="A8" t="str">
        <f>B8</f>
        <v>FLOOR R19</v>
      </c>
      <c r="B8" t="str">
        <f>'UA Optimizer'!W45</f>
        <v>FLOOR R19</v>
      </c>
      <c r="C8" s="98">
        <f>'UA Optimizer'!AD45/12</f>
        <v>773.017191169011</v>
      </c>
      <c r="D8" s="98">
        <v>45</v>
      </c>
      <c r="E8" s="93">
        <f>'UA Optimizer'!Z45/12</f>
        <v>253.33333333333334</v>
      </c>
      <c r="F8" s="99">
        <v>0</v>
      </c>
      <c r="G8" s="100" t="s">
        <v>164</v>
      </c>
      <c r="H8" s="49"/>
      <c r="I8"/>
      <c r="J8"/>
      <c r="K8"/>
      <c r="L8"/>
      <c r="M8"/>
      <c r="N8"/>
      <c r="O8"/>
      <c r="P8"/>
      <c r="Q8"/>
      <c r="R8"/>
      <c r="S8"/>
      <c r="T8"/>
      <c r="U8"/>
      <c r="V8"/>
      <c r="W8"/>
      <c r="X8"/>
      <c r="Y8"/>
    </row>
    <row r="9" spans="1:25" s="97" customFormat="1" ht="12.75">
      <c r="A9" t="str">
        <f>B9</f>
        <v>WALL R11</v>
      </c>
      <c r="B9" t="str">
        <f>'UA Optimizer'!W46</f>
        <v>WALL R11</v>
      </c>
      <c r="C9" s="98">
        <f>'UA Optimizer'!AD46/12</f>
        <v>1564.238633432594</v>
      </c>
      <c r="D9" s="98">
        <v>45</v>
      </c>
      <c r="E9" s="93">
        <f>'UA Optimizer'!Z46/12</f>
        <v>569.16</v>
      </c>
      <c r="F9" s="99">
        <v>0</v>
      </c>
      <c r="G9" s="100" t="s">
        <v>164</v>
      </c>
      <c r="H9" s="49"/>
      <c r="I9"/>
      <c r="J9"/>
      <c r="K9"/>
      <c r="L9"/>
      <c r="M9"/>
      <c r="N9"/>
      <c r="O9"/>
      <c r="P9"/>
      <c r="Q9"/>
      <c r="R9"/>
      <c r="S9"/>
      <c r="T9"/>
      <c r="U9"/>
      <c r="V9"/>
      <c r="W9"/>
      <c r="X9"/>
      <c r="Y9"/>
    </row>
    <row r="10" spans="1:31" ht="12.75">
      <c r="A10" t="str">
        <f aca="true" t="shared" si="0" ref="A10:A19">B10</f>
        <v>ATTIC R38</v>
      </c>
      <c r="B10" t="str">
        <f>'UA Optimizer'!W47</f>
        <v>ATTIC R38</v>
      </c>
      <c r="C10" s="98">
        <f>'UA Optimizer'!AD47/12</f>
        <v>136.3674044732082</v>
      </c>
      <c r="D10" s="98">
        <v>45</v>
      </c>
      <c r="E10" s="93">
        <f>'UA Optimizer'!Z47/12</f>
        <v>59.07</v>
      </c>
      <c r="F10" s="99">
        <v>0</v>
      </c>
      <c r="G10" s="100" t="s">
        <v>164</v>
      </c>
      <c r="H10" s="49"/>
      <c r="I10"/>
      <c r="J10"/>
      <c r="K10"/>
      <c r="L10"/>
      <c r="M10"/>
      <c r="N10"/>
      <c r="O10"/>
      <c r="P10"/>
      <c r="Q10"/>
      <c r="R10"/>
      <c r="S10"/>
      <c r="T10"/>
      <c r="U10"/>
      <c r="V10"/>
      <c r="W10"/>
      <c r="Z10"/>
      <c r="AA10"/>
      <c r="AB10"/>
      <c r="AC10"/>
      <c r="AD10"/>
      <c r="AE10"/>
    </row>
    <row r="11" spans="1:31" ht="12.75">
      <c r="A11" t="str">
        <f t="shared" si="0"/>
        <v>FLOOR R30</v>
      </c>
      <c r="B11" t="str">
        <f>'UA Optimizer'!W48</f>
        <v>FLOOR R30</v>
      </c>
      <c r="C11" s="98">
        <f>'UA Optimizer'!AD48/12</f>
        <v>137.8115727350099</v>
      </c>
      <c r="D11" s="98">
        <v>45</v>
      </c>
      <c r="E11" s="93">
        <f>'UA Optimizer'!Z48/12</f>
        <v>63.333333333333336</v>
      </c>
      <c r="F11" s="99">
        <v>0</v>
      </c>
      <c r="G11" s="100" t="s">
        <v>164</v>
      </c>
      <c r="H11" s="49"/>
      <c r="I11"/>
      <c r="J11"/>
      <c r="K11"/>
      <c r="L11"/>
      <c r="M11"/>
      <c r="N11"/>
      <c r="O11"/>
      <c r="P11"/>
      <c r="Q11"/>
      <c r="R11"/>
      <c r="S11"/>
      <c r="T11"/>
      <c r="U11"/>
      <c r="V11"/>
      <c r="W11"/>
      <c r="Z11"/>
      <c r="AA11"/>
      <c r="AB11"/>
      <c r="AC11"/>
      <c r="AD11"/>
      <c r="AE11"/>
    </row>
    <row r="12" spans="1:8" ht="12.75" customHeight="1">
      <c r="A12" t="str">
        <f t="shared" si="0"/>
        <v>CLASS 35 PRIME WINDOW (Energy Star)</v>
      </c>
      <c r="B12" t="str">
        <f>'UA Optimizer'!W49</f>
        <v>CLASS 35 PRIME WINDOW (Energy Star)</v>
      </c>
      <c r="C12" s="98">
        <f>'UA Optimizer'!AD49/12</f>
        <v>2743.376173412067</v>
      </c>
      <c r="D12" s="98">
        <v>45</v>
      </c>
      <c r="E12" s="93">
        <f>'UA Optimizer'!Z49/12</f>
        <v>1663.7058333333334</v>
      </c>
      <c r="F12" s="99">
        <v>0</v>
      </c>
      <c r="G12" s="100" t="s">
        <v>164</v>
      </c>
      <c r="H12" s="49"/>
    </row>
    <row r="13" spans="1:31" ht="12.75">
      <c r="A13" t="str">
        <f t="shared" si="0"/>
        <v>FLOOR R38</v>
      </c>
      <c r="B13" t="str">
        <f>'UA Optimizer'!W50</f>
        <v>FLOOR R38</v>
      </c>
      <c r="C13" s="98">
        <f>'UA Optimizer'!AD50/12</f>
        <v>42.194919425659464</v>
      </c>
      <c r="D13" s="98">
        <v>45</v>
      </c>
      <c r="E13" s="93">
        <f>'UA Optimizer'!Z50/12</f>
        <v>41.166666666666664</v>
      </c>
      <c r="F13" s="99">
        <v>0</v>
      </c>
      <c r="G13" s="100" t="s">
        <v>164</v>
      </c>
      <c r="H13" s="49"/>
      <c r="I13"/>
      <c r="J13"/>
      <c r="K13"/>
      <c r="L13"/>
      <c r="M13"/>
      <c r="N13"/>
      <c r="O13"/>
      <c r="P13"/>
      <c r="Q13"/>
      <c r="R13"/>
      <c r="S13"/>
      <c r="T13"/>
      <c r="U13"/>
      <c r="V13"/>
      <c r="W13"/>
      <c r="Z13"/>
      <c r="AA13"/>
      <c r="AB13"/>
      <c r="AC13"/>
      <c r="AD13"/>
      <c r="AE13"/>
    </row>
    <row r="14" spans="1:31" ht="12.75">
      <c r="A14" t="str">
        <f t="shared" si="0"/>
        <v>ATTIC R49</v>
      </c>
      <c r="B14" t="str">
        <f>'UA Optimizer'!W51</f>
        <v>ATTIC R49</v>
      </c>
      <c r="C14" s="98">
        <f>'UA Optimizer'!AD51/12</f>
        <v>29.728900914261732</v>
      </c>
      <c r="D14" s="98">
        <v>45</v>
      </c>
      <c r="E14" s="93">
        <f>'UA Optimizer'!Z51/12</f>
        <v>32.22</v>
      </c>
      <c r="F14" s="99">
        <v>0</v>
      </c>
      <c r="G14" s="100" t="s">
        <v>164</v>
      </c>
      <c r="H14" s="49"/>
      <c r="I14"/>
      <c r="J14"/>
      <c r="K14"/>
      <c r="L14"/>
      <c r="M14"/>
      <c r="N14"/>
      <c r="O14"/>
      <c r="P14"/>
      <c r="Q14"/>
      <c r="R14"/>
      <c r="S14"/>
      <c r="T14"/>
      <c r="U14"/>
      <c r="V14"/>
      <c r="W14"/>
      <c r="Z14"/>
      <c r="AA14"/>
      <c r="AB14"/>
      <c r="AC14"/>
      <c r="AD14"/>
      <c r="AE14"/>
    </row>
    <row r="15" spans="1:8" ht="12.75" customHeight="1">
      <c r="A15" t="str">
        <f t="shared" si="0"/>
        <v>INFILTRATION @ 0.35 ACH</v>
      </c>
      <c r="B15" t="str">
        <f>'UA Optimizer'!W52</f>
        <v>INFILTRATION @ 0.35 ACH</v>
      </c>
      <c r="C15" s="98">
        <f>'UA Optimizer'!AD52/12</f>
        <v>491.32225351887365</v>
      </c>
      <c r="D15" s="98">
        <v>45</v>
      </c>
      <c r="E15" s="93">
        <f>'UA Optimizer'!Z52/12</f>
        <v>550</v>
      </c>
      <c r="F15" s="99">
        <v>0</v>
      </c>
      <c r="G15" s="100" t="s">
        <v>164</v>
      </c>
      <c r="H15" s="49"/>
    </row>
    <row r="16" spans="1:8" ht="12.75" customHeight="1">
      <c r="A16" t="str">
        <f t="shared" si="0"/>
        <v>CLASS 25 PRIME WINDOW </v>
      </c>
      <c r="B16" t="str">
        <f>'UA Optimizer'!W53</f>
        <v>CLASS 25 PRIME WINDOW </v>
      </c>
      <c r="C16" s="98">
        <f>'UA Optimizer'!AD53/12</f>
        <v>318.4308134983251</v>
      </c>
      <c r="D16" s="98">
        <v>45</v>
      </c>
      <c r="E16" s="93">
        <f>'UA Optimizer'!Z53/12</f>
        <v>498.8</v>
      </c>
      <c r="F16" s="99">
        <v>0</v>
      </c>
      <c r="G16" s="100" t="s">
        <v>164</v>
      </c>
      <c r="H16" s="49"/>
    </row>
    <row r="17" spans="1:26" ht="12.75" customHeight="1">
      <c r="A17" t="str">
        <f t="shared" si="0"/>
        <v>DOOR R5</v>
      </c>
      <c r="B17" t="str">
        <f>'UA Optimizer'!W54</f>
        <v>DOOR R5</v>
      </c>
      <c r="C17" s="98">
        <f>'UA Optimizer'!AD54/12</f>
        <v>178.37358158957127</v>
      </c>
      <c r="D17" s="98">
        <v>45</v>
      </c>
      <c r="E17" s="93">
        <f>'UA Optimizer'!Z54/12</f>
        <v>300.2</v>
      </c>
      <c r="F17" s="99">
        <v>0</v>
      </c>
      <c r="G17" s="100" t="s">
        <v>164</v>
      </c>
      <c r="H17" s="49"/>
      <c r="I17" s="49"/>
      <c r="J17" s="49"/>
      <c r="K17" s="49"/>
      <c r="L17" s="49"/>
      <c r="M17" s="49"/>
      <c r="N17" s="49"/>
      <c r="O17" s="49"/>
      <c r="P17" s="49"/>
      <c r="Q17" s="49"/>
      <c r="R17" s="49"/>
      <c r="S17" s="49"/>
      <c r="T17" s="49"/>
      <c r="U17" s="49"/>
      <c r="V17" s="49"/>
      <c r="W17" s="49"/>
      <c r="X17" s="49"/>
      <c r="Y17" s="49"/>
      <c r="Z17" s="49"/>
    </row>
    <row r="18" spans="1:26" ht="12.75" customHeight="1">
      <c r="A18" t="str">
        <f t="shared" si="0"/>
        <v>VAULT R38</v>
      </c>
      <c r="B18" t="str">
        <f>'UA Optimizer'!W55</f>
        <v>VAULT R38</v>
      </c>
      <c r="C18" s="98">
        <f>'UA Optimizer'!AD55/12</f>
        <v>24.365014539989716</v>
      </c>
      <c r="D18" s="98">
        <v>45</v>
      </c>
      <c r="E18" s="93">
        <f>'UA Optimizer'!Z55/12</f>
        <v>50.9025</v>
      </c>
      <c r="F18" s="99">
        <v>0</v>
      </c>
      <c r="G18" s="100" t="s">
        <v>164</v>
      </c>
      <c r="H18" s="49"/>
      <c r="I18" s="49"/>
      <c r="J18" s="49"/>
      <c r="K18" s="49"/>
      <c r="L18" s="49"/>
      <c r="M18" s="49"/>
      <c r="N18" s="49"/>
      <c r="O18" s="49"/>
      <c r="P18" s="49"/>
      <c r="Q18" s="49"/>
      <c r="R18" s="49"/>
      <c r="S18" s="49"/>
      <c r="T18" s="49"/>
      <c r="U18" s="49"/>
      <c r="V18" s="49"/>
      <c r="W18" s="49"/>
      <c r="X18" s="49"/>
      <c r="Y18" s="49"/>
      <c r="Z18" s="49"/>
    </row>
    <row r="19" spans="1:26" ht="12.75" customHeight="1">
      <c r="A19" t="str">
        <f t="shared" si="0"/>
        <v>VAULT R49</v>
      </c>
      <c r="B19" t="str">
        <f>'UA Optimizer'!W56</f>
        <v>VAULT R49</v>
      </c>
      <c r="C19" s="98">
        <f>'UA Optimizer'!AD56/12</f>
        <v>14.619008723994435</v>
      </c>
      <c r="D19" s="98">
        <v>45</v>
      </c>
      <c r="E19" s="93">
        <f>'UA Optimizer'!Z56/12</f>
        <v>33.935</v>
      </c>
      <c r="F19" s="99">
        <v>0</v>
      </c>
      <c r="G19" s="100" t="s">
        <v>164</v>
      </c>
      <c r="H19" s="49"/>
      <c r="I19" s="49"/>
      <c r="J19" s="49"/>
      <c r="K19" s="49"/>
      <c r="L19" s="49"/>
      <c r="M19" s="49"/>
      <c r="N19" s="49"/>
      <c r="O19" s="49"/>
      <c r="P19" s="49"/>
      <c r="Q19" s="49"/>
      <c r="R19" s="49"/>
      <c r="S19" s="49"/>
      <c r="T19" s="49"/>
      <c r="U19" s="49"/>
      <c r="V19" s="49"/>
      <c r="W19" s="49"/>
      <c r="X19" s="49"/>
      <c r="Y19" s="49"/>
      <c r="Z19" s="49"/>
    </row>
    <row r="20" spans="1:41" ht="12.75" customHeight="1">
      <c r="A20"/>
      <c r="B20"/>
      <c r="C20"/>
      <c r="D20"/>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c r="B21"/>
      <c r="C21"/>
      <c r="D21"/>
      <c r="E21"/>
      <c r="F21"/>
      <c r="G21"/>
      <c r="H21"/>
      <c r="I21"/>
      <c r="J21"/>
      <c r="K21"/>
      <c r="L21"/>
      <c r="M21"/>
      <c r="N21"/>
      <c r="O21"/>
      <c r="P21"/>
      <c r="Q21"/>
      <c r="R21"/>
      <c r="S21"/>
      <c r="T21"/>
      <c r="U21"/>
      <c r="V21"/>
      <c r="W21"/>
      <c r="Z21"/>
      <c r="AA21"/>
      <c r="AB21"/>
      <c r="AC21"/>
      <c r="AD21"/>
      <c r="AE21"/>
      <c r="AF21"/>
      <c r="AG21"/>
      <c r="AH21"/>
      <c r="AI21"/>
      <c r="AJ21"/>
      <c r="AK21"/>
      <c r="AL21"/>
      <c r="AM21"/>
      <c r="AN21"/>
      <c r="AO21"/>
    </row>
    <row r="22" spans="1:41" ht="12.75" customHeight="1" thickBot="1">
      <c r="A22" s="86" t="s">
        <v>320</v>
      </c>
      <c r="B22" s="50"/>
      <c r="C22" s="50"/>
      <c r="D22" s="51"/>
      <c r="E22"/>
      <c r="F22"/>
      <c r="G22"/>
      <c r="H22"/>
      <c r="I22"/>
      <c r="J22"/>
      <c r="K22"/>
      <c r="L22"/>
      <c r="M22"/>
      <c r="N22"/>
      <c r="O22"/>
      <c r="P22"/>
      <c r="Q22"/>
      <c r="R22"/>
      <c r="S22"/>
      <c r="T22"/>
      <c r="U22"/>
      <c r="V22"/>
      <c r="W22"/>
      <c r="Z22"/>
      <c r="AA22"/>
      <c r="AB22"/>
      <c r="AC22"/>
      <c r="AD22"/>
      <c r="AE22"/>
      <c r="AF22"/>
      <c r="AG22"/>
      <c r="AH22"/>
      <c r="AI22"/>
      <c r="AJ22"/>
      <c r="AK22"/>
      <c r="AL22"/>
      <c r="AM22"/>
      <c r="AN22"/>
      <c r="AO22"/>
    </row>
    <row r="23" spans="1:41" ht="12.75" customHeight="1" thickBot="1">
      <c r="A23" s="52" t="s">
        <v>128</v>
      </c>
      <c r="B23" s="53"/>
      <c r="C23" s="54" t="s">
        <v>78</v>
      </c>
      <c r="D23" s="56"/>
      <c r="E23" s="56"/>
      <c r="F23" s="56"/>
      <c r="G23" s="56"/>
      <c r="H23" s="56"/>
      <c r="I23" s="56"/>
      <c r="J23" s="55"/>
      <c r="K23" s="54" t="s">
        <v>45</v>
      </c>
      <c r="L23" s="56"/>
      <c r="M23" s="55"/>
      <c r="N23" s="54" t="s">
        <v>46</v>
      </c>
      <c r="O23" s="56"/>
      <c r="P23" s="56"/>
      <c r="Q23" s="55"/>
      <c r="R23" s="54" t="s">
        <v>47</v>
      </c>
      <c r="S23" s="55"/>
      <c r="T23" s="54" t="s">
        <v>48</v>
      </c>
      <c r="U23" s="56"/>
      <c r="V23" s="56"/>
      <c r="W23" s="56"/>
      <c r="X23" s="55"/>
      <c r="Y23" s="54" t="s">
        <v>49</v>
      </c>
      <c r="Z23" s="56"/>
      <c r="AA23" s="56"/>
      <c r="AB23" s="56"/>
      <c r="AC23" s="55"/>
      <c r="AD23" s="54" t="s">
        <v>79</v>
      </c>
      <c r="AE23" s="56"/>
      <c r="AF23" s="56"/>
      <c r="AG23" s="56"/>
      <c r="AH23" s="56"/>
      <c r="AI23" s="55"/>
      <c r="AJ23" s="54" t="s">
        <v>80</v>
      </c>
      <c r="AK23" s="56"/>
      <c r="AL23" s="56"/>
      <c r="AM23" s="56"/>
      <c r="AN23" s="56"/>
      <c r="AO23" s="55"/>
    </row>
    <row r="24" spans="1:41" ht="51">
      <c r="A24" s="57" t="s">
        <v>51</v>
      </c>
      <c r="B24" s="58" t="s">
        <v>52</v>
      </c>
      <c r="C24" s="59" t="s">
        <v>81</v>
      </c>
      <c r="D24" s="59" t="s">
        <v>82</v>
      </c>
      <c r="E24" s="59" t="s">
        <v>83</v>
      </c>
      <c r="F24" s="59" t="s">
        <v>84</v>
      </c>
      <c r="G24" s="59" t="s">
        <v>147</v>
      </c>
      <c r="H24" s="59" t="s">
        <v>86</v>
      </c>
      <c r="I24" s="59" t="s">
        <v>87</v>
      </c>
      <c r="J24" s="59" t="s">
        <v>88</v>
      </c>
      <c r="K24" s="59" t="s">
        <v>89</v>
      </c>
      <c r="L24" s="59" t="s">
        <v>90</v>
      </c>
      <c r="M24" s="59" t="s">
        <v>91</v>
      </c>
      <c r="N24" s="59" t="s">
        <v>20</v>
      </c>
      <c r="O24" s="59" t="s">
        <v>21</v>
      </c>
      <c r="P24" s="59" t="s">
        <v>22</v>
      </c>
      <c r="Q24" s="59" t="s">
        <v>4</v>
      </c>
      <c r="R24" s="59" t="s">
        <v>53</v>
      </c>
      <c r="S24" s="59" t="s">
        <v>4</v>
      </c>
      <c r="T24" s="59" t="s">
        <v>20</v>
      </c>
      <c r="U24" s="59" t="s">
        <v>21</v>
      </c>
      <c r="V24" s="59" t="s">
        <v>22</v>
      </c>
      <c r="W24" s="59" t="s">
        <v>4</v>
      </c>
      <c r="X24" s="59" t="s">
        <v>57</v>
      </c>
      <c r="Y24" s="59" t="s">
        <v>20</v>
      </c>
      <c r="Z24" s="59" t="s">
        <v>21</v>
      </c>
      <c r="AA24" s="59" t="s">
        <v>22</v>
      </c>
      <c r="AB24" s="59" t="s">
        <v>4</v>
      </c>
      <c r="AC24" s="59" t="s">
        <v>57</v>
      </c>
      <c r="AD24" s="59" t="s">
        <v>92</v>
      </c>
      <c r="AE24" s="59" t="s">
        <v>93</v>
      </c>
      <c r="AF24" s="59" t="s">
        <v>56</v>
      </c>
      <c r="AG24" s="59" t="s">
        <v>94</v>
      </c>
      <c r="AH24" s="59" t="s">
        <v>95</v>
      </c>
      <c r="AI24" s="59" t="s">
        <v>96</v>
      </c>
      <c r="AJ24" s="59" t="s">
        <v>97</v>
      </c>
      <c r="AK24" s="59" t="s">
        <v>54</v>
      </c>
      <c r="AL24" s="59" t="s">
        <v>55</v>
      </c>
      <c r="AM24" s="59" t="s">
        <v>98</v>
      </c>
      <c r="AN24" s="59" t="s">
        <v>99</v>
      </c>
      <c r="AO24" s="59" t="s">
        <v>100</v>
      </c>
    </row>
    <row r="25" spans="1:41" ht="12.75" customHeight="1">
      <c r="A25" t="s">
        <v>234</v>
      </c>
      <c r="B25" t="s">
        <v>234</v>
      </c>
      <c r="C25" s="49">
        <v>45</v>
      </c>
      <c r="D25" s="49">
        <v>758.6594219613811</v>
      </c>
      <c r="E25" s="49">
        <v>132.66</v>
      </c>
      <c r="F25" s="49">
        <v>0</v>
      </c>
      <c r="G25" s="49">
        <v>0</v>
      </c>
      <c r="H25" s="49" t="s">
        <v>164</v>
      </c>
      <c r="I25" s="49">
        <v>0.21</v>
      </c>
      <c r="J25" s="49">
        <v>0.4009999930858612</v>
      </c>
      <c r="K25" s="49">
        <v>816.5072028859363</v>
      </c>
      <c r="L25" s="60">
        <v>0.17798400886704518</v>
      </c>
      <c r="M25" s="49">
        <v>0.44385040383014585</v>
      </c>
      <c r="N25" s="49"/>
      <c r="O25" s="49"/>
      <c r="P25" s="49">
        <v>132.65502830616327</v>
      </c>
      <c r="Q25" s="49">
        <v>0</v>
      </c>
      <c r="R25" s="49">
        <v>0</v>
      </c>
      <c r="S25" s="49">
        <v>0</v>
      </c>
      <c r="T25" s="49">
        <v>0</v>
      </c>
      <c r="U25" s="49">
        <v>0</v>
      </c>
      <c r="V25" s="49">
        <v>132.65502830616327</v>
      </c>
      <c r="W25" s="49">
        <v>0</v>
      </c>
      <c r="X25" s="49">
        <v>132.65502830616327</v>
      </c>
      <c r="Y25" s="49">
        <v>0</v>
      </c>
      <c r="Z25" s="49">
        <v>0</v>
      </c>
      <c r="AA25" s="49">
        <v>8.808526039123535</v>
      </c>
      <c r="AB25" s="49">
        <v>0</v>
      </c>
      <c r="AC25" s="49">
        <v>8.808525900734596</v>
      </c>
      <c r="AD25" s="49">
        <v>343.69220553531846</v>
      </c>
      <c r="AE25" s="49">
        <v>9.84833247941669</v>
      </c>
      <c r="AF25" s="49">
        <v>50.93989944458008</v>
      </c>
      <c r="AG25" s="49">
        <v>404.0338542351955</v>
      </c>
      <c r="AH25" s="49">
        <v>132.65502830616327</v>
      </c>
      <c r="AI25" s="48">
        <v>3.045748505685734</v>
      </c>
      <c r="AJ25" s="49">
        <v>163.72952270507812</v>
      </c>
      <c r="AK25" s="49">
        <v>0</v>
      </c>
      <c r="AL25" s="49">
        <v>0</v>
      </c>
      <c r="AM25" s="49">
        <v>567.7633666992188</v>
      </c>
      <c r="AN25" s="49">
        <v>132.65502830616327</v>
      </c>
      <c r="AO25" s="48">
        <v>4.279998779296875</v>
      </c>
    </row>
    <row r="26" spans="1:41" ht="12.75" customHeight="1">
      <c r="A26" t="s">
        <v>166</v>
      </c>
      <c r="B26" t="s">
        <v>166</v>
      </c>
      <c r="C26" s="49">
        <v>45</v>
      </c>
      <c r="D26" s="49">
        <v>699.0312141078781</v>
      </c>
      <c r="E26" s="49">
        <v>153.94</v>
      </c>
      <c r="F26" s="49">
        <v>0</v>
      </c>
      <c r="G26" s="49">
        <v>0</v>
      </c>
      <c r="H26" s="49" t="s">
        <v>164</v>
      </c>
      <c r="I26" s="49">
        <v>0.21</v>
      </c>
      <c r="J26" s="49">
        <v>0.4009999930858612</v>
      </c>
      <c r="K26" s="49">
        <v>752.3323441836038</v>
      </c>
      <c r="L26" s="60">
        <v>0.16399503414649647</v>
      </c>
      <c r="M26" s="49">
        <v>0.40896517948662964</v>
      </c>
      <c r="N26" s="49"/>
      <c r="O26" s="49"/>
      <c r="P26" s="49">
        <v>153.940032847995</v>
      </c>
      <c r="Q26" s="49">
        <v>0</v>
      </c>
      <c r="R26" s="49">
        <v>0</v>
      </c>
      <c r="S26" s="49">
        <v>0</v>
      </c>
      <c r="T26" s="49">
        <v>0</v>
      </c>
      <c r="U26" s="49">
        <v>0</v>
      </c>
      <c r="V26" s="49">
        <v>153.940032847995</v>
      </c>
      <c r="W26" s="49">
        <v>0</v>
      </c>
      <c r="X26" s="49">
        <v>153.940032847995</v>
      </c>
      <c r="Y26" s="49">
        <v>0</v>
      </c>
      <c r="Z26" s="49">
        <v>0</v>
      </c>
      <c r="AA26" s="49">
        <v>11.093827247619629</v>
      </c>
      <c r="AB26" s="49">
        <v>0</v>
      </c>
      <c r="AC26" s="49">
        <v>11.093826789483998</v>
      </c>
      <c r="AD26" s="49">
        <v>316.6790957313097</v>
      </c>
      <c r="AE26" s="49">
        <v>9.074284996324925</v>
      </c>
      <c r="AF26" s="49">
        <v>46.936187744140625</v>
      </c>
      <c r="AG26" s="49">
        <v>372.2780852629468</v>
      </c>
      <c r="AH26" s="49">
        <v>153.940032847995</v>
      </c>
      <c r="AI26" s="48">
        <v>2.418331855434546</v>
      </c>
      <c r="AJ26" s="49">
        <v>150.86093139648438</v>
      </c>
      <c r="AK26" s="49">
        <v>0</v>
      </c>
      <c r="AL26" s="49">
        <v>0</v>
      </c>
      <c r="AM26" s="49">
        <v>523.1390380859375</v>
      </c>
      <c r="AN26" s="49">
        <v>153.940032847995</v>
      </c>
      <c r="AO26" s="48">
        <v>3.398329973220825</v>
      </c>
    </row>
    <row r="27" spans="1:41" ht="12.75" customHeight="1">
      <c r="A27" t="s">
        <v>171</v>
      </c>
      <c r="B27" t="s">
        <v>171</v>
      </c>
      <c r="C27" s="49">
        <v>45</v>
      </c>
      <c r="D27" s="49">
        <v>773.017191169011</v>
      </c>
      <c r="E27" s="49">
        <v>253.33</v>
      </c>
      <c r="F27" s="49">
        <v>0</v>
      </c>
      <c r="G27" s="49">
        <v>0</v>
      </c>
      <c r="H27" s="49" t="s">
        <v>164</v>
      </c>
      <c r="I27" s="49">
        <v>0.21</v>
      </c>
      <c r="J27" s="49">
        <v>0.4009999930858612</v>
      </c>
      <c r="K27" s="49">
        <v>831.959751995648</v>
      </c>
      <c r="L27" s="60">
        <v>0.1813523889965045</v>
      </c>
      <c r="M27" s="49">
        <v>0.45225035442250927</v>
      </c>
      <c r="N27" s="49"/>
      <c r="O27" s="49"/>
      <c r="P27" s="49">
        <v>253.3333540567167</v>
      </c>
      <c r="Q27" s="49">
        <v>0</v>
      </c>
      <c r="R27" s="49">
        <v>0</v>
      </c>
      <c r="S27" s="49">
        <v>0</v>
      </c>
      <c r="T27" s="49">
        <v>0</v>
      </c>
      <c r="U27" s="49">
        <v>0</v>
      </c>
      <c r="V27" s="49">
        <v>253.3333540567167</v>
      </c>
      <c r="W27" s="49">
        <v>0</v>
      </c>
      <c r="X27" s="49">
        <v>253.3333540567167</v>
      </c>
      <c r="Y27" s="49">
        <v>0</v>
      </c>
      <c r="Z27" s="49">
        <v>0</v>
      </c>
      <c r="AA27" s="49">
        <v>16.509336471557617</v>
      </c>
      <c r="AB27" s="49">
        <v>0</v>
      </c>
      <c r="AC27" s="49">
        <v>16.50933558893488</v>
      </c>
      <c r="AD27" s="49">
        <v>350.1966437887577</v>
      </c>
      <c r="AE27" s="49">
        <v>10.034713984379623</v>
      </c>
      <c r="AF27" s="49">
        <v>51.903953552246094</v>
      </c>
      <c r="AG27" s="49">
        <v>411.6802764315443</v>
      </c>
      <c r="AH27" s="49">
        <v>253.3333540567167</v>
      </c>
      <c r="AI27" s="48">
        <v>1.625053589822115</v>
      </c>
      <c r="AJ27" s="49">
        <v>166.8282012939453</v>
      </c>
      <c r="AK27" s="49">
        <v>0</v>
      </c>
      <c r="AL27" s="49">
        <v>0</v>
      </c>
      <c r="AM27" s="49">
        <v>578.5084838867188</v>
      </c>
      <c r="AN27" s="49">
        <v>253.3333540567167</v>
      </c>
      <c r="AO27" s="48">
        <v>2.283586025238037</v>
      </c>
    </row>
    <row r="28" spans="1:41" ht="12.75" customHeight="1">
      <c r="A28" t="s">
        <v>167</v>
      </c>
      <c r="B28" t="s">
        <v>167</v>
      </c>
      <c r="C28" s="49">
        <v>45</v>
      </c>
      <c r="D28" s="49">
        <v>1564.238633432594</v>
      </c>
      <c r="E28" s="49">
        <v>569.16</v>
      </c>
      <c r="F28" s="49">
        <v>0</v>
      </c>
      <c r="G28" s="49">
        <v>0</v>
      </c>
      <c r="H28" s="49" t="s">
        <v>164</v>
      </c>
      <c r="I28" s="49">
        <v>0.21</v>
      </c>
      <c r="J28" s="49">
        <v>0.4009999930858612</v>
      </c>
      <c r="K28" s="49">
        <v>1683.5118292318293</v>
      </c>
      <c r="L28" s="60">
        <v>0.3669755554913726</v>
      </c>
      <c r="M28" s="49">
        <v>0.9151510269796854</v>
      </c>
      <c r="N28" s="49"/>
      <c r="O28" s="49"/>
      <c r="P28" s="49">
        <v>569.1601214483878</v>
      </c>
      <c r="Q28" s="49">
        <v>0</v>
      </c>
      <c r="R28" s="49">
        <v>0</v>
      </c>
      <c r="S28" s="49">
        <v>0</v>
      </c>
      <c r="T28" s="49">
        <v>0</v>
      </c>
      <c r="U28" s="49">
        <v>0</v>
      </c>
      <c r="V28" s="49">
        <v>569.1601214483878</v>
      </c>
      <c r="W28" s="49">
        <v>0</v>
      </c>
      <c r="X28" s="49">
        <v>569.1601214483878</v>
      </c>
      <c r="Y28" s="49">
        <v>0</v>
      </c>
      <c r="Z28" s="49">
        <v>0</v>
      </c>
      <c r="AA28" s="49">
        <v>18.329803466796875</v>
      </c>
      <c r="AB28" s="49">
        <v>0</v>
      </c>
      <c r="AC28" s="49">
        <v>18.32980439182389</v>
      </c>
      <c r="AD28" s="49">
        <v>708.6402809288068</v>
      </c>
      <c r="AE28" s="49">
        <v>20.305741539945952</v>
      </c>
      <c r="AF28" s="49">
        <v>105.03021240234375</v>
      </c>
      <c r="AG28" s="49">
        <v>833.0554491904745</v>
      </c>
      <c r="AH28" s="49">
        <v>569.1601214483878</v>
      </c>
      <c r="AI28" s="48">
        <v>1.4636574450622628</v>
      </c>
      <c r="AJ28" s="49">
        <v>337.5850830078125</v>
      </c>
      <c r="AK28" s="49">
        <v>0</v>
      </c>
      <c r="AL28" s="49">
        <v>0</v>
      </c>
      <c r="AM28" s="49">
        <v>1170.6405029296875</v>
      </c>
      <c r="AN28" s="49">
        <v>569.1601214483878</v>
      </c>
      <c r="AO28" s="48">
        <v>2.056785821914673</v>
      </c>
    </row>
    <row r="29" spans="1:41" ht="12.75" customHeight="1">
      <c r="A29" t="s">
        <v>173</v>
      </c>
      <c r="B29" t="s">
        <v>173</v>
      </c>
      <c r="C29" s="49">
        <v>45</v>
      </c>
      <c r="D29" s="49">
        <v>136.3674044732082</v>
      </c>
      <c r="E29" s="49">
        <v>59.07</v>
      </c>
      <c r="F29" s="49">
        <v>0</v>
      </c>
      <c r="G29" s="49">
        <v>0</v>
      </c>
      <c r="H29" s="49" t="s">
        <v>164</v>
      </c>
      <c r="I29" s="49">
        <v>0.21</v>
      </c>
      <c r="J29" s="49">
        <v>0.4009999930858612</v>
      </c>
      <c r="K29" s="49">
        <v>146.76541906429034</v>
      </c>
      <c r="L29" s="60">
        <v>0.03199224398240049</v>
      </c>
      <c r="M29" s="49">
        <v>0.07978115843894887</v>
      </c>
      <c r="N29" s="49"/>
      <c r="O29" s="49"/>
      <c r="P29" s="49">
        <v>59.07001260446319</v>
      </c>
      <c r="Q29" s="49">
        <v>0</v>
      </c>
      <c r="R29" s="49">
        <v>0</v>
      </c>
      <c r="S29" s="49">
        <v>0</v>
      </c>
      <c r="T29" s="49">
        <v>0</v>
      </c>
      <c r="U29" s="49">
        <v>0</v>
      </c>
      <c r="V29" s="49">
        <v>59.07001260446319</v>
      </c>
      <c r="W29" s="49">
        <v>0</v>
      </c>
      <c r="X29" s="49">
        <v>59.07001260446319</v>
      </c>
      <c r="Y29" s="49">
        <v>0</v>
      </c>
      <c r="Z29" s="49">
        <v>0</v>
      </c>
      <c r="AA29" s="49">
        <v>21.821413040161133</v>
      </c>
      <c r="AB29" s="49">
        <v>0</v>
      </c>
      <c r="AC29" s="49">
        <v>21.8214127429661</v>
      </c>
      <c r="AD29" s="49">
        <v>61.77793704236018</v>
      </c>
      <c r="AE29" s="49">
        <v>1.7702166475902716</v>
      </c>
      <c r="AF29" s="49">
        <v>9.15633773803711</v>
      </c>
      <c r="AG29" s="49">
        <v>72.62421905096093</v>
      </c>
      <c r="AH29" s="49">
        <v>59.07001260446319</v>
      </c>
      <c r="AI29" s="48">
        <v>1.229460022926652</v>
      </c>
      <c r="AJ29" s="49">
        <v>29.430030822753906</v>
      </c>
      <c r="AK29" s="49">
        <v>0</v>
      </c>
      <c r="AL29" s="49">
        <v>0</v>
      </c>
      <c r="AM29" s="49">
        <v>102.05425262451172</v>
      </c>
      <c r="AN29" s="49">
        <v>59.07001260446319</v>
      </c>
      <c r="AO29" s="48">
        <v>1.7276829481124878</v>
      </c>
    </row>
    <row r="30" spans="1:41" ht="12.75" customHeight="1">
      <c r="A30" t="s">
        <v>172</v>
      </c>
      <c r="B30" t="s">
        <v>172</v>
      </c>
      <c r="C30" s="49">
        <v>45</v>
      </c>
      <c r="D30" s="49">
        <v>137.8115727350099</v>
      </c>
      <c r="E30" s="49">
        <v>63.33</v>
      </c>
      <c r="F30" s="49">
        <v>0</v>
      </c>
      <c r="G30" s="49">
        <v>0</v>
      </c>
      <c r="H30" s="49" t="s">
        <v>164</v>
      </c>
      <c r="I30" s="49">
        <v>0.21</v>
      </c>
      <c r="J30" s="49">
        <v>0.4009999930858612</v>
      </c>
      <c r="K30" s="49">
        <v>148.31970515605437</v>
      </c>
      <c r="L30" s="60">
        <v>0.032331050631699706</v>
      </c>
      <c r="M30" s="49">
        <v>0.08062606281585909</v>
      </c>
      <c r="N30" s="49"/>
      <c r="O30" s="49"/>
      <c r="P30" s="49">
        <v>63.33331351417384</v>
      </c>
      <c r="Q30" s="49">
        <v>0</v>
      </c>
      <c r="R30" s="49">
        <v>0</v>
      </c>
      <c r="S30" s="49">
        <v>0</v>
      </c>
      <c r="T30" s="49">
        <v>0</v>
      </c>
      <c r="U30" s="49">
        <v>0</v>
      </c>
      <c r="V30" s="49">
        <v>63.33331351417384</v>
      </c>
      <c r="W30" s="49">
        <v>0</v>
      </c>
      <c r="X30" s="49">
        <v>63.33331351417384</v>
      </c>
      <c r="Y30" s="49">
        <v>0</v>
      </c>
      <c r="Z30" s="49">
        <v>0</v>
      </c>
      <c r="AA30" s="49">
        <v>23.151166915893555</v>
      </c>
      <c r="AB30" s="49">
        <v>0</v>
      </c>
      <c r="AC30" s="49">
        <v>23.151167449362223</v>
      </c>
      <c r="AD30" s="49">
        <v>62.43218236073968</v>
      </c>
      <c r="AE30" s="49">
        <v>1.7889637280149426</v>
      </c>
      <c r="AF30" s="49">
        <v>9.25330638885498</v>
      </c>
      <c r="AG30" s="49">
        <v>73.39332999406633</v>
      </c>
      <c r="AH30" s="49">
        <v>63.33331351417384</v>
      </c>
      <c r="AI30" s="48">
        <v>1.1588424151791945</v>
      </c>
      <c r="AJ30" s="49">
        <v>29.741710662841797</v>
      </c>
      <c r="AK30" s="49">
        <v>0</v>
      </c>
      <c r="AL30" s="49">
        <v>0</v>
      </c>
      <c r="AM30" s="49">
        <v>103.13504028320312</v>
      </c>
      <c r="AN30" s="49">
        <v>63.33331351417384</v>
      </c>
      <c r="AO30" s="48">
        <v>1.628448486328125</v>
      </c>
    </row>
    <row r="31" spans="1:41" ht="12.75" customHeight="1">
      <c r="A31" t="s">
        <v>242</v>
      </c>
      <c r="B31" t="s">
        <v>242</v>
      </c>
      <c r="C31" s="49">
        <v>45</v>
      </c>
      <c r="D31" s="49">
        <v>2743.376173412067</v>
      </c>
      <c r="E31" s="49">
        <v>1663.71</v>
      </c>
      <c r="F31" s="49">
        <v>0</v>
      </c>
      <c r="G31" s="49">
        <v>0</v>
      </c>
      <c r="H31" s="49" t="s">
        <v>164</v>
      </c>
      <c r="I31" s="49">
        <v>0.21</v>
      </c>
      <c r="J31" s="49">
        <v>0.4009999930858612</v>
      </c>
      <c r="K31" s="49">
        <v>2952.5586066347373</v>
      </c>
      <c r="L31" s="60">
        <v>0.6436051211383614</v>
      </c>
      <c r="M31" s="49">
        <v>1.60500032976448</v>
      </c>
      <c r="N31" s="49"/>
      <c r="O31" s="49"/>
      <c r="P31" s="49">
        <v>1663.7061550045457</v>
      </c>
      <c r="Q31" s="49">
        <v>0</v>
      </c>
      <c r="R31" s="49">
        <v>0</v>
      </c>
      <c r="S31" s="49">
        <v>0</v>
      </c>
      <c r="T31" s="49">
        <v>0</v>
      </c>
      <c r="U31" s="49">
        <v>0</v>
      </c>
      <c r="V31" s="49">
        <v>1663.7061550045457</v>
      </c>
      <c r="W31" s="49">
        <v>0</v>
      </c>
      <c r="X31" s="49">
        <v>1663.7061550045457</v>
      </c>
      <c r="Y31" s="49">
        <v>0</v>
      </c>
      <c r="Z31" s="49">
        <v>0</v>
      </c>
      <c r="AA31" s="49">
        <v>30.550451278686523</v>
      </c>
      <c r="AB31" s="49">
        <v>0</v>
      </c>
      <c r="AC31" s="49">
        <v>30.550451695054967</v>
      </c>
      <c r="AD31" s="49">
        <v>1242.8198745827085</v>
      </c>
      <c r="AE31" s="49">
        <v>35.612397196653106</v>
      </c>
      <c r="AF31" s="49">
        <v>184.2029571533203</v>
      </c>
      <c r="AG31" s="49">
        <v>1461.0203464952792</v>
      </c>
      <c r="AH31" s="49">
        <v>1663.7061550045457</v>
      </c>
      <c r="AI31" s="69">
        <v>0.8781721111630361</v>
      </c>
      <c r="AJ31" s="49">
        <v>592.0597534179688</v>
      </c>
      <c r="AK31" s="49">
        <v>0</v>
      </c>
      <c r="AL31" s="49">
        <v>0</v>
      </c>
      <c r="AM31" s="49">
        <v>2053.080078125</v>
      </c>
      <c r="AN31" s="49">
        <v>1663.7061550045457</v>
      </c>
      <c r="AO31" s="48">
        <v>1.2340400218963623</v>
      </c>
    </row>
    <row r="32" spans="1:41" ht="12.75" customHeight="1">
      <c r="A32" t="s">
        <v>175</v>
      </c>
      <c r="B32" t="s">
        <v>175</v>
      </c>
      <c r="C32" s="49">
        <v>45</v>
      </c>
      <c r="D32" s="49">
        <v>42.194919425659464</v>
      </c>
      <c r="E32" s="49">
        <v>41.17</v>
      </c>
      <c r="F32" s="49">
        <v>0</v>
      </c>
      <c r="G32" s="49">
        <v>0</v>
      </c>
      <c r="H32" s="49" t="s">
        <v>164</v>
      </c>
      <c r="I32" s="49">
        <v>0.21</v>
      </c>
      <c r="J32" s="49">
        <v>0.4009999930858612</v>
      </c>
      <c r="K32" s="49">
        <v>45.412282031866</v>
      </c>
      <c r="L32" s="60">
        <v>0.00989906761295469</v>
      </c>
      <c r="M32" s="49">
        <v>0.024685954572660363</v>
      </c>
      <c r="N32" s="49"/>
      <c r="O32" s="49"/>
      <c r="P32" s="49">
        <v>41.16670878422473</v>
      </c>
      <c r="Q32" s="49">
        <v>0</v>
      </c>
      <c r="R32" s="49">
        <v>0</v>
      </c>
      <c r="S32" s="49">
        <v>0</v>
      </c>
      <c r="T32" s="49">
        <v>0</v>
      </c>
      <c r="U32" s="49">
        <v>0</v>
      </c>
      <c r="V32" s="49">
        <v>41.16670878422473</v>
      </c>
      <c r="W32" s="49">
        <v>0</v>
      </c>
      <c r="X32" s="49">
        <v>41.16670878422473</v>
      </c>
      <c r="Y32" s="49">
        <v>0</v>
      </c>
      <c r="Z32" s="49">
        <v>0</v>
      </c>
      <c r="AA32" s="49">
        <v>49.14873504638672</v>
      </c>
      <c r="AB32" s="49">
        <v>0</v>
      </c>
      <c r="AC32" s="49">
        <v>49.14873678815382</v>
      </c>
      <c r="AD32" s="49">
        <v>19.115382344158295</v>
      </c>
      <c r="AE32" s="49">
        <v>0.5477419556350618</v>
      </c>
      <c r="AF32" s="49">
        <v>2.8331620693206787</v>
      </c>
      <c r="AG32" s="49">
        <v>22.471448421264043</v>
      </c>
      <c r="AH32" s="49">
        <v>41.16670878422473</v>
      </c>
      <c r="AI32" s="69">
        <v>0.5458645853630932</v>
      </c>
      <c r="AJ32" s="49">
        <v>9.106266975402832</v>
      </c>
      <c r="AK32" s="49">
        <v>0</v>
      </c>
      <c r="AL32" s="49">
        <v>0</v>
      </c>
      <c r="AM32" s="49">
        <v>31.577714920043945</v>
      </c>
      <c r="AN32" s="49">
        <v>41.16670878422473</v>
      </c>
      <c r="AO32" s="69">
        <v>0.7670692205429077</v>
      </c>
    </row>
    <row r="33" spans="1:41" ht="12.75" customHeight="1">
      <c r="A33" t="s">
        <v>174</v>
      </c>
      <c r="B33" t="s">
        <v>174</v>
      </c>
      <c r="C33" s="49">
        <v>45</v>
      </c>
      <c r="D33" s="49">
        <v>29.728900914261732</v>
      </c>
      <c r="E33" s="49">
        <v>32.22</v>
      </c>
      <c r="F33" s="49">
        <v>0</v>
      </c>
      <c r="G33" s="49">
        <v>0</v>
      </c>
      <c r="H33" s="49" t="s">
        <v>164</v>
      </c>
      <c r="I33" s="49">
        <v>0.21</v>
      </c>
      <c r="J33" s="49">
        <v>0.4009999930858612</v>
      </c>
      <c r="K33" s="49">
        <v>31.995729608974187</v>
      </c>
      <c r="L33" s="60">
        <v>0.006974498451824166</v>
      </c>
      <c r="M33" s="49">
        <v>0.017392764518903127</v>
      </c>
      <c r="N33" s="49"/>
      <c r="O33" s="49"/>
      <c r="P33" s="49">
        <v>32.22000687516174</v>
      </c>
      <c r="Q33" s="49">
        <v>0</v>
      </c>
      <c r="R33" s="49">
        <v>0</v>
      </c>
      <c r="S33" s="49">
        <v>0</v>
      </c>
      <c r="T33" s="49">
        <v>0</v>
      </c>
      <c r="U33" s="49">
        <v>0</v>
      </c>
      <c r="V33" s="49">
        <v>32.22000687516174</v>
      </c>
      <c r="W33" s="49">
        <v>0</v>
      </c>
      <c r="X33" s="49">
        <v>32.22000687516174</v>
      </c>
      <c r="Y33" s="49">
        <v>0</v>
      </c>
      <c r="Z33" s="49">
        <v>0</v>
      </c>
      <c r="AA33" s="49">
        <v>54.59754943847656</v>
      </c>
      <c r="AB33" s="49">
        <v>0</v>
      </c>
      <c r="AC33" s="49">
        <v>54.59754942191334</v>
      </c>
      <c r="AD33" s="49">
        <v>13.467955748770308</v>
      </c>
      <c r="AE33" s="49">
        <v>0.38591770164055006</v>
      </c>
      <c r="AF33" s="49">
        <v>1.9961358308792114</v>
      </c>
      <c r="AG33" s="49">
        <v>15.832509428213042</v>
      </c>
      <c r="AH33" s="49">
        <v>32.22000687516174</v>
      </c>
      <c r="AI33" s="69">
        <v>0.4913875248244672</v>
      </c>
      <c r="AJ33" s="49">
        <v>6.415922164916992</v>
      </c>
      <c r="AK33" s="49">
        <v>0</v>
      </c>
      <c r="AL33" s="49">
        <v>0</v>
      </c>
      <c r="AM33" s="49">
        <v>22.248432159423828</v>
      </c>
      <c r="AN33" s="49">
        <v>32.22000687516174</v>
      </c>
      <c r="AO33" s="69">
        <v>0.6905160546302795</v>
      </c>
    </row>
    <row r="34" spans="1:41" ht="12.75" customHeight="1">
      <c r="A34" t="s">
        <v>170</v>
      </c>
      <c r="B34" t="s">
        <v>170</v>
      </c>
      <c r="C34" s="49">
        <v>45</v>
      </c>
      <c r="D34" s="49">
        <v>491.32225351887365</v>
      </c>
      <c r="E34" s="49">
        <v>550</v>
      </c>
      <c r="F34" s="49">
        <v>0</v>
      </c>
      <c r="G34" s="49">
        <v>0</v>
      </c>
      <c r="H34" s="49" t="s">
        <v>164</v>
      </c>
      <c r="I34" s="49">
        <v>0.21</v>
      </c>
      <c r="J34" s="49">
        <v>0.4009999930858612</v>
      </c>
      <c r="K34" s="49">
        <v>528.7855753496877</v>
      </c>
      <c r="L34" s="60">
        <v>0.11526582521152856</v>
      </c>
      <c r="M34" s="49">
        <v>0.28744595311463783</v>
      </c>
      <c r="N34" s="49"/>
      <c r="O34" s="49"/>
      <c r="P34" s="49">
        <v>550.0001173599925</v>
      </c>
      <c r="Q34" s="49">
        <v>0</v>
      </c>
      <c r="R34" s="49">
        <v>0</v>
      </c>
      <c r="S34" s="49">
        <v>0</v>
      </c>
      <c r="T34" s="49">
        <v>0</v>
      </c>
      <c r="U34" s="49">
        <v>0</v>
      </c>
      <c r="V34" s="49">
        <v>550.0001173599925</v>
      </c>
      <c r="W34" s="49">
        <v>0</v>
      </c>
      <c r="X34" s="49">
        <v>550.0001173599925</v>
      </c>
      <c r="Y34" s="49">
        <v>0</v>
      </c>
      <c r="Z34" s="49">
        <v>0</v>
      </c>
      <c r="AA34" s="49">
        <v>56.392677307128906</v>
      </c>
      <c r="AB34" s="49">
        <v>0</v>
      </c>
      <c r="AC34" s="49">
        <v>56.392678369375645</v>
      </c>
      <c r="AD34" s="49">
        <v>222.58160124594093</v>
      </c>
      <c r="AE34" s="49">
        <v>6.377967197297178</v>
      </c>
      <c r="AF34" s="49">
        <v>32.989646911621094</v>
      </c>
      <c r="AG34" s="49">
        <v>261.6599995754111</v>
      </c>
      <c r="AH34" s="49">
        <v>550.0001173599925</v>
      </c>
      <c r="AI34" s="69">
        <v>0.475745352258073</v>
      </c>
      <c r="AJ34" s="49">
        <v>106.03435516357422</v>
      </c>
      <c r="AK34" s="49">
        <v>0</v>
      </c>
      <c r="AL34" s="49">
        <v>0</v>
      </c>
      <c r="AM34" s="49">
        <v>367.6943664550781</v>
      </c>
      <c r="AN34" s="49">
        <v>550.0001173599925</v>
      </c>
      <c r="AO34" s="69">
        <v>0.668535053730011</v>
      </c>
    </row>
    <row r="35" spans="1:41" ht="12.75" customHeight="1">
      <c r="A35" t="s">
        <v>245</v>
      </c>
      <c r="B35" t="s">
        <v>243</v>
      </c>
      <c r="C35" s="49">
        <v>45</v>
      </c>
      <c r="D35" s="49">
        <v>318.4308134983251</v>
      </c>
      <c r="E35" s="49">
        <v>498.8</v>
      </c>
      <c r="F35" s="49">
        <v>0</v>
      </c>
      <c r="G35" s="49">
        <v>0</v>
      </c>
      <c r="H35" s="49" t="s">
        <v>164</v>
      </c>
      <c r="I35" s="49">
        <v>0.21</v>
      </c>
      <c r="J35" s="49">
        <v>0.4009999930858612</v>
      </c>
      <c r="K35" s="49">
        <v>342.7111630275724</v>
      </c>
      <c r="L35" s="60">
        <v>0.07470492172456186</v>
      </c>
      <c r="M35" s="49">
        <v>0.18629656611631465</v>
      </c>
      <c r="N35" s="49"/>
      <c r="O35" s="49"/>
      <c r="P35" s="49">
        <v>498.80010643484405</v>
      </c>
      <c r="Q35" s="49">
        <v>0</v>
      </c>
      <c r="R35" s="49">
        <v>0</v>
      </c>
      <c r="S35" s="49">
        <v>0</v>
      </c>
      <c r="T35" s="49">
        <v>0</v>
      </c>
      <c r="U35" s="49">
        <v>0</v>
      </c>
      <c r="V35" s="49">
        <v>498.80010643484405</v>
      </c>
      <c r="W35" s="49">
        <v>0</v>
      </c>
      <c r="X35" s="49">
        <v>498.80010643484405</v>
      </c>
      <c r="Y35" s="49">
        <v>0</v>
      </c>
      <c r="Z35" s="49">
        <v>0</v>
      </c>
      <c r="AA35" s="49">
        <v>78.91104888916016</v>
      </c>
      <c r="AB35" s="49">
        <v>0</v>
      </c>
      <c r="AC35" s="49">
        <v>78.91105068970255</v>
      </c>
      <c r="AD35" s="49">
        <v>144.2573379220695</v>
      </c>
      <c r="AE35" s="49">
        <v>4.133623642233327</v>
      </c>
      <c r="AF35" s="49">
        <v>21.380916595458984</v>
      </c>
      <c r="AG35" s="49">
        <v>169.58443455168864</v>
      </c>
      <c r="AH35" s="49">
        <v>498.80010643484405</v>
      </c>
      <c r="AI35" s="69">
        <v>0.33998476015530016</v>
      </c>
      <c r="AJ35" s="49">
        <v>68.72191619873047</v>
      </c>
      <c r="AK35" s="49">
        <v>0</v>
      </c>
      <c r="AL35" s="49">
        <v>0</v>
      </c>
      <c r="AM35" s="49">
        <v>238.3063507080078</v>
      </c>
      <c r="AN35" s="49">
        <v>498.80010643484405</v>
      </c>
      <c r="AO35" s="69">
        <v>0.4777592122554779</v>
      </c>
    </row>
    <row r="36" spans="1:41" ht="12.75" customHeight="1">
      <c r="A36" t="s">
        <v>176</v>
      </c>
      <c r="B36" t="s">
        <v>176</v>
      </c>
      <c r="C36" s="49">
        <v>45</v>
      </c>
      <c r="D36" s="49">
        <v>178.37358158957127</v>
      </c>
      <c r="E36" s="49">
        <v>300.2</v>
      </c>
      <c r="F36" s="49">
        <v>0</v>
      </c>
      <c r="G36" s="49">
        <v>0</v>
      </c>
      <c r="H36" s="49" t="s">
        <v>164</v>
      </c>
      <c r="I36" s="49">
        <v>0.21</v>
      </c>
      <c r="J36" s="49">
        <v>0.4009999930858612</v>
      </c>
      <c r="K36" s="49">
        <v>191.9745671857761</v>
      </c>
      <c r="L36" s="60">
        <v>0.041847032025525886</v>
      </c>
      <c r="M36" s="49">
        <v>0.10435669014230056</v>
      </c>
      <c r="N36" s="49"/>
      <c r="O36" s="49"/>
      <c r="P36" s="49">
        <v>300.2000640572177</v>
      </c>
      <c r="Q36" s="49">
        <v>0</v>
      </c>
      <c r="R36" s="49">
        <v>0</v>
      </c>
      <c r="S36" s="49">
        <v>0</v>
      </c>
      <c r="T36" s="49">
        <v>0</v>
      </c>
      <c r="U36" s="49">
        <v>0</v>
      </c>
      <c r="V36" s="49">
        <v>300.2000640572177</v>
      </c>
      <c r="W36" s="49">
        <v>0</v>
      </c>
      <c r="X36" s="49">
        <v>300.2000640572177</v>
      </c>
      <c r="Y36" s="49">
        <v>0</v>
      </c>
      <c r="Z36" s="49">
        <v>0</v>
      </c>
      <c r="AA36" s="49">
        <v>84.78257751464844</v>
      </c>
      <c r="AB36" s="49">
        <v>0</v>
      </c>
      <c r="AC36" s="49">
        <v>84.7825789096764</v>
      </c>
      <c r="AD36" s="49">
        <v>80.80781427225753</v>
      </c>
      <c r="AE36" s="49">
        <v>2.315508495889847</v>
      </c>
      <c r="AF36" s="49">
        <v>11.976827621459961</v>
      </c>
      <c r="AG36" s="49">
        <v>94.99515116748194</v>
      </c>
      <c r="AH36" s="49">
        <v>300.2000640572177</v>
      </c>
      <c r="AI36" s="69">
        <v>0.3164394766730496</v>
      </c>
      <c r="AJ36" s="49">
        <v>38.495574951171875</v>
      </c>
      <c r="AK36" s="49">
        <v>0</v>
      </c>
      <c r="AL36" s="49">
        <v>0</v>
      </c>
      <c r="AM36" s="49">
        <v>133.49072265625</v>
      </c>
      <c r="AN36" s="49">
        <v>300.2000640572177</v>
      </c>
      <c r="AO36" s="69">
        <v>0.44467252492904663</v>
      </c>
    </row>
    <row r="37" spans="1:41" ht="12.75" customHeight="1">
      <c r="A37" t="s">
        <v>236</v>
      </c>
      <c r="B37" t="s">
        <v>236</v>
      </c>
      <c r="C37" s="49">
        <v>45</v>
      </c>
      <c r="D37" s="49">
        <v>24.365014539989716</v>
      </c>
      <c r="E37" s="49">
        <v>50.9</v>
      </c>
      <c r="F37" s="49">
        <v>0</v>
      </c>
      <c r="G37" s="49">
        <v>0</v>
      </c>
      <c r="H37" s="49" t="s">
        <v>164</v>
      </c>
      <c r="I37" s="49">
        <v>0.21</v>
      </c>
      <c r="J37" s="49">
        <v>0.4009999930858612</v>
      </c>
      <c r="K37" s="49">
        <v>26.222846898663928</v>
      </c>
      <c r="L37" s="60">
        <v>0.005716112972959248</v>
      </c>
      <c r="M37" s="49">
        <v>0.014254646063635534</v>
      </c>
      <c r="N37" s="49"/>
      <c r="O37" s="49"/>
      <c r="P37" s="49">
        <v>50.9025108616673</v>
      </c>
      <c r="Q37" s="49">
        <v>0</v>
      </c>
      <c r="R37" s="49">
        <v>0</v>
      </c>
      <c r="S37" s="49">
        <v>0</v>
      </c>
      <c r="T37" s="49">
        <v>0</v>
      </c>
      <c r="U37" s="49">
        <v>0</v>
      </c>
      <c r="V37" s="49">
        <v>50.9025108616673</v>
      </c>
      <c r="W37" s="49">
        <v>0</v>
      </c>
      <c r="X37" s="49">
        <v>50.9025108616673</v>
      </c>
      <c r="Y37" s="49">
        <v>0</v>
      </c>
      <c r="Z37" s="49">
        <v>0</v>
      </c>
      <c r="AA37" s="49">
        <v>105.24437713623047</v>
      </c>
      <c r="AB37" s="49">
        <v>0</v>
      </c>
      <c r="AC37" s="49">
        <v>105.24437787159316</v>
      </c>
      <c r="AD37" s="49">
        <v>11.037977441180994</v>
      </c>
      <c r="AE37" s="49">
        <v>0.3162878587011806</v>
      </c>
      <c r="AF37" s="49">
        <v>1.6359796524047852</v>
      </c>
      <c r="AG37" s="49">
        <v>12.975902539296344</v>
      </c>
      <c r="AH37" s="49">
        <v>50.9025108616673</v>
      </c>
      <c r="AI37" s="69">
        <v>0.25491674810619197</v>
      </c>
      <c r="AJ37" s="49">
        <v>5.2583184242248535</v>
      </c>
      <c r="AK37" s="49">
        <v>0</v>
      </c>
      <c r="AL37" s="49">
        <v>0</v>
      </c>
      <c r="AM37" s="49">
        <v>18.234220504760742</v>
      </c>
      <c r="AN37" s="49">
        <v>50.9025108616673</v>
      </c>
      <c r="AO37" s="69">
        <v>0.3582184910774231</v>
      </c>
    </row>
    <row r="38" spans="1:41" ht="12.75" customHeight="1">
      <c r="A38" t="s">
        <v>237</v>
      </c>
      <c r="B38" t="s">
        <v>237</v>
      </c>
      <c r="C38" s="49">
        <v>45</v>
      </c>
      <c r="D38" s="49">
        <v>14.619008723994435</v>
      </c>
      <c r="E38" s="49">
        <v>33.94</v>
      </c>
      <c r="F38" s="49">
        <v>0</v>
      </c>
      <c r="G38" s="49">
        <v>0</v>
      </c>
      <c r="H38" s="49" t="s">
        <v>164</v>
      </c>
      <c r="I38" s="49">
        <v>0.21</v>
      </c>
      <c r="J38" s="49">
        <v>0.4009999930858612</v>
      </c>
      <c r="K38" s="49">
        <v>15.73370813919901</v>
      </c>
      <c r="L38" s="60">
        <v>0.003429667783775691</v>
      </c>
      <c r="M38" s="49">
        <v>0.008552787638181675</v>
      </c>
      <c r="N38" s="49"/>
      <c r="O38" s="49"/>
      <c r="P38" s="49">
        <v>33.935007241111535</v>
      </c>
      <c r="Q38" s="49">
        <v>0</v>
      </c>
      <c r="R38" s="49">
        <v>0</v>
      </c>
      <c r="S38" s="49">
        <v>0</v>
      </c>
      <c r="T38" s="49">
        <v>0</v>
      </c>
      <c r="U38" s="49">
        <v>0</v>
      </c>
      <c r="V38" s="49">
        <v>33.935007241111535</v>
      </c>
      <c r="W38" s="49">
        <v>0</v>
      </c>
      <c r="X38" s="49">
        <v>33.935007241111535</v>
      </c>
      <c r="Y38" s="49">
        <v>0</v>
      </c>
      <c r="Z38" s="49">
        <v>0</v>
      </c>
      <c r="AA38" s="49">
        <v>116.93819427490234</v>
      </c>
      <c r="AB38" s="49">
        <v>0</v>
      </c>
      <c r="AC38" s="49">
        <v>116.93819763509863</v>
      </c>
      <c r="AD38" s="49">
        <v>6.622786464708878</v>
      </c>
      <c r="AE38" s="49">
        <v>0.18977271522071623</v>
      </c>
      <c r="AF38" s="49">
        <v>0.9815879464149475</v>
      </c>
      <c r="AG38" s="49">
        <v>7.785541678550172</v>
      </c>
      <c r="AH38" s="49">
        <v>33.935007241111535</v>
      </c>
      <c r="AI38" s="69">
        <v>0.2294250778623131</v>
      </c>
      <c r="AJ38" s="49">
        <v>3.154991865158081</v>
      </c>
      <c r="AK38" s="49">
        <v>0</v>
      </c>
      <c r="AL38" s="49">
        <v>0</v>
      </c>
      <c r="AM38" s="49">
        <v>10.940533638000488</v>
      </c>
      <c r="AN38" s="49">
        <v>33.935007241111535</v>
      </c>
      <c r="AO38" s="69">
        <v>0.3223966658115387</v>
      </c>
    </row>
    <row r="39" spans="1:41" ht="12.75" customHeight="1">
      <c r="A39"/>
      <c r="B39"/>
      <c r="C39" s="49"/>
      <c r="D39" s="49"/>
      <c r="E39" s="49"/>
      <c r="F39" s="49"/>
      <c r="G39" s="49"/>
      <c r="H39" s="49"/>
      <c r="I39" s="49"/>
      <c r="J39" s="49"/>
      <c r="K39" s="49"/>
      <c r="L39" s="60"/>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61"/>
    </row>
    <row r="40" spans="1:41" ht="12.75" customHeight="1" thickBot="1">
      <c r="A40"/>
      <c r="B40"/>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thickBot="1">
      <c r="A41" s="62" t="s">
        <v>129</v>
      </c>
      <c r="B41" s="71"/>
      <c r="C41" s="72" t="s">
        <v>101</v>
      </c>
      <c r="D41" s="63"/>
      <c r="E41" s="63"/>
      <c r="F41" s="63"/>
      <c r="G41" s="63"/>
      <c r="H41" s="63"/>
      <c r="I41" s="63"/>
      <c r="J41" s="64"/>
      <c r="K41" s="72" t="s">
        <v>45</v>
      </c>
      <c r="L41" s="63"/>
      <c r="M41" s="64"/>
      <c r="N41" s="72" t="s">
        <v>102</v>
      </c>
      <c r="O41" s="63"/>
      <c r="P41" s="63"/>
      <c r="Q41" s="63"/>
      <c r="R41" s="73" t="s">
        <v>103</v>
      </c>
      <c r="S41" s="72" t="s">
        <v>79</v>
      </c>
      <c r="T41" s="63"/>
      <c r="U41" s="63"/>
      <c r="V41" s="63"/>
      <c r="W41" s="63"/>
      <c r="X41" s="64"/>
      <c r="Y41" s="72" t="s">
        <v>80</v>
      </c>
      <c r="Z41" s="63"/>
      <c r="AA41" s="63"/>
      <c r="AB41" s="63"/>
      <c r="AC41" s="63"/>
      <c r="AD41" s="64"/>
      <c r="AE41" s="49"/>
      <c r="AF41" s="49"/>
      <c r="AG41" s="49"/>
      <c r="AH41" s="49"/>
      <c r="AI41" s="49"/>
      <c r="AJ41" s="49"/>
      <c r="AK41" s="49"/>
      <c r="AL41" s="49"/>
      <c r="AM41" s="49"/>
      <c r="AN41" s="49"/>
      <c r="AO41" s="49"/>
    </row>
    <row r="42" spans="1:41" ht="51">
      <c r="A42" s="57"/>
      <c r="B42" s="58" t="s">
        <v>51</v>
      </c>
      <c r="C42" s="59" t="s">
        <v>104</v>
      </c>
      <c r="D42" s="59" t="s">
        <v>82</v>
      </c>
      <c r="E42" s="59" t="s">
        <v>83</v>
      </c>
      <c r="F42" s="59" t="s">
        <v>84</v>
      </c>
      <c r="G42" s="59" t="s">
        <v>85</v>
      </c>
      <c r="H42" s="59" t="s">
        <v>86</v>
      </c>
      <c r="I42" s="59" t="s">
        <v>105</v>
      </c>
      <c r="J42" s="59" t="s">
        <v>106</v>
      </c>
      <c r="K42" s="59" t="s">
        <v>89</v>
      </c>
      <c r="L42" s="59" t="s">
        <v>90</v>
      </c>
      <c r="M42" s="59" t="s">
        <v>91</v>
      </c>
      <c r="N42" s="59" t="s">
        <v>46</v>
      </c>
      <c r="O42" s="59" t="s">
        <v>107</v>
      </c>
      <c r="P42" s="59" t="s">
        <v>108</v>
      </c>
      <c r="Q42" s="59" t="s">
        <v>109</v>
      </c>
      <c r="R42" s="59" t="s">
        <v>110</v>
      </c>
      <c r="S42" s="59" t="s">
        <v>92</v>
      </c>
      <c r="T42" s="59" t="s">
        <v>93</v>
      </c>
      <c r="U42" s="59" t="s">
        <v>56</v>
      </c>
      <c r="V42" s="59" t="s">
        <v>94</v>
      </c>
      <c r="W42" s="59" t="s">
        <v>95</v>
      </c>
      <c r="X42" s="59" t="s">
        <v>96</v>
      </c>
      <c r="Y42" s="59" t="s">
        <v>97</v>
      </c>
      <c r="Z42" s="59" t="s">
        <v>54</v>
      </c>
      <c r="AA42" s="59" t="s">
        <v>55</v>
      </c>
      <c r="AB42" s="59" t="s">
        <v>98</v>
      </c>
      <c r="AC42" s="59" t="s">
        <v>99</v>
      </c>
      <c r="AD42" s="59" t="s">
        <v>100</v>
      </c>
      <c r="AE42" s="49"/>
      <c r="AF42" s="49"/>
      <c r="AG42" s="49"/>
      <c r="AH42" s="49"/>
      <c r="AI42" s="49"/>
      <c r="AJ42" s="49"/>
      <c r="AK42" s="49"/>
      <c r="AL42" s="49"/>
      <c r="AM42" s="49"/>
      <c r="AN42" s="49"/>
      <c r="AO42" s="49"/>
    </row>
    <row r="43" spans="1:41" ht="12.75" customHeight="1">
      <c r="A43"/>
      <c r="B43" t="s">
        <v>234</v>
      </c>
      <c r="C43" s="49">
        <v>45</v>
      </c>
      <c r="D43" s="49">
        <v>758.6594219613811</v>
      </c>
      <c r="E43" s="49">
        <v>132.66</v>
      </c>
      <c r="F43" s="49">
        <v>0</v>
      </c>
      <c r="G43" s="49">
        <v>0</v>
      </c>
      <c r="H43" s="49"/>
      <c r="I43" s="49">
        <v>0.21</v>
      </c>
      <c r="J43" s="49">
        <v>0.4009999930858612</v>
      </c>
      <c r="K43" s="49">
        <v>816.5072028859363</v>
      </c>
      <c r="L43" s="49">
        <v>0.17798400886704518</v>
      </c>
      <c r="M43" s="49">
        <v>0.44385039806365967</v>
      </c>
      <c r="N43" s="49">
        <v>132.65502830616327</v>
      </c>
      <c r="O43" s="49">
        <v>0</v>
      </c>
      <c r="P43" s="49">
        <v>0</v>
      </c>
      <c r="Q43" s="49">
        <v>132.655029296875</v>
      </c>
      <c r="R43" s="49">
        <v>8.808526096210503</v>
      </c>
      <c r="S43" s="49">
        <v>343.69220553531846</v>
      </c>
      <c r="T43" s="49">
        <v>9.848332405090332</v>
      </c>
      <c r="U43" s="49">
        <v>50.93989944458008</v>
      </c>
      <c r="V43" s="49">
        <v>404.0338542351955</v>
      </c>
      <c r="W43" s="49">
        <v>132.65502830616327</v>
      </c>
      <c r="X43" s="48">
        <v>3.045748505685734</v>
      </c>
      <c r="Y43" s="60">
        <v>163.72952270507812</v>
      </c>
      <c r="Z43" s="60">
        <v>0</v>
      </c>
      <c r="AA43" s="60">
        <v>0</v>
      </c>
      <c r="AB43" s="60">
        <v>567.7633666992188</v>
      </c>
      <c r="AC43" s="60">
        <v>132.655029296875</v>
      </c>
      <c r="AD43" s="48">
        <v>4.279998779296875</v>
      </c>
      <c r="AE43" s="60"/>
      <c r="AF43" s="60"/>
      <c r="AG43" s="60"/>
      <c r="AH43" s="60"/>
      <c r="AI43" s="60"/>
      <c r="AJ43" s="60"/>
      <c r="AK43" s="60"/>
      <c r="AL43" s="49"/>
      <c r="AM43" s="49"/>
      <c r="AN43" s="49"/>
      <c r="AO43" s="49"/>
    </row>
    <row r="44" spans="1:41" ht="12.75" customHeight="1">
      <c r="A44"/>
      <c r="B44" t="s">
        <v>166</v>
      </c>
      <c r="C44" s="49">
        <v>45</v>
      </c>
      <c r="D44" s="49">
        <v>699.0312141078781</v>
      </c>
      <c r="E44" s="49">
        <v>153.94</v>
      </c>
      <c r="F44" s="49">
        <v>0</v>
      </c>
      <c r="G44" s="49">
        <v>0</v>
      </c>
      <c r="H44" s="49"/>
      <c r="I44" s="49">
        <v>0.21</v>
      </c>
      <c r="J44" s="49">
        <v>0.4010000228881836</v>
      </c>
      <c r="K44" s="49">
        <v>752.3323441836038</v>
      </c>
      <c r="L44" s="49">
        <v>0.16399503414649647</v>
      </c>
      <c r="M44" s="49">
        <v>0.40896517038345337</v>
      </c>
      <c r="N44" s="49">
        <v>153.940032847995</v>
      </c>
      <c r="O44" s="49">
        <v>0</v>
      </c>
      <c r="P44" s="49">
        <v>0</v>
      </c>
      <c r="Q44" s="49">
        <v>153.94003295898438</v>
      </c>
      <c r="R44" s="49">
        <v>11.09382667432305</v>
      </c>
      <c r="S44" s="49">
        <v>316.6790957313097</v>
      </c>
      <c r="T44" s="49">
        <v>9.074284553527832</v>
      </c>
      <c r="U44" s="49">
        <v>46.936187744140625</v>
      </c>
      <c r="V44" s="49">
        <v>372.2780852629468</v>
      </c>
      <c r="W44" s="49">
        <v>153.940032847995</v>
      </c>
      <c r="X44" s="48">
        <v>2.418331855434546</v>
      </c>
      <c r="Y44" s="60">
        <v>150.86093139648438</v>
      </c>
      <c r="Z44" s="60">
        <v>0</v>
      </c>
      <c r="AA44" s="60">
        <v>0</v>
      </c>
      <c r="AB44" s="60">
        <v>523.1390380859375</v>
      </c>
      <c r="AC44" s="60">
        <v>153.94003295898438</v>
      </c>
      <c r="AD44" s="48">
        <v>3.398329973220825</v>
      </c>
      <c r="AE44" s="60"/>
      <c r="AF44" s="60"/>
      <c r="AG44" s="60"/>
      <c r="AH44" s="60"/>
      <c r="AI44" s="60"/>
      <c r="AJ44" s="60"/>
      <c r="AK44" s="60"/>
      <c r="AL44" s="49"/>
      <c r="AM44" s="49"/>
      <c r="AN44" s="49"/>
      <c r="AO44" s="49"/>
    </row>
    <row r="45" spans="1:41" ht="12.75" customHeight="1">
      <c r="A45"/>
      <c r="B45" t="s">
        <v>171</v>
      </c>
      <c r="C45" s="49">
        <v>45</v>
      </c>
      <c r="D45" s="49">
        <v>773.017191169011</v>
      </c>
      <c r="E45" s="49">
        <v>253.33</v>
      </c>
      <c r="F45" s="49">
        <v>0</v>
      </c>
      <c r="G45" s="49">
        <v>0</v>
      </c>
      <c r="H45" s="49"/>
      <c r="I45" s="49">
        <v>0.21</v>
      </c>
      <c r="J45" s="49">
        <v>0.4009999930858612</v>
      </c>
      <c r="K45" s="49">
        <v>831.959751995648</v>
      </c>
      <c r="L45" s="49">
        <v>0.1813523889965045</v>
      </c>
      <c r="M45" s="49">
        <v>0.4522503614425659</v>
      </c>
      <c r="N45" s="49">
        <v>253.3333540567167</v>
      </c>
      <c r="O45" s="49">
        <v>0</v>
      </c>
      <c r="P45" s="49">
        <v>0</v>
      </c>
      <c r="Q45" s="49">
        <v>253.33335876464844</v>
      </c>
      <c r="R45" s="49">
        <v>16.509335935519026</v>
      </c>
      <c r="S45" s="49">
        <v>350.1966437887577</v>
      </c>
      <c r="T45" s="49">
        <v>10.034713745117188</v>
      </c>
      <c r="U45" s="49">
        <v>51.903953552246094</v>
      </c>
      <c r="V45" s="49">
        <v>411.6802764315443</v>
      </c>
      <c r="W45" s="49">
        <v>253.3333540567167</v>
      </c>
      <c r="X45" s="48">
        <v>1.625053589822115</v>
      </c>
      <c r="Y45" s="60">
        <v>166.8282012939453</v>
      </c>
      <c r="Z45" s="60">
        <v>0</v>
      </c>
      <c r="AA45" s="60">
        <v>0</v>
      </c>
      <c r="AB45" s="60">
        <v>578.5084838867188</v>
      </c>
      <c r="AC45" s="60">
        <v>253.33335876464844</v>
      </c>
      <c r="AD45" s="48">
        <v>2.283585786819458</v>
      </c>
      <c r="AE45" s="60"/>
      <c r="AF45" s="60"/>
      <c r="AG45" s="60"/>
      <c r="AH45" s="60"/>
      <c r="AI45" s="60"/>
      <c r="AJ45" s="60"/>
      <c r="AK45" s="60"/>
      <c r="AL45" s="49"/>
      <c r="AM45" s="49"/>
      <c r="AN45" s="49"/>
      <c r="AO45" s="49"/>
    </row>
    <row r="46" spans="1:41" ht="12.75" customHeight="1">
      <c r="A46"/>
      <c r="B46" t="s">
        <v>167</v>
      </c>
      <c r="C46" s="49">
        <v>45</v>
      </c>
      <c r="D46" s="49">
        <v>1564.238633432594</v>
      </c>
      <c r="E46" s="49">
        <v>569.16</v>
      </c>
      <c r="F46" s="49">
        <v>0</v>
      </c>
      <c r="G46" s="49">
        <v>0</v>
      </c>
      <c r="H46" s="49"/>
      <c r="I46" s="49">
        <v>0.21</v>
      </c>
      <c r="J46" s="49">
        <v>0.4010000228881836</v>
      </c>
      <c r="K46" s="49">
        <v>1683.5118292318293</v>
      </c>
      <c r="L46" s="49">
        <v>0.3669755554913726</v>
      </c>
      <c r="M46" s="49">
        <v>0.9151510000228882</v>
      </c>
      <c r="N46" s="49">
        <v>569.1601214483878</v>
      </c>
      <c r="O46" s="49">
        <v>0</v>
      </c>
      <c r="P46" s="49">
        <v>0</v>
      </c>
      <c r="Q46" s="49">
        <v>569.1600952148438</v>
      </c>
      <c r="R46" s="49">
        <v>18.329804506203576</v>
      </c>
      <c r="S46" s="49">
        <v>708.6402809288068</v>
      </c>
      <c r="T46" s="49">
        <v>20.305742263793945</v>
      </c>
      <c r="U46" s="49">
        <v>105.03021240234375</v>
      </c>
      <c r="V46" s="49">
        <v>833.0554491904745</v>
      </c>
      <c r="W46" s="49">
        <v>569.1601214483878</v>
      </c>
      <c r="X46" s="48">
        <v>1.4636574450622628</v>
      </c>
      <c r="Y46" s="60">
        <v>337.5850830078125</v>
      </c>
      <c r="Z46" s="60">
        <v>0</v>
      </c>
      <c r="AA46" s="60">
        <v>0</v>
      </c>
      <c r="AB46" s="60">
        <v>1170.6405029296875</v>
      </c>
      <c r="AC46" s="60">
        <v>569.1600952148438</v>
      </c>
      <c r="AD46" s="48">
        <v>2.056786060333252</v>
      </c>
      <c r="AE46" s="60"/>
      <c r="AF46" s="60"/>
      <c r="AG46" s="60"/>
      <c r="AH46" s="60"/>
      <c r="AI46" s="60"/>
      <c r="AJ46" s="60"/>
      <c r="AK46" s="60"/>
      <c r="AL46" s="49"/>
      <c r="AM46" s="49"/>
      <c r="AN46" s="49"/>
      <c r="AO46" s="49"/>
    </row>
    <row r="47" spans="1:41" ht="12.75" customHeight="1">
      <c r="A47"/>
      <c r="B47" t="s">
        <v>173</v>
      </c>
      <c r="C47" s="49">
        <v>45</v>
      </c>
      <c r="D47" s="49">
        <v>136.3674044732082</v>
      </c>
      <c r="E47" s="49">
        <v>59.07</v>
      </c>
      <c r="F47" s="49">
        <v>0</v>
      </c>
      <c r="G47" s="49">
        <v>0</v>
      </c>
      <c r="H47" s="49"/>
      <c r="I47" s="49">
        <v>0.21</v>
      </c>
      <c r="J47" s="49">
        <v>0.4009999930858612</v>
      </c>
      <c r="K47" s="49">
        <v>146.76541906429034</v>
      </c>
      <c r="L47" s="49">
        <v>0.03199224398240049</v>
      </c>
      <c r="M47" s="49">
        <v>0.07978115975856781</v>
      </c>
      <c r="N47" s="49">
        <v>59.07001260446319</v>
      </c>
      <c r="O47" s="49">
        <v>0</v>
      </c>
      <c r="P47" s="49">
        <v>0</v>
      </c>
      <c r="Q47" s="49">
        <v>59.070011138916016</v>
      </c>
      <c r="R47" s="49">
        <v>21.8214124157694</v>
      </c>
      <c r="S47" s="49">
        <v>61.77793704236018</v>
      </c>
      <c r="T47" s="49">
        <v>1.770216703414917</v>
      </c>
      <c r="U47" s="49">
        <v>9.15633773803711</v>
      </c>
      <c r="V47" s="49">
        <v>72.62421905096093</v>
      </c>
      <c r="W47" s="49">
        <v>59.07001260446319</v>
      </c>
      <c r="X47" s="48">
        <v>1.229460022926652</v>
      </c>
      <c r="Y47" s="60">
        <v>29.430030822753906</v>
      </c>
      <c r="Z47" s="60">
        <v>0</v>
      </c>
      <c r="AA47" s="60">
        <v>0</v>
      </c>
      <c r="AB47" s="60">
        <v>102.05425262451172</v>
      </c>
      <c r="AC47" s="60">
        <v>59.070011138916016</v>
      </c>
      <c r="AD47" s="48">
        <v>1.7276829481124878</v>
      </c>
      <c r="AE47" s="60"/>
      <c r="AF47" s="60"/>
      <c r="AG47" s="60"/>
      <c r="AH47" s="60"/>
      <c r="AI47" s="60"/>
      <c r="AJ47" s="60"/>
      <c r="AK47" s="60"/>
      <c r="AL47" s="49"/>
      <c r="AM47" s="49"/>
      <c r="AN47" s="49"/>
      <c r="AO47" s="49"/>
    </row>
    <row r="48" spans="1:41" ht="12.75" customHeight="1">
      <c r="A48"/>
      <c r="B48" t="s">
        <v>172</v>
      </c>
      <c r="C48" s="49">
        <v>45</v>
      </c>
      <c r="D48" s="49">
        <v>137.8115727350099</v>
      </c>
      <c r="E48" s="49">
        <v>63.33</v>
      </c>
      <c r="F48" s="49">
        <v>0</v>
      </c>
      <c r="G48" s="49">
        <v>0</v>
      </c>
      <c r="H48" s="49"/>
      <c r="I48" s="49">
        <v>0.21</v>
      </c>
      <c r="J48" s="49">
        <v>0.4009999930858612</v>
      </c>
      <c r="K48" s="49">
        <v>148.31970515605437</v>
      </c>
      <c r="L48" s="49">
        <v>0.032331050631699706</v>
      </c>
      <c r="M48" s="49">
        <v>0.08062606304883957</v>
      </c>
      <c r="N48" s="49">
        <v>63.33331351417384</v>
      </c>
      <c r="O48" s="49">
        <v>0</v>
      </c>
      <c r="P48" s="49">
        <v>0</v>
      </c>
      <c r="Q48" s="49">
        <v>63.33331298828125</v>
      </c>
      <c r="R48" s="49">
        <v>23.151167078636185</v>
      </c>
      <c r="S48" s="49">
        <v>62.43218236073968</v>
      </c>
      <c r="T48" s="49">
        <v>1.7889636754989624</v>
      </c>
      <c r="U48" s="49">
        <v>9.25330638885498</v>
      </c>
      <c r="V48" s="49">
        <v>73.39332999406633</v>
      </c>
      <c r="W48" s="49">
        <v>63.33331351417384</v>
      </c>
      <c r="X48" s="48">
        <v>1.1588424151791945</v>
      </c>
      <c r="Y48" s="60">
        <v>29.741710662841797</v>
      </c>
      <c r="Z48" s="60">
        <v>0</v>
      </c>
      <c r="AA48" s="60">
        <v>0</v>
      </c>
      <c r="AB48" s="60">
        <v>103.13504028320312</v>
      </c>
      <c r="AC48" s="60">
        <v>63.33331298828125</v>
      </c>
      <c r="AD48" s="48">
        <v>1.628448486328125</v>
      </c>
      <c r="AE48" s="60"/>
      <c r="AF48" s="60"/>
      <c r="AG48" s="60"/>
      <c r="AH48" s="60"/>
      <c r="AI48" s="60"/>
      <c r="AJ48" s="60"/>
      <c r="AK48" s="60"/>
      <c r="AL48" s="49"/>
      <c r="AM48" s="49"/>
      <c r="AN48" s="49"/>
      <c r="AO48" s="49"/>
    </row>
    <row r="49" spans="1:41" ht="12.75" customHeight="1">
      <c r="A49"/>
      <c r="B49" t="s">
        <v>242</v>
      </c>
      <c r="C49" s="49">
        <v>45</v>
      </c>
      <c r="D49" s="49">
        <v>2743.376173412067</v>
      </c>
      <c r="E49" s="49">
        <v>1663.71</v>
      </c>
      <c r="F49" s="49">
        <v>0</v>
      </c>
      <c r="G49" s="49">
        <v>0</v>
      </c>
      <c r="H49" s="49"/>
      <c r="I49" s="49">
        <v>0.21</v>
      </c>
      <c r="J49" s="49">
        <v>0.4010000228881836</v>
      </c>
      <c r="K49" s="49">
        <v>2952.5586066347373</v>
      </c>
      <c r="L49" s="49">
        <v>0.6436051211383614</v>
      </c>
      <c r="M49" s="49">
        <v>1.605000376701355</v>
      </c>
      <c r="N49" s="49">
        <v>1663.7061550045457</v>
      </c>
      <c r="O49" s="49">
        <v>0</v>
      </c>
      <c r="P49" s="49">
        <v>0</v>
      </c>
      <c r="Q49" s="49">
        <v>1663.7061767578125</v>
      </c>
      <c r="R49" s="49">
        <v>30.550451144084818</v>
      </c>
      <c r="S49" s="49">
        <v>1242.8198745827085</v>
      </c>
      <c r="T49" s="49">
        <v>35.612396240234375</v>
      </c>
      <c r="U49" s="49">
        <v>184.2029571533203</v>
      </c>
      <c r="V49" s="49">
        <v>1461.0203464952792</v>
      </c>
      <c r="W49" s="49">
        <v>1663.7061550045457</v>
      </c>
      <c r="X49" s="69">
        <v>0.8781721111630361</v>
      </c>
      <c r="Y49" s="60">
        <v>592.0597534179688</v>
      </c>
      <c r="Z49" s="60">
        <v>0</v>
      </c>
      <c r="AA49" s="60">
        <v>0</v>
      </c>
      <c r="AB49" s="60">
        <v>2053.080078125</v>
      </c>
      <c r="AC49" s="60">
        <v>1663.7061767578125</v>
      </c>
      <c r="AD49" s="48">
        <v>1.2340400218963623</v>
      </c>
      <c r="AE49" s="60"/>
      <c r="AF49" s="60"/>
      <c r="AG49" s="60"/>
      <c r="AH49" s="60"/>
      <c r="AI49" s="60"/>
      <c r="AJ49" s="60"/>
      <c r="AK49" s="60"/>
      <c r="AL49" s="49"/>
      <c r="AM49" s="49"/>
      <c r="AN49" s="49"/>
      <c r="AO49" s="49"/>
    </row>
    <row r="50" spans="1:41" ht="12.75" customHeight="1">
      <c r="A50"/>
      <c r="B50" t="s">
        <v>175</v>
      </c>
      <c r="C50" s="49">
        <v>45</v>
      </c>
      <c r="D50" s="49">
        <v>42.194919425659464</v>
      </c>
      <c r="E50" s="49">
        <v>41.17</v>
      </c>
      <c r="F50" s="49">
        <v>0</v>
      </c>
      <c r="G50" s="49">
        <v>0</v>
      </c>
      <c r="H50" s="49"/>
      <c r="I50" s="49">
        <v>0.21</v>
      </c>
      <c r="J50" s="49">
        <v>0.4009999930858612</v>
      </c>
      <c r="K50" s="49">
        <v>45.412282031866</v>
      </c>
      <c r="L50" s="49">
        <v>0.00989906761295469</v>
      </c>
      <c r="M50" s="49">
        <v>0.024685954675078392</v>
      </c>
      <c r="N50" s="49">
        <v>41.16670878422473</v>
      </c>
      <c r="O50" s="49">
        <v>0</v>
      </c>
      <c r="P50" s="49">
        <v>0</v>
      </c>
      <c r="Q50" s="49">
        <v>41.166709899902344</v>
      </c>
      <c r="R50" s="49">
        <v>49.14873935893887</v>
      </c>
      <c r="S50" s="49">
        <v>19.115382344158295</v>
      </c>
      <c r="T50" s="49">
        <v>0.5477419495582581</v>
      </c>
      <c r="U50" s="49">
        <v>2.8331620693206787</v>
      </c>
      <c r="V50" s="49">
        <v>22.471448421264043</v>
      </c>
      <c r="W50" s="49">
        <v>41.16670878422473</v>
      </c>
      <c r="X50" s="69">
        <v>0.5458645853630932</v>
      </c>
      <c r="Y50" s="60">
        <v>9.106266975402832</v>
      </c>
      <c r="Z50" s="60">
        <v>0</v>
      </c>
      <c r="AA50" s="60">
        <v>0</v>
      </c>
      <c r="AB50" s="60">
        <v>31.577714920043945</v>
      </c>
      <c r="AC50" s="60">
        <v>41.166709899902344</v>
      </c>
      <c r="AD50" s="69">
        <v>0.7670692205429077</v>
      </c>
      <c r="AE50" s="60"/>
      <c r="AF50" s="60"/>
      <c r="AG50" s="60"/>
      <c r="AH50" s="60"/>
      <c r="AI50" s="60"/>
      <c r="AJ50" s="60"/>
      <c r="AK50" s="60"/>
      <c r="AL50" s="49"/>
      <c r="AM50" s="49"/>
      <c r="AN50" s="49"/>
      <c r="AO50" s="49"/>
    </row>
    <row r="51" spans="1:41" ht="12.75" customHeight="1">
      <c r="A51"/>
      <c r="B51" t="s">
        <v>174</v>
      </c>
      <c r="C51" s="49">
        <v>45</v>
      </c>
      <c r="D51" s="49">
        <v>29.728900914261732</v>
      </c>
      <c r="E51" s="49">
        <v>32.22</v>
      </c>
      <c r="F51" s="49">
        <v>0</v>
      </c>
      <c r="G51" s="49">
        <v>0</v>
      </c>
      <c r="H51" s="49"/>
      <c r="I51" s="49">
        <v>0.21</v>
      </c>
      <c r="J51" s="49">
        <v>0.4009999930858612</v>
      </c>
      <c r="K51" s="49">
        <v>31.995729608974187</v>
      </c>
      <c r="L51" s="49">
        <v>0.006974498451824166</v>
      </c>
      <c r="M51" s="49">
        <v>0.01739276386797428</v>
      </c>
      <c r="N51" s="49">
        <v>32.22000687516174</v>
      </c>
      <c r="O51" s="49">
        <v>0</v>
      </c>
      <c r="P51" s="49">
        <v>0</v>
      </c>
      <c r="Q51" s="49">
        <v>32.22000503540039</v>
      </c>
      <c r="R51" s="49">
        <v>54.59754770063914</v>
      </c>
      <c r="S51" s="49">
        <v>13.467955748770308</v>
      </c>
      <c r="T51" s="49">
        <v>0.38591769337654114</v>
      </c>
      <c r="U51" s="49">
        <v>1.9961358308792114</v>
      </c>
      <c r="V51" s="49">
        <v>15.832509428213042</v>
      </c>
      <c r="W51" s="49">
        <v>32.22000687516174</v>
      </c>
      <c r="X51" s="69">
        <v>0.4913875248244672</v>
      </c>
      <c r="Y51" s="60">
        <v>6.415922164916992</v>
      </c>
      <c r="Z51" s="60">
        <v>0</v>
      </c>
      <c r="AA51" s="60">
        <v>0</v>
      </c>
      <c r="AB51" s="60">
        <v>22.24843406677246</v>
      </c>
      <c r="AC51" s="60">
        <v>32.22000503540039</v>
      </c>
      <c r="AD51" s="69">
        <v>0.6905161738395691</v>
      </c>
      <c r="AE51" s="60"/>
      <c r="AF51" s="60"/>
      <c r="AG51" s="60"/>
      <c r="AH51" s="60"/>
      <c r="AI51" s="60"/>
      <c r="AJ51" s="60"/>
      <c r="AK51" s="60"/>
      <c r="AL51" s="49"/>
      <c r="AM51" s="49"/>
      <c r="AN51" s="49"/>
      <c r="AO51" s="49"/>
    </row>
    <row r="52" spans="1:41" ht="12.75" customHeight="1">
      <c r="A52"/>
      <c r="B52" t="s">
        <v>170</v>
      </c>
      <c r="C52" s="49">
        <v>45</v>
      </c>
      <c r="D52" s="49">
        <v>491.32225351887365</v>
      </c>
      <c r="E52" s="49">
        <v>550</v>
      </c>
      <c r="F52" s="49">
        <v>0</v>
      </c>
      <c r="G52" s="49">
        <v>0</v>
      </c>
      <c r="H52" s="49"/>
      <c r="I52" s="49">
        <v>0.21</v>
      </c>
      <c r="J52" s="49">
        <v>0.4009999930858612</v>
      </c>
      <c r="K52" s="49">
        <v>528.7855753496877</v>
      </c>
      <c r="L52" s="49">
        <v>0.11526582521152856</v>
      </c>
      <c r="M52" s="49">
        <v>0.28744596242904663</v>
      </c>
      <c r="N52" s="49">
        <v>550.0001173599925</v>
      </c>
      <c r="O52" s="49">
        <v>0</v>
      </c>
      <c r="P52" s="49">
        <v>0</v>
      </c>
      <c r="Q52" s="49">
        <v>550.0001220703125</v>
      </c>
      <c r="R52" s="49">
        <v>56.39267915272182</v>
      </c>
      <c r="S52" s="49">
        <v>222.58160124594093</v>
      </c>
      <c r="T52" s="49">
        <v>6.377967357635498</v>
      </c>
      <c r="U52" s="49">
        <v>32.989646911621094</v>
      </c>
      <c r="V52" s="49">
        <v>261.6599995754111</v>
      </c>
      <c r="W52" s="49">
        <v>550.0001173599925</v>
      </c>
      <c r="X52" s="69">
        <v>0.475745352258073</v>
      </c>
      <c r="Y52" s="60">
        <v>106.03435516357422</v>
      </c>
      <c r="Z52" s="60">
        <v>0</v>
      </c>
      <c r="AA52" s="60">
        <v>0</v>
      </c>
      <c r="AB52" s="60">
        <v>367.6943664550781</v>
      </c>
      <c r="AC52" s="60">
        <v>550.0001220703125</v>
      </c>
      <c r="AD52" s="69">
        <v>0.668535053730011</v>
      </c>
      <c r="AE52" s="60"/>
      <c r="AF52" s="60"/>
      <c r="AG52" s="60"/>
      <c r="AH52" s="60"/>
      <c r="AI52" s="60"/>
      <c r="AJ52" s="60"/>
      <c r="AK52" s="60"/>
      <c r="AL52" s="49"/>
      <c r="AM52" s="49"/>
      <c r="AN52" s="49"/>
      <c r="AO52" s="49"/>
    </row>
    <row r="53" spans="1:41" ht="12.75" customHeight="1">
      <c r="A53"/>
      <c r="B53" t="s">
        <v>245</v>
      </c>
      <c r="C53" s="49">
        <v>45</v>
      </c>
      <c r="D53" s="49">
        <v>318.4308134983251</v>
      </c>
      <c r="E53" s="49">
        <v>498.8</v>
      </c>
      <c r="F53" s="49">
        <v>0</v>
      </c>
      <c r="G53" s="49">
        <v>0</v>
      </c>
      <c r="H53" s="49"/>
      <c r="I53" s="49">
        <v>0.21</v>
      </c>
      <c r="J53" s="49">
        <v>0.4009999930858612</v>
      </c>
      <c r="K53" s="49">
        <v>342.7111630275724</v>
      </c>
      <c r="L53" s="49">
        <v>0.07470492172456186</v>
      </c>
      <c r="M53" s="49">
        <v>0.18629656732082367</v>
      </c>
      <c r="N53" s="49">
        <v>498.80010643484405</v>
      </c>
      <c r="O53" s="49">
        <v>0</v>
      </c>
      <c r="P53" s="49">
        <v>0</v>
      </c>
      <c r="Q53" s="49">
        <v>498.80010986328125</v>
      </c>
      <c r="R53" s="49">
        <v>78.91105362674274</v>
      </c>
      <c r="S53" s="49">
        <v>144.2573379220695</v>
      </c>
      <c r="T53" s="49">
        <v>4.1336236000061035</v>
      </c>
      <c r="U53" s="49">
        <v>21.380916595458984</v>
      </c>
      <c r="V53" s="49">
        <v>169.58443455168864</v>
      </c>
      <c r="W53" s="49">
        <v>498.80010643484405</v>
      </c>
      <c r="X53" s="69">
        <v>0.33998476015530016</v>
      </c>
      <c r="Y53" s="60">
        <v>68.72191619873047</v>
      </c>
      <c r="Z53" s="60">
        <v>0</v>
      </c>
      <c r="AA53" s="60">
        <v>0</v>
      </c>
      <c r="AB53" s="60">
        <v>238.3063507080078</v>
      </c>
      <c r="AC53" s="60">
        <v>498.80010986328125</v>
      </c>
      <c r="AD53" s="69">
        <v>0.4777592122554779</v>
      </c>
      <c r="AE53" s="60"/>
      <c r="AF53" s="60"/>
      <c r="AG53" s="60"/>
      <c r="AH53" s="60"/>
      <c r="AI53" s="60"/>
      <c r="AJ53" s="60"/>
      <c r="AK53" s="60"/>
      <c r="AL53" s="49"/>
      <c r="AM53" s="49"/>
      <c r="AN53" s="49"/>
      <c r="AO53" s="49"/>
    </row>
    <row r="54" spans="1:41" ht="12.75" customHeight="1">
      <c r="A54"/>
      <c r="B54" t="s">
        <v>176</v>
      </c>
      <c r="C54" s="49">
        <v>45</v>
      </c>
      <c r="D54" s="49">
        <v>178.37358158957127</v>
      </c>
      <c r="E54" s="49">
        <v>300.2</v>
      </c>
      <c r="F54" s="49">
        <v>0</v>
      </c>
      <c r="G54" s="49">
        <v>0</v>
      </c>
      <c r="H54" s="49"/>
      <c r="I54" s="49">
        <v>0.21</v>
      </c>
      <c r="J54" s="49">
        <v>0.4009999632835388</v>
      </c>
      <c r="K54" s="49">
        <v>191.9745671857761</v>
      </c>
      <c r="L54" s="49">
        <v>0.041847032025525886</v>
      </c>
      <c r="M54" s="49">
        <v>0.10435669124126434</v>
      </c>
      <c r="N54" s="49">
        <v>300.2000640572177</v>
      </c>
      <c r="O54" s="49">
        <v>0</v>
      </c>
      <c r="P54" s="49">
        <v>0</v>
      </c>
      <c r="Q54" s="49">
        <v>300.2000732421875</v>
      </c>
      <c r="R54" s="49">
        <v>84.78257846988659</v>
      </c>
      <c r="S54" s="49">
        <v>80.80781427225753</v>
      </c>
      <c r="T54" s="49">
        <v>2.3155086040496826</v>
      </c>
      <c r="U54" s="49">
        <v>11.976827621459961</v>
      </c>
      <c r="V54" s="49">
        <v>94.99515116748194</v>
      </c>
      <c r="W54" s="49">
        <v>300.2000640572177</v>
      </c>
      <c r="X54" s="69">
        <v>0.3164394766730496</v>
      </c>
      <c r="Y54" s="60">
        <v>38.495574951171875</v>
      </c>
      <c r="Z54" s="60">
        <v>0</v>
      </c>
      <c r="AA54" s="60">
        <v>0</v>
      </c>
      <c r="AB54" s="60">
        <v>133.49072265625</v>
      </c>
      <c r="AC54" s="60">
        <v>300.2000732421875</v>
      </c>
      <c r="AD54" s="69">
        <v>0.44467252492904663</v>
      </c>
      <c r="AE54" s="60"/>
      <c r="AF54" s="60"/>
      <c r="AG54" s="60"/>
      <c r="AH54" s="60"/>
      <c r="AI54" s="60"/>
      <c r="AJ54" s="60"/>
      <c r="AK54" s="60"/>
      <c r="AL54" s="49"/>
      <c r="AM54" s="49"/>
      <c r="AN54" s="49"/>
      <c r="AO54" s="49"/>
    </row>
    <row r="55" spans="1:41" ht="12.75" customHeight="1">
      <c r="A55"/>
      <c r="B55" t="s">
        <v>236</v>
      </c>
      <c r="C55" s="49">
        <v>45</v>
      </c>
      <c r="D55" s="49">
        <v>24.365014539989716</v>
      </c>
      <c r="E55" s="49">
        <v>50.9</v>
      </c>
      <c r="F55" s="49">
        <v>0</v>
      </c>
      <c r="G55" s="49">
        <v>0</v>
      </c>
      <c r="H55" s="49"/>
      <c r="I55" s="49">
        <v>0.21</v>
      </c>
      <c r="J55" s="49">
        <v>0.4009999930858612</v>
      </c>
      <c r="K55" s="49">
        <v>26.222846898663928</v>
      </c>
      <c r="L55" s="49">
        <v>0.005716112972959248</v>
      </c>
      <c r="M55" s="49">
        <v>0.014254646375775337</v>
      </c>
      <c r="N55" s="49">
        <v>50.9025108616673</v>
      </c>
      <c r="O55" s="49">
        <v>0</v>
      </c>
      <c r="P55" s="49">
        <v>0</v>
      </c>
      <c r="Q55" s="49">
        <v>50.90251159667969</v>
      </c>
      <c r="R55" s="49">
        <v>105.24437964366949</v>
      </c>
      <c r="S55" s="49">
        <v>11.037977441180994</v>
      </c>
      <c r="T55" s="49">
        <v>0.3162878453731537</v>
      </c>
      <c r="U55" s="49">
        <v>1.6359796524047852</v>
      </c>
      <c r="V55" s="49">
        <v>12.975902539296344</v>
      </c>
      <c r="W55" s="49">
        <v>50.9025108616673</v>
      </c>
      <c r="X55" s="69">
        <v>0.25491674810619197</v>
      </c>
      <c r="Y55" s="60">
        <v>5.2583184242248535</v>
      </c>
      <c r="Z55" s="60">
        <v>0</v>
      </c>
      <c r="AA55" s="60">
        <v>0</v>
      </c>
      <c r="AB55" s="60">
        <v>18.234220504760742</v>
      </c>
      <c r="AC55" s="60">
        <v>50.90251159667969</v>
      </c>
      <c r="AD55" s="69">
        <v>0.3582184910774231</v>
      </c>
      <c r="AE55" s="60"/>
      <c r="AF55" s="60"/>
      <c r="AG55" s="60"/>
      <c r="AH55" s="60"/>
      <c r="AI55" s="60"/>
      <c r="AJ55" s="60"/>
      <c r="AK55" s="60"/>
      <c r="AL55" s="49"/>
      <c r="AM55" s="49"/>
      <c r="AN55" s="49"/>
      <c r="AO55" s="49"/>
    </row>
    <row r="56" spans="1:41" ht="12.75" customHeight="1">
      <c r="A56"/>
      <c r="B56" t="s">
        <v>237</v>
      </c>
      <c r="C56" s="49">
        <v>45</v>
      </c>
      <c r="D56" s="49">
        <v>14.619008723994435</v>
      </c>
      <c r="E56" s="49">
        <v>33.94</v>
      </c>
      <c r="F56" s="49">
        <v>0</v>
      </c>
      <c r="G56" s="49">
        <v>0</v>
      </c>
      <c r="H56" s="49"/>
      <c r="I56" s="49">
        <v>0.21</v>
      </c>
      <c r="J56" s="49">
        <v>0.4009999930858612</v>
      </c>
      <c r="K56" s="49">
        <v>15.73370813919901</v>
      </c>
      <c r="L56" s="49">
        <v>0.003429667783775691</v>
      </c>
      <c r="M56" s="49">
        <v>0.008552787825465202</v>
      </c>
      <c r="N56" s="49">
        <v>33.935007241111535</v>
      </c>
      <c r="O56" s="49">
        <v>0</v>
      </c>
      <c r="P56" s="49">
        <v>0</v>
      </c>
      <c r="Q56" s="49">
        <v>33.93500900268555</v>
      </c>
      <c r="R56" s="49">
        <v>116.93819960407235</v>
      </c>
      <c r="S56" s="49">
        <v>6.622786464708878</v>
      </c>
      <c r="T56" s="49">
        <v>0.18977271020412445</v>
      </c>
      <c r="U56" s="49">
        <v>0.9815879464149475</v>
      </c>
      <c r="V56" s="49">
        <v>7.785541678550172</v>
      </c>
      <c r="W56" s="49">
        <v>33.935007241111535</v>
      </c>
      <c r="X56" s="69">
        <v>0.2294250778623131</v>
      </c>
      <c r="Y56" s="60">
        <v>3.154991865158081</v>
      </c>
      <c r="Z56" s="60">
        <v>0</v>
      </c>
      <c r="AA56" s="60">
        <v>0</v>
      </c>
      <c r="AB56" s="60">
        <v>10.940533638000488</v>
      </c>
      <c r="AC56" s="60">
        <v>33.93500900268555</v>
      </c>
      <c r="AD56" s="69">
        <v>0.3223966658115387</v>
      </c>
      <c r="AE56" s="60"/>
      <c r="AF56" s="60"/>
      <c r="AG56" s="60"/>
      <c r="AH56" s="60"/>
      <c r="AI56" s="60"/>
      <c r="AJ56" s="60"/>
      <c r="AK56" s="60"/>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60"/>
      <c r="Y57" s="60"/>
      <c r="Z57" s="60"/>
      <c r="AA57" s="60"/>
      <c r="AB57" s="60"/>
      <c r="AC57" s="60"/>
      <c r="AD57" s="60"/>
      <c r="AE57" s="60"/>
      <c r="AF57" s="60"/>
      <c r="AG57" s="60"/>
      <c r="AH57" s="60"/>
      <c r="AI57" s="60"/>
      <c r="AJ57" s="60"/>
      <c r="AK57" s="60"/>
      <c r="AL57" s="49"/>
      <c r="AM57" s="49"/>
      <c r="AN57" s="49"/>
      <c r="AO57" s="49"/>
    </row>
    <row r="58" spans="1:41" ht="12.75" customHeight="1" thickBo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thickBot="1">
      <c r="A59" s="65" t="s">
        <v>62</v>
      </c>
      <c r="B59" s="66"/>
      <c r="C59" s="67"/>
      <c r="D59" s="67"/>
      <c r="E59" s="67"/>
      <c r="F59" s="67"/>
      <c r="G59" s="67"/>
      <c r="H59" s="67"/>
      <c r="I59" s="67"/>
      <c r="J59" s="67"/>
      <c r="K59" s="68"/>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25.5">
      <c r="A60" s="57"/>
      <c r="B60" s="58" t="s">
        <v>63</v>
      </c>
      <c r="C60" s="59" t="s">
        <v>59</v>
      </c>
      <c r="D60" s="59" t="s">
        <v>60</v>
      </c>
      <c r="E60" s="59" t="s">
        <v>64</v>
      </c>
      <c r="F60" s="59" t="s">
        <v>65</v>
      </c>
      <c r="G60" s="59" t="s">
        <v>66</v>
      </c>
      <c r="H60" s="59" t="s">
        <v>67</v>
      </c>
      <c r="I60" s="59" t="s">
        <v>61</v>
      </c>
      <c r="J60" s="59" t="s">
        <v>50</v>
      </c>
      <c r="K60" s="59" t="s">
        <v>58</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68</v>
      </c>
      <c r="C61" s="49">
        <v>4231.076547361308</v>
      </c>
      <c r="D61" s="49">
        <v>1168.1585492637262</v>
      </c>
      <c r="E61" s="49">
        <v>1168.16</v>
      </c>
      <c r="F61" s="49">
        <v>233.63166</v>
      </c>
      <c r="G61" s="49">
        <v>1401.7902092637262</v>
      </c>
      <c r="H61" s="49">
        <v>2902.259521484375</v>
      </c>
      <c r="I61" s="49">
        <v>17.962702583237096</v>
      </c>
      <c r="J61" s="49">
        <v>1780.986163026553</v>
      </c>
      <c r="K61" s="48">
        <v>1.2705083480087902</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69</v>
      </c>
      <c r="C62" s="49">
        <v>0</v>
      </c>
      <c r="D62" s="49">
        <v>0</v>
      </c>
      <c r="E62" s="49">
        <v>0</v>
      </c>
      <c r="F62" s="49">
        <v>0</v>
      </c>
      <c r="G62" s="49">
        <v>0</v>
      </c>
      <c r="H62" s="49">
        <v>0</v>
      </c>
      <c r="I62" s="49">
        <v>0</v>
      </c>
      <c r="J62" s="49">
        <v>3584.1290754090874</v>
      </c>
      <c r="K62" s="69">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70</v>
      </c>
      <c r="C63" s="49">
        <v>4378.165442537291</v>
      </c>
      <c r="D63" s="49">
        <v>2563.901123046875</v>
      </c>
      <c r="E63" s="49">
        <v>2563.9003012989992</v>
      </c>
      <c r="F63" s="49">
        <v>512.7800602597998</v>
      </c>
      <c r="G63" s="49">
        <v>3076.681183306675</v>
      </c>
      <c r="H63" s="49">
        <v>6155.94091796875</v>
      </c>
      <c r="I63" s="49">
        <v>38.100429027410094</v>
      </c>
      <c r="J63" s="49">
        <v>1842.900260800713</v>
      </c>
      <c r="K63" s="69">
        <v>0.5989896745882681</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71</v>
      </c>
      <c r="C64" s="49">
        <v>0</v>
      </c>
      <c r="D64" s="49">
        <v>0</v>
      </c>
      <c r="E64" s="49">
        <v>0</v>
      </c>
      <c r="F64" s="49">
        <v>0</v>
      </c>
      <c r="G64" s="49">
        <v>0</v>
      </c>
      <c r="H64" s="49">
        <v>0</v>
      </c>
      <c r="I64" s="49">
        <v>0</v>
      </c>
      <c r="J64" s="49">
        <v>0</v>
      </c>
      <c r="K64" s="69">
        <v>0</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72</v>
      </c>
      <c r="C65" s="49">
        <v>2400.7992990651883</v>
      </c>
      <c r="D65" s="49">
        <v>539.9284152108751</v>
      </c>
      <c r="E65" s="49">
        <v>539.93</v>
      </c>
      <c r="F65" s="49">
        <v>107.98566000000001</v>
      </c>
      <c r="G65" s="49">
        <v>647.9140752108751</v>
      </c>
      <c r="H65" s="49">
        <v>2364.09912109375</v>
      </c>
      <c r="I65" s="49">
        <v>14.631912599323245</v>
      </c>
      <c r="J65" s="49">
        <v>1010.5679450553858</v>
      </c>
      <c r="K65" s="101">
        <v>1.5597252532698547</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73</v>
      </c>
      <c r="C66" s="49">
        <v>1978.5969534521741</v>
      </c>
      <c r="D66" s="49">
        <v>691.5634475670248</v>
      </c>
      <c r="E66" s="49">
        <v>691.56</v>
      </c>
      <c r="F66" s="49">
        <v>138.31266</v>
      </c>
      <c r="G66" s="49">
        <v>829.8761075670247</v>
      </c>
      <c r="H66" s="49">
        <v>3674.1767578125</v>
      </c>
      <c r="I66" s="49">
        <v>22.740262025475996</v>
      </c>
      <c r="J66" s="49">
        <v>832.8504003319067</v>
      </c>
      <c r="K66" s="101">
        <v>1.0035840202383965</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74</v>
      </c>
      <c r="C67" s="49">
        <v>2952.5586066347373</v>
      </c>
      <c r="D67" s="49">
        <v>1663.7061550045457</v>
      </c>
      <c r="E67" s="49">
        <v>1663.71</v>
      </c>
      <c r="F67" s="49">
        <v>332.74116000000004</v>
      </c>
      <c r="G67" s="49">
        <v>1996.4473150045458</v>
      </c>
      <c r="H67" s="49">
        <v>5923.2958984375</v>
      </c>
      <c r="I67" s="49">
        <v>36.66054073028413</v>
      </c>
      <c r="J67" s="49">
        <v>1242.8198745827085</v>
      </c>
      <c r="K67" s="70">
        <v>0.6225157384530724</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t="s">
        <v>75</v>
      </c>
      <c r="C68" s="49">
        <v>0</v>
      </c>
      <c r="D68" s="49">
        <v>0</v>
      </c>
      <c r="E68" s="49">
        <v>0</v>
      </c>
      <c r="F68" s="49">
        <v>0</v>
      </c>
      <c r="G68" s="49">
        <v>0</v>
      </c>
      <c r="H68" s="49">
        <v>0</v>
      </c>
      <c r="I68" s="49">
        <v>0</v>
      </c>
      <c r="J68" s="49">
        <v>0</v>
      </c>
      <c r="K68" s="70">
        <v>0</v>
      </c>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t="s">
        <v>76</v>
      </c>
      <c r="C69" s="49">
        <v>45.412282031866</v>
      </c>
      <c r="D69" s="49">
        <v>41.16670878422473</v>
      </c>
      <c r="E69" s="49">
        <v>41.17</v>
      </c>
      <c r="F69" s="49">
        <v>8.23334</v>
      </c>
      <c r="G69" s="49">
        <v>49.40004878422473</v>
      </c>
      <c r="H69" s="49">
        <v>9529.2373046875</v>
      </c>
      <c r="I69" s="49">
        <v>58.9784820482958</v>
      </c>
      <c r="J69" s="49">
        <v>19.115382344158295</v>
      </c>
      <c r="K69" s="70">
        <v>0.3869506774710422</v>
      </c>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t="s">
        <v>77</v>
      </c>
      <c r="C70" s="49">
        <v>1137.4235902098735</v>
      </c>
      <c r="D70" s="49">
        <v>1466.0578128299946</v>
      </c>
      <c r="E70" s="49">
        <v>1466.06</v>
      </c>
      <c r="F70" s="49">
        <v>293.2115</v>
      </c>
      <c r="G70" s="49">
        <v>1759.2693128299948</v>
      </c>
      <c r="H70" s="49">
        <v>13549.216796875</v>
      </c>
      <c r="I70" s="49">
        <v>83.8589915224045</v>
      </c>
      <c r="J70" s="49">
        <v>478.77547309492815</v>
      </c>
      <c r="K70" s="70">
        <v>0.2721445031771518</v>
      </c>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row>
    <row r="522" spans="1:41"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row>
    <row r="523" spans="1:41"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41"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39"/>
      <c r="AF524" s="39"/>
      <c r="AG524" s="39"/>
      <c r="AH524" s="39"/>
      <c r="AI524" s="39"/>
      <c r="AJ524" s="39"/>
      <c r="AK524" s="39"/>
      <c r="AL524" s="39"/>
      <c r="AM524" s="39"/>
      <c r="AN524" s="39"/>
      <c r="AO524" s="39"/>
    </row>
    <row r="525" spans="1:41"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39"/>
      <c r="AF525" s="39"/>
      <c r="AG525" s="39"/>
      <c r="AH525" s="39"/>
      <c r="AI525" s="39"/>
      <c r="AJ525" s="39"/>
      <c r="AK525" s="39"/>
      <c r="AL525" s="39"/>
      <c r="AM525" s="39"/>
      <c r="AN525" s="39"/>
      <c r="AO525" s="39"/>
    </row>
    <row r="526" spans="1:41"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39"/>
      <c r="AF526" s="39"/>
      <c r="AG526" s="39"/>
      <c r="AH526" s="39"/>
      <c r="AI526" s="39"/>
      <c r="AJ526" s="39"/>
      <c r="AK526" s="39"/>
      <c r="AL526" s="39"/>
      <c r="AM526" s="39"/>
      <c r="AN526" s="39"/>
      <c r="AO526" s="39"/>
    </row>
    <row r="527" spans="1:30" ht="12"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1:30" ht="12.75" customHeight="1">
      <c r="A530"/>
      <c r="B530"/>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row>
    <row r="531" spans="1:30" ht="12.75" customHeight="1">
      <c r="A531"/>
      <c r="B531"/>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row>
    <row r="532" spans="3:30" ht="12.75">
      <c r="C532" s="39"/>
      <c r="D532" s="39"/>
      <c r="E532" s="39"/>
      <c r="F532" s="39"/>
      <c r="G532" s="39"/>
      <c r="H532" s="39"/>
      <c r="I532" s="102"/>
      <c r="J532" s="102"/>
      <c r="K532" s="102"/>
      <c r="L532" s="102"/>
      <c r="M532" s="102"/>
      <c r="S532" s="39"/>
      <c r="T532" s="39"/>
      <c r="U532" s="39"/>
      <c r="X532" s="49"/>
      <c r="Y532" s="49"/>
      <c r="Z532" s="39"/>
      <c r="AA532" s="39"/>
      <c r="AB532" s="39"/>
      <c r="AC532" s="39"/>
      <c r="AD532" s="39"/>
    </row>
    <row r="533" spans="3:30" ht="12.75">
      <c r="C533" s="39"/>
      <c r="D533" s="39"/>
      <c r="E533" s="39"/>
      <c r="F533" s="39"/>
      <c r="G533" s="39"/>
      <c r="H533" s="39"/>
      <c r="I533" s="102"/>
      <c r="J533" s="102"/>
      <c r="K533" s="102"/>
      <c r="L533" s="102"/>
      <c r="M533" s="102"/>
      <c r="S533" s="39"/>
      <c r="T533" s="39"/>
      <c r="U533" s="39"/>
      <c r="X533" s="49"/>
      <c r="Y533" s="49"/>
      <c r="Z533" s="39"/>
      <c r="AA533" s="39"/>
      <c r="AB533" s="39"/>
      <c r="AC533" s="39"/>
      <c r="AD533" s="39"/>
    </row>
    <row r="534" spans="3:30" ht="12.75">
      <c r="C534" s="39"/>
      <c r="D534" s="39"/>
      <c r="E534" s="39"/>
      <c r="F534" s="39"/>
      <c r="G534" s="39"/>
      <c r="H534" s="39"/>
      <c r="I534" s="102"/>
      <c r="J534" s="102"/>
      <c r="K534" s="102"/>
      <c r="L534" s="102"/>
      <c r="M534" s="102"/>
      <c r="S534" s="39"/>
      <c r="T534" s="39"/>
      <c r="U534" s="39"/>
      <c r="X534" s="49"/>
      <c r="Y534" s="49"/>
      <c r="Z534" s="39"/>
      <c r="AA534" s="39"/>
      <c r="AB534" s="39"/>
      <c r="AC534" s="39"/>
      <c r="AD534" s="39"/>
    </row>
    <row r="535" spans="3:30" ht="12.75">
      <c r="C535" s="39"/>
      <c r="D535" s="39"/>
      <c r="E535" s="39"/>
      <c r="F535" s="39"/>
      <c r="G535" s="39"/>
      <c r="H535" s="39"/>
      <c r="I535" s="102"/>
      <c r="J535" s="102"/>
      <c r="K535" s="102"/>
      <c r="L535" s="102"/>
      <c r="M535" s="102"/>
      <c r="S535" s="39"/>
      <c r="T535" s="39"/>
      <c r="U535" s="39"/>
      <c r="X535" s="49"/>
      <c r="Y535" s="49"/>
      <c r="Z535" s="39"/>
      <c r="AA535" s="39"/>
      <c r="AB535" s="39"/>
      <c r="AC535" s="39"/>
      <c r="AD535"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21"/>
  <dimension ref="A1:BB163"/>
  <sheetViews>
    <sheetView workbookViewId="0" topLeftCell="A123">
      <selection activeCell="G143" sqref="G143"/>
    </sheetView>
  </sheetViews>
  <sheetFormatPr defaultColWidth="9.140625" defaultRowHeight="12.75"/>
  <cols>
    <col min="1" max="1" width="41.421875" style="150" customWidth="1"/>
    <col min="2" max="2" width="10.8515625" style="150" customWidth="1"/>
    <col min="3" max="3" width="9.57421875" style="150" customWidth="1"/>
    <col min="4" max="4" width="9.8515625" style="150" customWidth="1"/>
    <col min="5" max="5" width="10.57421875" style="150" customWidth="1"/>
    <col min="6" max="6" width="10.28125" style="150" bestFit="1" customWidth="1"/>
    <col min="7" max="7" width="11.57421875" style="150" customWidth="1"/>
    <col min="8" max="8" width="9.421875" style="150" customWidth="1"/>
    <col min="9" max="9" width="11.140625" style="150" customWidth="1"/>
    <col min="10" max="10" width="14.28125" style="150" customWidth="1"/>
    <col min="11" max="13" width="12.8515625" style="150" customWidth="1"/>
    <col min="14" max="14" width="18.57421875" style="150" customWidth="1"/>
    <col min="15" max="15" width="39.8515625" style="150" customWidth="1"/>
    <col min="16" max="16" width="13.28125" style="150" customWidth="1"/>
    <col min="17" max="17" width="10.28125" style="150" customWidth="1"/>
    <col min="18" max="18" width="12.00390625" style="150" customWidth="1"/>
    <col min="19" max="19" width="13.28125" style="150" customWidth="1"/>
    <col min="20" max="20" width="15.57421875" style="150" customWidth="1"/>
    <col min="21" max="21" width="11.00390625" style="150" customWidth="1"/>
    <col min="22" max="22" width="8.7109375" style="150" customWidth="1"/>
    <col min="23" max="23" width="40.00390625" style="150" customWidth="1"/>
    <col min="24" max="24" width="13.7109375" style="150" customWidth="1"/>
    <col min="25" max="25" width="15.28125" style="150" customWidth="1"/>
    <col min="26" max="26" width="13.57421875" style="150" customWidth="1"/>
    <col min="27" max="27" width="14.421875" style="150" customWidth="1"/>
    <col min="28" max="38" width="8.7109375" style="150" customWidth="1"/>
    <col min="39" max="39" width="8.7109375" style="0" customWidth="1"/>
    <col min="40" max="40" width="10.8515625" style="150" customWidth="1"/>
    <col min="41" max="41" width="9.421875" style="150" customWidth="1"/>
    <col min="42" max="42" width="10.421875" style="150" customWidth="1"/>
    <col min="43" max="43" width="10.57421875" style="150" customWidth="1"/>
    <col min="44" max="44" width="8.7109375" style="150" customWidth="1"/>
    <col min="45" max="45" width="11.28125" style="150" customWidth="1"/>
    <col min="46" max="48" width="8.7109375" style="150" customWidth="1"/>
    <col min="49" max="49" width="10.8515625" style="150" customWidth="1"/>
    <col min="50" max="50" width="8.7109375" style="150" customWidth="1"/>
    <col min="51" max="52" width="11.28125" style="150" customWidth="1"/>
    <col min="53" max="53" width="7.28125" style="150" customWidth="1"/>
    <col min="54" max="54" width="11.57421875" style="150" customWidth="1"/>
    <col min="55" max="16384" width="8.7109375" style="150" customWidth="1"/>
  </cols>
  <sheetData>
    <row r="1" spans="22:49" ht="13.5" thickBot="1">
      <c r="V1" s="168"/>
      <c r="W1" s="168"/>
      <c r="X1" s="168"/>
      <c r="Y1" s="168"/>
      <c r="Z1" s="168"/>
      <c r="AA1" s="168"/>
      <c r="AB1" s="168"/>
      <c r="AC1" s="168"/>
      <c r="AD1" s="168"/>
      <c r="AE1" s="168"/>
      <c r="AF1" s="168"/>
      <c r="AG1" s="168"/>
      <c r="AH1" s="168"/>
      <c r="AI1" s="168"/>
      <c r="AJ1" s="168"/>
      <c r="AK1" s="168"/>
      <c r="AL1" s="168"/>
      <c r="AN1" s="150" t="s">
        <v>217</v>
      </c>
      <c r="AW1" s="150" t="s">
        <v>228</v>
      </c>
    </row>
    <row r="2" spans="5:54" ht="12.75">
      <c r="E2" s="5"/>
      <c r="F2" s="5"/>
      <c r="G2" s="5"/>
      <c r="H2" s="5"/>
      <c r="N2" s="5"/>
      <c r="O2" s="5" t="s">
        <v>240</v>
      </c>
      <c r="P2" s="5"/>
      <c r="Q2" s="5"/>
      <c r="R2" s="5"/>
      <c r="S2" s="5"/>
      <c r="AN2" s="169">
        <f>'Cost-Effectiveness Level'!$B3</f>
        <v>0.2</v>
      </c>
      <c r="AO2" s="169">
        <f>'Cost-Effectiveness Level'!$C3</f>
        <v>0.5</v>
      </c>
      <c r="AP2" s="169">
        <f>'Cost-Effectiveness Level'!$D3</f>
        <v>0.25</v>
      </c>
      <c r="AQ2" s="169">
        <f>'Cost-Effectiveness Level'!$E3</f>
        <v>0.05</v>
      </c>
      <c r="AR2" s="170">
        <f>SUM(AN2:AQ2)</f>
        <v>1</v>
      </c>
      <c r="AS2" s="171"/>
      <c r="AW2" s="169">
        <f>'Cost-Effectiveness Level'!$B3</f>
        <v>0.2</v>
      </c>
      <c r="AX2" s="169">
        <f>'Cost-Effectiveness Level'!$C3</f>
        <v>0.5</v>
      </c>
      <c r="AY2" s="169">
        <f>'Cost-Effectiveness Level'!$D3</f>
        <v>0.25</v>
      </c>
      <c r="AZ2" s="169">
        <f>'Cost-Effectiveness Level'!$E3</f>
        <v>0.05</v>
      </c>
      <c r="BA2" s="170">
        <f>SUM(AW2:AZ2)</f>
        <v>1</v>
      </c>
      <c r="BB2" s="171"/>
    </row>
    <row r="3" spans="4:54" ht="13.5" thickBot="1">
      <c r="D3" s="172"/>
      <c r="E3" s="172"/>
      <c r="F3" s="172"/>
      <c r="G3" s="172"/>
      <c r="H3" s="172"/>
      <c r="N3" s="172"/>
      <c r="O3" s="196">
        <f>$A3</f>
        <v>0</v>
      </c>
      <c r="P3" s="198">
        <f>IF(Q3=0,0,(R3/Q3))</f>
        <v>0</v>
      </c>
      <c r="Q3" s="196">
        <f>$G3</f>
        <v>0</v>
      </c>
      <c r="R3" s="197">
        <f>$J3</f>
        <v>0</v>
      </c>
      <c r="S3" s="5"/>
      <c r="W3" s="196">
        <f>$A3</f>
        <v>0</v>
      </c>
      <c r="X3" s="198">
        <f>IF(Y3=0,0,(Z3/Y3))</f>
        <v>0</v>
      </c>
      <c r="Y3" s="196">
        <f>$H3</f>
        <v>0</v>
      </c>
      <c r="Z3" s="197">
        <f>$K3</f>
        <v>0</v>
      </c>
      <c r="AN3" s="173" t="s">
        <v>181</v>
      </c>
      <c r="AO3" s="174" t="s">
        <v>182</v>
      </c>
      <c r="AP3" s="174" t="s">
        <v>191</v>
      </c>
      <c r="AQ3" s="174" t="s">
        <v>184</v>
      </c>
      <c r="AR3" s="174" t="s">
        <v>187</v>
      </c>
      <c r="AS3" s="175" t="s">
        <v>192</v>
      </c>
      <c r="AW3" s="173" t="s">
        <v>181</v>
      </c>
      <c r="AX3" s="174" t="s">
        <v>182</v>
      </c>
      <c r="AY3" s="174" t="s">
        <v>191</v>
      </c>
      <c r="AZ3" s="174" t="s">
        <v>184</v>
      </c>
      <c r="BA3" s="174" t="s">
        <v>187</v>
      </c>
      <c r="BB3" s="175" t="s">
        <v>192</v>
      </c>
    </row>
    <row r="4" spans="1:54" ht="45.75" customHeight="1" thickBot="1">
      <c r="A4" s="176"/>
      <c r="B4" s="177"/>
      <c r="C4" s="452" t="s">
        <v>229</v>
      </c>
      <c r="D4" s="453"/>
      <c r="E4" s="458" t="s">
        <v>230</v>
      </c>
      <c r="F4" s="459"/>
      <c r="G4" s="452" t="s">
        <v>195</v>
      </c>
      <c r="H4" s="453"/>
      <c r="I4" s="454" t="s">
        <v>238</v>
      </c>
      <c r="J4" s="452" t="s">
        <v>231</v>
      </c>
      <c r="K4" s="453"/>
      <c r="L4"/>
      <c r="M4"/>
      <c r="N4" s="172"/>
      <c r="O4" s="220" t="s">
        <v>193</v>
      </c>
      <c r="P4" s="221">
        <v>10920</v>
      </c>
      <c r="Q4" s="222"/>
      <c r="R4" s="223"/>
      <c r="S4" s="5"/>
      <c r="W4" s="220" t="s">
        <v>193</v>
      </c>
      <c r="X4" s="221">
        <v>10920</v>
      </c>
      <c r="Y4" s="222"/>
      <c r="Z4" s="223"/>
      <c r="AN4" s="284">
        <v>109079.49018458834</v>
      </c>
      <c r="AO4" s="284">
        <v>125174.68502783476</v>
      </c>
      <c r="AP4" s="284">
        <v>174370.99326106065</v>
      </c>
      <c r="AQ4" s="284">
        <v>204061.29504834456</v>
      </c>
      <c r="AR4" s="178">
        <v>5000</v>
      </c>
      <c r="AS4" s="179">
        <f>SUMPRODUCT(AN$2:AQ$2,AN4:AQ4)</f>
        <v>138199.05361851744</v>
      </c>
      <c r="AW4" s="284">
        <v>107189.51069440375</v>
      </c>
      <c r="AX4" s="284">
        <v>122915.38236155876</v>
      </c>
      <c r="AY4" s="284">
        <v>171867.97538822153</v>
      </c>
      <c r="AZ4" s="284">
        <v>201233.92909463818</v>
      </c>
      <c r="BA4" s="178">
        <v>5000</v>
      </c>
      <c r="BB4" s="179">
        <f>SUMPRODUCT(AW$2:AZ$2,AW4:AZ4)</f>
        <v>135924.28362144745</v>
      </c>
    </row>
    <row r="5" spans="1:54" ht="13.5" thickBot="1">
      <c r="A5" s="180" t="s">
        <v>272</v>
      </c>
      <c r="B5" s="181" t="s">
        <v>194</v>
      </c>
      <c r="C5" s="182">
        <v>10920</v>
      </c>
      <c r="D5" s="183">
        <v>12492</v>
      </c>
      <c r="E5" s="182">
        <v>10920</v>
      </c>
      <c r="F5" s="184">
        <v>12492</v>
      </c>
      <c r="G5" s="182">
        <v>10920</v>
      </c>
      <c r="H5" s="184">
        <v>12492</v>
      </c>
      <c r="I5" s="455"/>
      <c r="J5" s="185">
        <v>10920</v>
      </c>
      <c r="K5" s="186">
        <v>12492</v>
      </c>
      <c r="L5"/>
      <c r="M5"/>
      <c r="N5" s="172"/>
      <c r="O5" s="199" t="s">
        <v>52</v>
      </c>
      <c r="P5" s="200" t="s">
        <v>197</v>
      </c>
      <c r="Q5" s="200" t="s">
        <v>195</v>
      </c>
      <c r="R5" s="201" t="s">
        <v>198</v>
      </c>
      <c r="S5" s="187"/>
      <c r="T5" s="188"/>
      <c r="U5" s="188"/>
      <c r="W5" s="199" t="s">
        <v>52</v>
      </c>
      <c r="X5" s="200" t="s">
        <v>197</v>
      </c>
      <c r="Y5" s="200" t="s">
        <v>195</v>
      </c>
      <c r="Z5" s="201" t="s">
        <v>198</v>
      </c>
      <c r="AN5" s="284">
        <v>107508.11602695577</v>
      </c>
      <c r="AO5" s="284">
        <v>123352.9739232347</v>
      </c>
      <c r="AP5" s="284">
        <v>172064.60591854673</v>
      </c>
      <c r="AQ5" s="284">
        <v>201392.90946381484</v>
      </c>
      <c r="AR5" s="178">
        <v>4950</v>
      </c>
      <c r="AS5" s="179">
        <f aca="true" t="shared" si="0" ref="AS5:AS68">SUMPRODUCT($AN$2:$AQ$2,AN5:AQ5)</f>
        <v>136263.90711983593</v>
      </c>
      <c r="AW5" s="284">
        <v>105620.59771462057</v>
      </c>
      <c r="AX5" s="284">
        <v>121110.25490770584</v>
      </c>
      <c r="AY5" s="284">
        <v>169570.43656607092</v>
      </c>
      <c r="AZ5" s="284">
        <v>198572.28244945794</v>
      </c>
      <c r="BA5" s="178">
        <v>4950</v>
      </c>
      <c r="BB5" s="179">
        <f aca="true" t="shared" si="1" ref="BB5:BB68">SUMPRODUCT(AW$2:AZ$2,AW5:AZ5)</f>
        <v>134000.47026076767</v>
      </c>
    </row>
    <row r="6" spans="1:54" ht="12.75">
      <c r="A6" s="155" t="s">
        <v>199</v>
      </c>
      <c r="B6" s="142">
        <v>0.1543716268311488</v>
      </c>
      <c r="C6" s="143">
        <v>5084</v>
      </c>
      <c r="D6" s="143">
        <v>8432</v>
      </c>
      <c r="E6" s="144">
        <f>$B6*C6</f>
        <v>784.8253508095605</v>
      </c>
      <c r="F6" s="144">
        <f>$B6*D6</f>
        <v>1301.6615574402467</v>
      </c>
      <c r="G6" s="145">
        <v>0</v>
      </c>
      <c r="H6" s="225">
        <v>0</v>
      </c>
      <c r="I6" s="281"/>
      <c r="J6" s="229">
        <v>0</v>
      </c>
      <c r="K6" s="156">
        <v>0</v>
      </c>
      <c r="L6"/>
      <c r="N6" s="172"/>
      <c r="O6" s="196" t="s">
        <v>199</v>
      </c>
      <c r="P6" s="198">
        <v>0</v>
      </c>
      <c r="Q6" s="196">
        <v>0</v>
      </c>
      <c r="R6" s="197">
        <v>0</v>
      </c>
      <c r="S6" s="5"/>
      <c r="W6" s="196" t="s">
        <v>199</v>
      </c>
      <c r="X6" s="198">
        <v>0</v>
      </c>
      <c r="Y6" s="196">
        <v>0</v>
      </c>
      <c r="Z6" s="197">
        <v>0</v>
      </c>
      <c r="AN6" s="284">
        <v>105936.53677116908</v>
      </c>
      <c r="AO6" s="284">
        <v>121536.21447406974</v>
      </c>
      <c r="AP6" s="284">
        <v>169759.91796073836</v>
      </c>
      <c r="AQ6" s="284">
        <v>198725.871667155</v>
      </c>
      <c r="AR6" s="178">
        <v>4900</v>
      </c>
      <c r="AS6" s="179">
        <f t="shared" si="0"/>
        <v>134331.68766481103</v>
      </c>
      <c r="AW6" s="284">
        <v>104051.47963668327</v>
      </c>
      <c r="AX6" s="284">
        <v>119310.66510401407</v>
      </c>
      <c r="AY6" s="284">
        <v>167273.30794022855</v>
      </c>
      <c r="AZ6" s="284">
        <v>195914.35687078815</v>
      </c>
      <c r="BA6" s="178">
        <v>4900</v>
      </c>
      <c r="BB6" s="179">
        <f t="shared" si="1"/>
        <v>132079.67330794025</v>
      </c>
    </row>
    <row r="7" spans="1:54" ht="12.75">
      <c r="A7" s="267" t="s">
        <v>167</v>
      </c>
      <c r="B7" s="268">
        <v>0.094</v>
      </c>
      <c r="C7" s="269">
        <v>5084</v>
      </c>
      <c r="D7" s="269">
        <v>8432</v>
      </c>
      <c r="E7" s="270">
        <f aca="true" t="shared" si="2" ref="E7:E24">$B7*C7</f>
        <v>477.896</v>
      </c>
      <c r="F7" s="270">
        <f aca="true" t="shared" si="3" ref="F7:F24">$B7*D7</f>
        <v>792.608</v>
      </c>
      <c r="G7" s="271">
        <f>E6-E7</f>
        <v>306.9293508095605</v>
      </c>
      <c r="H7" s="271">
        <f>F6-F7</f>
        <v>509.0535574402468</v>
      </c>
      <c r="I7" s="272">
        <v>0.81</v>
      </c>
      <c r="J7" s="273">
        <f>C7*$I7</f>
        <v>4118.04</v>
      </c>
      <c r="K7" s="274">
        <f>D7*$I7</f>
        <v>6829.92</v>
      </c>
      <c r="L7"/>
      <c r="N7" s="172"/>
      <c r="O7" s="196" t="s">
        <v>200</v>
      </c>
      <c r="P7" s="198">
        <v>0</v>
      </c>
      <c r="Q7" s="196">
        <v>0</v>
      </c>
      <c r="R7" s="197">
        <v>0</v>
      </c>
      <c r="S7" s="5"/>
      <c r="W7" s="196" t="s">
        <v>200</v>
      </c>
      <c r="X7" s="198">
        <v>0</v>
      </c>
      <c r="Y7" s="196">
        <v>0</v>
      </c>
      <c r="Z7" s="197">
        <v>0</v>
      </c>
      <c r="AN7" s="284">
        <v>104366.12950483446</v>
      </c>
      <c r="AO7" s="284">
        <v>119720.39261646646</v>
      </c>
      <c r="AP7" s="284">
        <v>167457.01728684444</v>
      </c>
      <c r="AQ7" s="284">
        <v>196061.1778493994</v>
      </c>
      <c r="AR7" s="178">
        <v>4850</v>
      </c>
      <c r="AS7" s="179">
        <f t="shared" si="0"/>
        <v>132400.7354233812</v>
      </c>
      <c r="AW7" s="284">
        <v>102483.26985057136</v>
      </c>
      <c r="AX7" s="284">
        <v>117514.50336946968</v>
      </c>
      <c r="AY7" s="284">
        <v>164979.34368590685</v>
      </c>
      <c r="AZ7" s="284">
        <v>193258.8631702315</v>
      </c>
      <c r="BA7" s="178">
        <v>4850</v>
      </c>
      <c r="BB7" s="179">
        <f t="shared" si="1"/>
        <v>130161.68473483738</v>
      </c>
    </row>
    <row r="8" spans="1:54" ht="12.75">
      <c r="A8" s="157" t="s">
        <v>200</v>
      </c>
      <c r="B8" s="146">
        <v>0.163</v>
      </c>
      <c r="C8" s="147">
        <v>3640</v>
      </c>
      <c r="D8" s="147">
        <v>2148</v>
      </c>
      <c r="E8" s="144">
        <f t="shared" si="2"/>
        <v>593.32</v>
      </c>
      <c r="F8" s="144">
        <f t="shared" si="3"/>
        <v>350.124</v>
      </c>
      <c r="G8" s="149">
        <v>0</v>
      </c>
      <c r="H8" s="227">
        <v>0</v>
      </c>
      <c r="I8" s="232">
        <v>0</v>
      </c>
      <c r="J8" s="230">
        <f aca="true" t="shared" si="4" ref="J8:K24">C8*$I8</f>
        <v>0</v>
      </c>
      <c r="K8" s="158">
        <f t="shared" si="4"/>
        <v>0</v>
      </c>
      <c r="L8"/>
      <c r="N8" s="172"/>
      <c r="O8" s="196" t="s">
        <v>165</v>
      </c>
      <c r="P8" s="198">
        <v>0</v>
      </c>
      <c r="Q8" s="196">
        <v>0</v>
      </c>
      <c r="R8" s="197">
        <v>0</v>
      </c>
      <c r="S8" s="5"/>
      <c r="W8" s="196" t="s">
        <v>165</v>
      </c>
      <c r="X8" s="198">
        <v>0</v>
      </c>
      <c r="Y8" s="196">
        <v>0</v>
      </c>
      <c r="Z8" s="197">
        <v>0</v>
      </c>
      <c r="AN8" s="284">
        <v>102796.95282742455</v>
      </c>
      <c r="AO8" s="284">
        <v>117906.47524172283</v>
      </c>
      <c r="AP8" s="284">
        <v>165154.55610899502</v>
      </c>
      <c r="AQ8" s="284">
        <v>193397.89041898624</v>
      </c>
      <c r="AR8" s="178">
        <v>4800</v>
      </c>
      <c r="AS8" s="179">
        <f t="shared" si="0"/>
        <v>130471.16173454438</v>
      </c>
      <c r="AW8" s="284">
        <v>100916.96454731908</v>
      </c>
      <c r="AX8" s="284">
        <v>115719.16202754175</v>
      </c>
      <c r="AY8" s="284">
        <v>162689.53999414007</v>
      </c>
      <c r="AZ8" s="284">
        <v>190605.59624963376</v>
      </c>
      <c r="BA8" s="178">
        <v>4800</v>
      </c>
      <c r="BB8" s="179">
        <f t="shared" si="1"/>
        <v>128245.6387342514</v>
      </c>
    </row>
    <row r="9" spans="1:54" ht="12.75">
      <c r="A9" s="157" t="s">
        <v>165</v>
      </c>
      <c r="B9" s="146">
        <v>0.08</v>
      </c>
      <c r="C9" s="147">
        <v>3640</v>
      </c>
      <c r="D9" s="147">
        <v>2148</v>
      </c>
      <c r="E9" s="144">
        <f t="shared" si="2"/>
        <v>291.2</v>
      </c>
      <c r="F9" s="144">
        <f t="shared" si="3"/>
        <v>171.84</v>
      </c>
      <c r="G9" s="148">
        <v>0</v>
      </c>
      <c r="H9" s="226">
        <v>0</v>
      </c>
      <c r="I9" s="232">
        <v>0</v>
      </c>
      <c r="J9" s="230">
        <f t="shared" si="4"/>
        <v>0</v>
      </c>
      <c r="K9" s="158">
        <f t="shared" si="4"/>
        <v>0</v>
      </c>
      <c r="L9"/>
      <c r="N9" s="172"/>
      <c r="O9" s="196" t="s">
        <v>169</v>
      </c>
      <c r="P9" s="198">
        <v>0</v>
      </c>
      <c r="Q9" s="196">
        <v>0</v>
      </c>
      <c r="R9" s="197">
        <v>0</v>
      </c>
      <c r="S9" s="5"/>
      <c r="W9" s="196" t="s">
        <v>169</v>
      </c>
      <c r="X9" s="198">
        <v>0</v>
      </c>
      <c r="Y9" s="196">
        <v>0</v>
      </c>
      <c r="Z9" s="197">
        <v>0</v>
      </c>
      <c r="AN9" s="284">
        <v>101230.96982127162</v>
      </c>
      <c r="AO9" s="284">
        <v>116098.91590975682</v>
      </c>
      <c r="AP9" s="284">
        <v>162851.88983299152</v>
      </c>
      <c r="AQ9" s="284">
        <v>190736.59537064168</v>
      </c>
      <c r="AR9" s="178">
        <v>4750</v>
      </c>
      <c r="AS9" s="179">
        <f t="shared" si="0"/>
        <v>128545.4541459127</v>
      </c>
      <c r="AW9" s="284">
        <v>99354.58540873133</v>
      </c>
      <c r="AX9" s="284">
        <v>113922.56079695284</v>
      </c>
      <c r="AY9" s="284">
        <v>160400.46879578085</v>
      </c>
      <c r="AZ9" s="284">
        <v>187952.7688250806</v>
      </c>
      <c r="BA9" s="178">
        <v>4750</v>
      </c>
      <c r="BB9" s="179">
        <f t="shared" si="1"/>
        <v>126329.95312042194</v>
      </c>
    </row>
    <row r="10" spans="1:54" ht="12.75">
      <c r="A10" s="275" t="s">
        <v>166</v>
      </c>
      <c r="B10" s="268">
        <v>0.06</v>
      </c>
      <c r="C10" s="269">
        <v>3640</v>
      </c>
      <c r="D10" s="269">
        <v>2148</v>
      </c>
      <c r="E10" s="270">
        <f t="shared" si="2"/>
        <v>218.4</v>
      </c>
      <c r="F10" s="270">
        <f t="shared" si="3"/>
        <v>128.88</v>
      </c>
      <c r="G10" s="271">
        <f>E8-E10</f>
        <v>374.9200000000001</v>
      </c>
      <c r="H10" s="271">
        <f>F8-F10</f>
        <v>221.24400000000003</v>
      </c>
      <c r="I10" s="272">
        <v>0.86</v>
      </c>
      <c r="J10" s="273">
        <f t="shared" si="4"/>
        <v>3130.4</v>
      </c>
      <c r="K10" s="274">
        <f t="shared" si="4"/>
        <v>1847.28</v>
      </c>
      <c r="L10"/>
      <c r="N10" s="172"/>
      <c r="O10" s="196" t="s">
        <v>233</v>
      </c>
      <c r="P10" s="198">
        <v>0</v>
      </c>
      <c r="Q10" s="196">
        <v>0</v>
      </c>
      <c r="R10" s="197">
        <v>0</v>
      </c>
      <c r="S10" s="5"/>
      <c r="W10" s="196" t="s">
        <v>233</v>
      </c>
      <c r="X10" s="198">
        <v>0</v>
      </c>
      <c r="Y10" s="196">
        <v>0</v>
      </c>
      <c r="Z10" s="197">
        <v>0</v>
      </c>
      <c r="AN10" s="284">
        <v>99664.86961617347</v>
      </c>
      <c r="AO10" s="284">
        <v>114295.0776443012</v>
      </c>
      <c r="AP10" s="284">
        <v>160551.94843246412</v>
      </c>
      <c r="AQ10" s="284">
        <v>188077.93729856433</v>
      </c>
      <c r="AR10" s="178">
        <v>4700</v>
      </c>
      <c r="AS10" s="179">
        <f t="shared" si="0"/>
        <v>126622.39671842955</v>
      </c>
      <c r="AW10" s="284">
        <v>97796.95282742455</v>
      </c>
      <c r="AX10" s="284">
        <v>112127.30735423382</v>
      </c>
      <c r="AY10" s="284">
        <v>158113.565777908</v>
      </c>
      <c r="AZ10" s="284">
        <v>185300.2050981541</v>
      </c>
      <c r="BA10" s="178">
        <v>4700</v>
      </c>
      <c r="BB10" s="179">
        <f t="shared" si="1"/>
        <v>124416.44594198655</v>
      </c>
    </row>
    <row r="11" spans="1:54" ht="12.75">
      <c r="A11" s="157" t="s">
        <v>169</v>
      </c>
      <c r="B11" s="146">
        <v>0.043</v>
      </c>
      <c r="C11" s="147">
        <v>3640</v>
      </c>
      <c r="D11" s="147">
        <v>2148</v>
      </c>
      <c r="E11" s="144">
        <f t="shared" si="2"/>
        <v>156.51999999999998</v>
      </c>
      <c r="F11" s="144">
        <f t="shared" si="3"/>
        <v>92.36399999999999</v>
      </c>
      <c r="G11" s="148">
        <v>0</v>
      </c>
      <c r="H11" s="226">
        <v>0</v>
      </c>
      <c r="I11" s="232">
        <v>0</v>
      </c>
      <c r="J11" s="230">
        <f t="shared" si="4"/>
        <v>0</v>
      </c>
      <c r="K11" s="158">
        <f t="shared" si="4"/>
        <v>0</v>
      </c>
      <c r="L11"/>
      <c r="N11" s="172"/>
      <c r="O11" s="196" t="s">
        <v>232</v>
      </c>
      <c r="P11" s="198">
        <v>0</v>
      </c>
      <c r="Q11" s="196">
        <v>0</v>
      </c>
      <c r="R11" s="197">
        <v>0</v>
      </c>
      <c r="S11" s="5"/>
      <c r="W11" s="196" t="s">
        <v>232</v>
      </c>
      <c r="X11" s="198">
        <v>0</v>
      </c>
      <c r="Y11" s="196">
        <v>0</v>
      </c>
      <c r="Z11" s="197">
        <v>0</v>
      </c>
      <c r="AN11" s="284">
        <v>98100.11719894521</v>
      </c>
      <c r="AO11" s="284">
        <v>112493.58335774978</v>
      </c>
      <c r="AP11" s="284">
        <v>158256.02109581017</v>
      </c>
      <c r="AQ11" s="284">
        <v>185419.4843246411</v>
      </c>
      <c r="AR11" s="178">
        <v>4650</v>
      </c>
      <c r="AS11" s="179">
        <f t="shared" si="0"/>
        <v>124701.79460884852</v>
      </c>
      <c r="AW11" s="284">
        <v>96241.37122765895</v>
      </c>
      <c r="AX11" s="284">
        <v>110334.04629358336</v>
      </c>
      <c r="AY11" s="284">
        <v>155827.131555816</v>
      </c>
      <c r="AZ11" s="284">
        <v>182647.99296806328</v>
      </c>
      <c r="BA11" s="178">
        <v>4650</v>
      </c>
      <c r="BB11" s="179">
        <f t="shared" si="1"/>
        <v>122504.47992968065</v>
      </c>
    </row>
    <row r="12" spans="1:54" ht="12.75">
      <c r="A12" s="157" t="s">
        <v>173</v>
      </c>
      <c r="B12" s="146">
        <v>0.039</v>
      </c>
      <c r="C12" s="147">
        <v>3640</v>
      </c>
      <c r="D12" s="147">
        <v>2148</v>
      </c>
      <c r="E12" s="144">
        <f t="shared" si="2"/>
        <v>141.96</v>
      </c>
      <c r="F12" s="144">
        <f t="shared" si="3"/>
        <v>83.772</v>
      </c>
      <c r="G12" s="148">
        <f>E10-E12</f>
        <v>76.44</v>
      </c>
      <c r="H12" s="226">
        <f>F10-F12</f>
        <v>45.10799999999999</v>
      </c>
      <c r="I12" s="232">
        <v>0.33</v>
      </c>
      <c r="J12" s="230">
        <f t="shared" si="4"/>
        <v>1201.2</v>
      </c>
      <c r="K12" s="158">
        <f t="shared" si="4"/>
        <v>708.84</v>
      </c>
      <c r="L12"/>
      <c r="N12" s="172"/>
      <c r="O12" s="196" t="s">
        <v>234</v>
      </c>
      <c r="P12" s="198">
        <v>0</v>
      </c>
      <c r="Q12" s="196">
        <v>0</v>
      </c>
      <c r="R12" s="197">
        <v>0</v>
      </c>
      <c r="S12" s="5"/>
      <c r="W12" s="196" t="s">
        <v>235</v>
      </c>
      <c r="X12" s="198">
        <v>0</v>
      </c>
      <c r="Y12" s="196">
        <v>24.062999999999988</v>
      </c>
      <c r="Z12" s="197">
        <v>0</v>
      </c>
      <c r="AN12" s="284">
        <v>96535.24758277176</v>
      </c>
      <c r="AO12" s="284">
        <v>110695.83943744507</v>
      </c>
      <c r="AP12" s="284">
        <v>155962.17404043366</v>
      </c>
      <c r="AQ12" s="284">
        <v>182761.70524465278</v>
      </c>
      <c r="AR12" s="178">
        <v>4600</v>
      </c>
      <c r="AS12" s="179">
        <f t="shared" si="0"/>
        <v>122783.59800761794</v>
      </c>
      <c r="AW12" s="284">
        <v>94687.40111338998</v>
      </c>
      <c r="AX12" s="284">
        <v>108542.95341341928</v>
      </c>
      <c r="AY12" s="284">
        <v>153541.9865221213</v>
      </c>
      <c r="AZ12" s="284">
        <v>179994.49164957515</v>
      </c>
      <c r="BA12" s="178">
        <v>4600</v>
      </c>
      <c r="BB12" s="179">
        <f t="shared" si="1"/>
        <v>120594.17814239672</v>
      </c>
    </row>
    <row r="13" spans="1:54" ht="12.75">
      <c r="A13" s="157" t="s">
        <v>174</v>
      </c>
      <c r="B13" s="146">
        <v>0.034</v>
      </c>
      <c r="C13" s="147">
        <v>3640</v>
      </c>
      <c r="D13" s="147">
        <v>2148</v>
      </c>
      <c r="E13" s="144">
        <f t="shared" si="2"/>
        <v>123.76</v>
      </c>
      <c r="F13" s="144">
        <f t="shared" si="3"/>
        <v>73.03200000000001</v>
      </c>
      <c r="G13" s="148">
        <f>E12-E13</f>
        <v>18.200000000000003</v>
      </c>
      <c r="H13" s="226">
        <f>F12-F13</f>
        <v>10.739999999999995</v>
      </c>
      <c r="I13" s="232">
        <v>0.18</v>
      </c>
      <c r="J13" s="230">
        <f t="shared" si="4"/>
        <v>655.1999999999999</v>
      </c>
      <c r="K13" s="158">
        <f t="shared" si="4"/>
        <v>386.64</v>
      </c>
      <c r="L13"/>
      <c r="N13" s="172"/>
      <c r="O13" s="196" t="s">
        <v>235</v>
      </c>
      <c r="P13" s="198">
        <v>0</v>
      </c>
      <c r="Q13" s="196">
        <v>0</v>
      </c>
      <c r="R13" s="197">
        <v>0</v>
      </c>
      <c r="S13" s="5"/>
      <c r="W13" s="196" t="s">
        <v>201</v>
      </c>
      <c r="X13" s="198">
        <v>0</v>
      </c>
      <c r="Y13" s="196">
        <v>0</v>
      </c>
      <c r="Z13" s="197">
        <v>0</v>
      </c>
      <c r="AN13" s="284">
        <v>94971.69645473192</v>
      </c>
      <c r="AO13" s="284">
        <v>108901.37708760622</v>
      </c>
      <c r="AP13" s="284">
        <v>153669.87987108118</v>
      </c>
      <c r="AQ13" s="284">
        <v>180105.8599472605</v>
      </c>
      <c r="AR13" s="178">
        <v>4550</v>
      </c>
      <c r="AS13" s="179">
        <f t="shared" si="0"/>
        <v>120867.79079988282</v>
      </c>
      <c r="AW13" s="284">
        <v>93133.63609727513</v>
      </c>
      <c r="AX13" s="284">
        <v>106754.08731321419</v>
      </c>
      <c r="AY13" s="284">
        <v>151263.31673014944</v>
      </c>
      <c r="AZ13" s="284">
        <v>177344.50629944334</v>
      </c>
      <c r="BA13" s="178">
        <v>4550</v>
      </c>
      <c r="BB13" s="179">
        <f t="shared" si="1"/>
        <v>118686.82537357164</v>
      </c>
    </row>
    <row r="14" spans="1:54" ht="12.75">
      <c r="A14" s="157" t="s">
        <v>233</v>
      </c>
      <c r="B14" s="146">
        <v>0.177</v>
      </c>
      <c r="C14" s="147">
        <v>0</v>
      </c>
      <c r="D14" s="147">
        <v>1851</v>
      </c>
      <c r="E14" s="144">
        <f t="shared" si="2"/>
        <v>0</v>
      </c>
      <c r="F14" s="144">
        <f t="shared" si="3"/>
        <v>327.627</v>
      </c>
      <c r="G14" s="145">
        <v>0</v>
      </c>
      <c r="H14" s="225">
        <v>0</v>
      </c>
      <c r="I14" s="282">
        <v>0</v>
      </c>
      <c r="J14" s="230">
        <f t="shared" si="4"/>
        <v>0</v>
      </c>
      <c r="K14" s="158">
        <f t="shared" si="4"/>
        <v>0</v>
      </c>
      <c r="L14"/>
      <c r="N14" s="172"/>
      <c r="O14" s="196" t="s">
        <v>236</v>
      </c>
      <c r="P14" s="198">
        <v>0</v>
      </c>
      <c r="Q14" s="196">
        <v>0</v>
      </c>
      <c r="R14" s="197">
        <v>0</v>
      </c>
      <c r="S14" s="5"/>
      <c r="W14" s="196" t="s">
        <v>168</v>
      </c>
      <c r="X14" s="198">
        <v>0</v>
      </c>
      <c r="Y14" s="196">
        <v>0</v>
      </c>
      <c r="Z14" s="197">
        <v>0</v>
      </c>
      <c r="AN14" s="284">
        <v>93409.90331087021</v>
      </c>
      <c r="AO14" s="284">
        <v>107109.08291825374</v>
      </c>
      <c r="AP14" s="284">
        <v>151380.48637562263</v>
      </c>
      <c r="AQ14" s="284">
        <v>177453.53061822444</v>
      </c>
      <c r="AR14" s="178">
        <v>4500</v>
      </c>
      <c r="AS14" s="179">
        <f t="shared" si="0"/>
        <v>118954.3202461178</v>
      </c>
      <c r="AW14" s="284">
        <v>91580.69147377675</v>
      </c>
      <c r="AX14" s="284">
        <v>104967.09639613245</v>
      </c>
      <c r="AY14" s="284">
        <v>148989.15909756813</v>
      </c>
      <c r="AZ14" s="284">
        <v>174698.8573102842</v>
      </c>
      <c r="BA14" s="178">
        <v>4500</v>
      </c>
      <c r="BB14" s="179">
        <f t="shared" si="1"/>
        <v>116781.91913272782</v>
      </c>
    </row>
    <row r="15" spans="1:54" ht="12.75">
      <c r="A15" s="141" t="s">
        <v>232</v>
      </c>
      <c r="B15" s="146">
        <v>0.073</v>
      </c>
      <c r="C15" s="147">
        <v>0</v>
      </c>
      <c r="D15" s="147">
        <v>1851</v>
      </c>
      <c r="E15" s="144">
        <f t="shared" si="2"/>
        <v>0</v>
      </c>
      <c r="F15" s="144">
        <f t="shared" si="3"/>
        <v>135.123</v>
      </c>
      <c r="G15" s="148">
        <f>E14-E15</f>
        <v>0</v>
      </c>
      <c r="H15" s="226">
        <v>0</v>
      </c>
      <c r="I15" s="282">
        <v>0</v>
      </c>
      <c r="J15" s="230">
        <f t="shared" si="4"/>
        <v>0</v>
      </c>
      <c r="K15" s="158">
        <f t="shared" si="4"/>
        <v>0</v>
      </c>
      <c r="L15"/>
      <c r="N15" s="172"/>
      <c r="O15" s="196" t="s">
        <v>237</v>
      </c>
      <c r="P15" s="198">
        <v>0</v>
      </c>
      <c r="Q15" s="196">
        <v>0</v>
      </c>
      <c r="R15" s="197">
        <v>0</v>
      </c>
      <c r="S15" s="5"/>
      <c r="W15" s="196" t="s">
        <v>241</v>
      </c>
      <c r="X15" s="198">
        <v>0</v>
      </c>
      <c r="Y15" s="196">
        <v>0</v>
      </c>
      <c r="Z15" s="197">
        <v>0</v>
      </c>
      <c r="AN15" s="284">
        <v>91852.76882508058</v>
      </c>
      <c r="AO15" s="284">
        <v>105316.93524758278</v>
      </c>
      <c r="AP15" s="284">
        <v>149095.66363902725</v>
      </c>
      <c r="AQ15" s="284">
        <v>174803.6038675652</v>
      </c>
      <c r="AR15" s="178">
        <v>4450</v>
      </c>
      <c r="AS15" s="179">
        <f t="shared" si="0"/>
        <v>117043.11749194258</v>
      </c>
      <c r="AW15" s="284">
        <v>90030.17872839145</v>
      </c>
      <c r="AX15" s="284">
        <v>103183.50424846177</v>
      </c>
      <c r="AY15" s="284">
        <v>146714.4447699971</v>
      </c>
      <c r="AZ15" s="284">
        <v>172057.48608262526</v>
      </c>
      <c r="BA15" s="178">
        <v>4450</v>
      </c>
      <c r="BB15" s="179">
        <f t="shared" si="1"/>
        <v>114879.27336653971</v>
      </c>
    </row>
    <row r="16" spans="1:54" ht="12.75">
      <c r="A16" s="276" t="s">
        <v>234</v>
      </c>
      <c r="B16" s="268">
        <v>0.048</v>
      </c>
      <c r="C16" s="269">
        <v>0</v>
      </c>
      <c r="D16" s="269">
        <v>1851</v>
      </c>
      <c r="E16" s="270">
        <f t="shared" si="2"/>
        <v>0</v>
      </c>
      <c r="F16" s="270">
        <f t="shared" si="3"/>
        <v>88.848</v>
      </c>
      <c r="G16" s="271">
        <f>E14-E16</f>
        <v>0</v>
      </c>
      <c r="H16" s="271">
        <f>F14-F16</f>
        <v>238.779</v>
      </c>
      <c r="I16" s="272">
        <v>0.86</v>
      </c>
      <c r="J16" s="273">
        <f t="shared" si="4"/>
        <v>0</v>
      </c>
      <c r="K16" s="274">
        <f t="shared" si="4"/>
        <v>1591.86</v>
      </c>
      <c r="L16"/>
      <c r="N16" s="172"/>
      <c r="O16" s="196" t="s">
        <v>201</v>
      </c>
      <c r="P16" s="198">
        <v>0</v>
      </c>
      <c r="Q16" s="196">
        <v>0</v>
      </c>
      <c r="R16" s="197">
        <v>0</v>
      </c>
      <c r="S16" s="5"/>
      <c r="W16" s="196" t="s">
        <v>202</v>
      </c>
      <c r="X16" s="198">
        <v>0</v>
      </c>
      <c r="Y16" s="196">
        <v>0</v>
      </c>
      <c r="Z16" s="197">
        <v>0</v>
      </c>
      <c r="AN16" s="284">
        <v>90299.20890711984</v>
      </c>
      <c r="AO16" s="284">
        <v>103525.08057427483</v>
      </c>
      <c r="AP16" s="284">
        <v>146811.33899794903</v>
      </c>
      <c r="AQ16" s="284">
        <v>172153.73571637855</v>
      </c>
      <c r="AR16" s="178">
        <v>4400</v>
      </c>
      <c r="AS16" s="179">
        <f t="shared" si="0"/>
        <v>115132.90360386757</v>
      </c>
      <c r="AW16" s="284">
        <v>88481.71696454732</v>
      </c>
      <c r="AX16" s="284">
        <v>101401.49428655142</v>
      </c>
      <c r="AY16" s="284">
        <v>144440.5508350425</v>
      </c>
      <c r="AZ16" s="284">
        <v>169420.48051567536</v>
      </c>
      <c r="BA16" s="178">
        <v>4400</v>
      </c>
      <c r="BB16" s="179">
        <f t="shared" si="1"/>
        <v>112978.25227072957</v>
      </c>
    </row>
    <row r="17" spans="1:54" ht="12.75">
      <c r="A17" s="141" t="s">
        <v>235</v>
      </c>
      <c r="B17" s="146">
        <v>0.035</v>
      </c>
      <c r="C17" s="147">
        <v>0</v>
      </c>
      <c r="D17" s="147">
        <v>1851</v>
      </c>
      <c r="E17" s="144">
        <f t="shared" si="2"/>
        <v>0</v>
      </c>
      <c r="F17" s="144">
        <f t="shared" si="3"/>
        <v>64.78500000000001</v>
      </c>
      <c r="G17" s="148">
        <f aca="true" t="shared" si="5" ref="G17:H19">E16-E17</f>
        <v>0</v>
      </c>
      <c r="H17" s="226">
        <f t="shared" si="5"/>
        <v>24.062999999999988</v>
      </c>
      <c r="I17" s="232">
        <v>0</v>
      </c>
      <c r="J17" s="230">
        <f t="shared" si="4"/>
        <v>0</v>
      </c>
      <c r="K17" s="158">
        <f t="shared" si="4"/>
        <v>0</v>
      </c>
      <c r="L17"/>
      <c r="N17" s="172"/>
      <c r="O17" s="196" t="s">
        <v>168</v>
      </c>
      <c r="P17" s="198">
        <v>0</v>
      </c>
      <c r="Q17" s="196">
        <v>0</v>
      </c>
      <c r="R17" s="197">
        <v>0</v>
      </c>
      <c r="S17" s="5"/>
      <c r="W17" s="196" t="s">
        <v>203</v>
      </c>
      <c r="X17" s="198">
        <v>0</v>
      </c>
      <c r="Y17" s="196">
        <v>0</v>
      </c>
      <c r="Z17" s="197">
        <v>0</v>
      </c>
      <c r="AN17" s="284">
        <v>88745.82478757692</v>
      </c>
      <c r="AO17" s="284">
        <v>101735.33548198067</v>
      </c>
      <c r="AP17" s="284">
        <v>144528.68444184004</v>
      </c>
      <c r="AQ17" s="284">
        <v>169504.39496044535</v>
      </c>
      <c r="AR17" s="178">
        <v>4350</v>
      </c>
      <c r="AS17" s="179">
        <f t="shared" si="0"/>
        <v>113224.223556988</v>
      </c>
      <c r="AW17" s="284">
        <v>86934.4564898916</v>
      </c>
      <c r="AX17" s="284">
        <v>99622.1799003809</v>
      </c>
      <c r="AY17" s="284">
        <v>142168.44418400235</v>
      </c>
      <c r="AZ17" s="284">
        <v>166787.3718136537</v>
      </c>
      <c r="BA17" s="178">
        <v>4350</v>
      </c>
      <c r="BB17" s="179">
        <f t="shared" si="1"/>
        <v>111079.46088485204</v>
      </c>
    </row>
    <row r="18" spans="1:54" ht="12.75">
      <c r="A18" s="141" t="s">
        <v>236</v>
      </c>
      <c r="B18" s="146">
        <v>0.03</v>
      </c>
      <c r="C18" s="147">
        <v>0</v>
      </c>
      <c r="D18" s="147">
        <v>1851</v>
      </c>
      <c r="E18" s="144">
        <f t="shared" si="2"/>
        <v>0</v>
      </c>
      <c r="F18" s="144">
        <f t="shared" si="3"/>
        <v>55.53</v>
      </c>
      <c r="G18" s="148">
        <f t="shared" si="5"/>
        <v>0</v>
      </c>
      <c r="H18" s="226">
        <f t="shared" si="5"/>
        <v>9.25500000000001</v>
      </c>
      <c r="I18" s="232">
        <v>0.33</v>
      </c>
      <c r="J18" s="230">
        <f t="shared" si="4"/>
        <v>0</v>
      </c>
      <c r="K18" s="158">
        <f t="shared" si="4"/>
        <v>610.83</v>
      </c>
      <c r="L18"/>
      <c r="N18" s="172"/>
      <c r="O18" s="196" t="s">
        <v>241</v>
      </c>
      <c r="P18" s="198">
        <v>0</v>
      </c>
      <c r="Q18" s="196">
        <v>0</v>
      </c>
      <c r="R18" s="197">
        <v>0</v>
      </c>
      <c r="S18" s="5"/>
      <c r="W18" s="196" t="s">
        <v>282</v>
      </c>
      <c r="X18" s="198">
        <v>0.00017186598496240604</v>
      </c>
      <c r="Y18" s="196">
        <v>725.565329447109</v>
      </c>
      <c r="Z18" s="197">
        <v>0.1247</v>
      </c>
      <c r="AN18" s="284">
        <v>87194.46234983885</v>
      </c>
      <c r="AO18" s="284">
        <v>99948.28596542632</v>
      </c>
      <c r="AP18" s="284">
        <v>142246.96747729272</v>
      </c>
      <c r="AQ18" s="284">
        <v>166855.5815997656</v>
      </c>
      <c r="AR18" s="178">
        <v>4300</v>
      </c>
      <c r="AS18" s="179">
        <f t="shared" si="0"/>
        <v>111317.55640199239</v>
      </c>
      <c r="AW18" s="284">
        <v>85390.24318781133</v>
      </c>
      <c r="AX18" s="284">
        <v>97843.45150893643</v>
      </c>
      <c r="AY18" s="284">
        <v>139899.38470553764</v>
      </c>
      <c r="AZ18" s="284">
        <v>164154.20451215943</v>
      </c>
      <c r="BA18" s="178">
        <v>4300</v>
      </c>
      <c r="BB18" s="179">
        <f t="shared" si="1"/>
        <v>109182.33079402286</v>
      </c>
    </row>
    <row r="19" spans="1:54" ht="12.75">
      <c r="A19" s="141" t="s">
        <v>237</v>
      </c>
      <c r="B19" s="146">
        <v>0.027</v>
      </c>
      <c r="C19" s="147">
        <v>0</v>
      </c>
      <c r="D19" s="147">
        <v>1851</v>
      </c>
      <c r="E19" s="144">
        <f t="shared" si="2"/>
        <v>0</v>
      </c>
      <c r="F19" s="144">
        <f t="shared" si="3"/>
        <v>49.977</v>
      </c>
      <c r="G19" s="148">
        <f t="shared" si="5"/>
        <v>0</v>
      </c>
      <c r="H19" s="226">
        <f t="shared" si="5"/>
        <v>5.553000000000004</v>
      </c>
      <c r="I19" s="232">
        <v>0.22</v>
      </c>
      <c r="J19" s="230">
        <f t="shared" si="4"/>
        <v>0</v>
      </c>
      <c r="K19" s="158">
        <f t="shared" si="4"/>
        <v>407.22</v>
      </c>
      <c r="L19"/>
      <c r="N19" s="172"/>
      <c r="O19" s="196" t="s">
        <v>202</v>
      </c>
      <c r="P19" s="198">
        <v>0</v>
      </c>
      <c r="Q19" s="196">
        <v>0</v>
      </c>
      <c r="R19" s="197">
        <v>0</v>
      </c>
      <c r="S19" s="5"/>
      <c r="W19" s="196" t="s">
        <v>234</v>
      </c>
      <c r="X19" s="198">
        <v>6.666666666666666</v>
      </c>
      <c r="Y19" s="196">
        <v>238.779</v>
      </c>
      <c r="Z19" s="197">
        <v>1591.86</v>
      </c>
      <c r="AN19" s="284">
        <v>85644.76999707002</v>
      </c>
      <c r="AO19" s="284">
        <v>98163.55112803985</v>
      </c>
      <c r="AP19" s="284">
        <v>139968.26838558455</v>
      </c>
      <c r="AQ19" s="284">
        <v>164205.53765016116</v>
      </c>
      <c r="AR19" s="178">
        <v>4250</v>
      </c>
      <c r="AS19" s="179">
        <f t="shared" si="0"/>
        <v>109413.07354233811</v>
      </c>
      <c r="AW19" s="284">
        <v>83850.92294169353</v>
      </c>
      <c r="AX19" s="284">
        <v>96068.50278347495</v>
      </c>
      <c r="AY19" s="284">
        <v>137636.77116905947</v>
      </c>
      <c r="AZ19" s="284">
        <v>161520.6270143569</v>
      </c>
      <c r="BA19" s="178">
        <v>4250</v>
      </c>
      <c r="BB19" s="179">
        <f t="shared" si="1"/>
        <v>107289.6601230589</v>
      </c>
    </row>
    <row r="20" spans="1:54" ht="12.75">
      <c r="A20" s="267" t="s">
        <v>201</v>
      </c>
      <c r="B20" s="268">
        <v>0.10596804511278195</v>
      </c>
      <c r="C20" s="269">
        <v>3640</v>
      </c>
      <c r="D20" s="269">
        <v>3800</v>
      </c>
      <c r="E20" s="270">
        <f t="shared" si="2"/>
        <v>385.7236842105263</v>
      </c>
      <c r="F20" s="270">
        <f t="shared" si="3"/>
        <v>402.6785714285714</v>
      </c>
      <c r="G20" s="277">
        <v>0</v>
      </c>
      <c r="H20" s="278">
        <v>0</v>
      </c>
      <c r="I20" s="272">
        <v>0</v>
      </c>
      <c r="J20" s="273">
        <f t="shared" si="4"/>
        <v>0</v>
      </c>
      <c r="K20" s="274">
        <f t="shared" si="4"/>
        <v>0</v>
      </c>
      <c r="L20"/>
      <c r="N20" s="172"/>
      <c r="O20" s="196" t="s">
        <v>203</v>
      </c>
      <c r="P20" s="198">
        <v>0</v>
      </c>
      <c r="Q20" s="196">
        <v>0</v>
      </c>
      <c r="R20" s="197">
        <v>0</v>
      </c>
      <c r="S20" s="5"/>
      <c r="W20" s="196" t="s">
        <v>166</v>
      </c>
      <c r="X20" s="198">
        <v>8.349514563106794</v>
      </c>
      <c r="Y20" s="196">
        <v>221.24400000000003</v>
      </c>
      <c r="Z20" s="197">
        <v>1847.28</v>
      </c>
      <c r="AN20" s="284">
        <v>84095.83943744506</v>
      </c>
      <c r="AO20" s="284">
        <v>96383.03545268092</v>
      </c>
      <c r="AP20" s="284">
        <v>137696.0152358629</v>
      </c>
      <c r="AQ20" s="284">
        <v>161560.3281570466</v>
      </c>
      <c r="AR20" s="178">
        <v>4200</v>
      </c>
      <c r="AS20" s="179">
        <f t="shared" si="0"/>
        <v>107512.70583064752</v>
      </c>
      <c r="AW20" s="284">
        <v>82312.65748608262</v>
      </c>
      <c r="AX20" s="284">
        <v>94296.65983006153</v>
      </c>
      <c r="AY20" s="284">
        <v>135377.26340462937</v>
      </c>
      <c r="AZ20" s="284">
        <v>158891.06358042778</v>
      </c>
      <c r="BA20" s="178">
        <v>4200</v>
      </c>
      <c r="BB20" s="179">
        <f t="shared" si="1"/>
        <v>105399.73044242602</v>
      </c>
    </row>
    <row r="21" spans="1:54" ht="12.75">
      <c r="A21" s="157" t="s">
        <v>168</v>
      </c>
      <c r="B21" s="146">
        <v>0.055</v>
      </c>
      <c r="C21" s="147">
        <v>3640</v>
      </c>
      <c r="D21" s="147">
        <v>3800</v>
      </c>
      <c r="E21" s="144">
        <f t="shared" si="2"/>
        <v>200.2</v>
      </c>
      <c r="F21" s="144">
        <f t="shared" si="3"/>
        <v>209</v>
      </c>
      <c r="G21" s="148">
        <v>0</v>
      </c>
      <c r="H21" s="226">
        <v>0</v>
      </c>
      <c r="I21" s="232">
        <v>0</v>
      </c>
      <c r="J21" s="230">
        <f t="shared" si="4"/>
        <v>0</v>
      </c>
      <c r="K21" s="158">
        <f t="shared" si="4"/>
        <v>0</v>
      </c>
      <c r="L21"/>
      <c r="N21" s="172"/>
      <c r="O21" s="196" t="s">
        <v>282</v>
      </c>
      <c r="P21" s="198">
        <v>0.00017186598496240604</v>
      </c>
      <c r="Q21" s="196">
        <v>663.3075185001637</v>
      </c>
      <c r="R21" s="197">
        <v>0.114</v>
      </c>
      <c r="S21" s="5"/>
      <c r="W21" s="196" t="s">
        <v>171</v>
      </c>
      <c r="X21" s="198">
        <v>12.313745913259847</v>
      </c>
      <c r="Y21" s="196">
        <v>246.87857142857138</v>
      </c>
      <c r="Z21" s="197">
        <v>3040</v>
      </c>
      <c r="AN21" s="284">
        <v>82552.06563140932</v>
      </c>
      <c r="AO21" s="284">
        <v>94605.12745385291</v>
      </c>
      <c r="AP21" s="284">
        <v>135424.4652798125</v>
      </c>
      <c r="AQ21" s="284">
        <v>158921.21300908292</v>
      </c>
      <c r="AR21" s="178">
        <v>4150</v>
      </c>
      <c r="AS21" s="179">
        <f t="shared" si="0"/>
        <v>105615.15382361559</v>
      </c>
      <c r="AW21" s="284">
        <v>80778.58189276297</v>
      </c>
      <c r="AX21" s="284">
        <v>92529.09463814826</v>
      </c>
      <c r="AY21" s="284">
        <v>133118.4588338705</v>
      </c>
      <c r="AZ21" s="284">
        <v>156263.28743041313</v>
      </c>
      <c r="BA21" s="178">
        <v>4150</v>
      </c>
      <c r="BB21" s="179">
        <f t="shared" si="1"/>
        <v>103513.04277761502</v>
      </c>
    </row>
    <row r="22" spans="1:54" ht="12.75">
      <c r="A22" s="157" t="s">
        <v>171</v>
      </c>
      <c r="B22" s="146">
        <v>0.041</v>
      </c>
      <c r="C22" s="147">
        <v>3640</v>
      </c>
      <c r="D22" s="147">
        <v>3800</v>
      </c>
      <c r="E22" s="144">
        <f t="shared" si="2"/>
        <v>149.24</v>
      </c>
      <c r="F22" s="144">
        <f t="shared" si="3"/>
        <v>155.8</v>
      </c>
      <c r="G22" s="148">
        <f>E20-E22</f>
        <v>236.4836842105263</v>
      </c>
      <c r="H22" s="226">
        <f>F20-F22</f>
        <v>246.87857142857138</v>
      </c>
      <c r="I22" s="232">
        <v>0.8</v>
      </c>
      <c r="J22" s="230">
        <f t="shared" si="4"/>
        <v>2912</v>
      </c>
      <c r="K22" s="158">
        <f t="shared" si="4"/>
        <v>3040</v>
      </c>
      <c r="L22"/>
      <c r="N22" s="172"/>
      <c r="O22" s="196" t="s">
        <v>166</v>
      </c>
      <c r="P22" s="198">
        <v>8.349514563106794</v>
      </c>
      <c r="Q22" s="196">
        <v>374.92</v>
      </c>
      <c r="R22" s="197">
        <v>3130.4</v>
      </c>
      <c r="S22" s="5"/>
      <c r="W22" s="196" t="s">
        <v>167</v>
      </c>
      <c r="X22" s="198">
        <v>13.416898674363361</v>
      </c>
      <c r="Y22" s="196">
        <v>509.0535574402468</v>
      </c>
      <c r="Z22" s="197">
        <v>6829.92</v>
      </c>
      <c r="AN22" s="284">
        <v>81010.16700849694</v>
      </c>
      <c r="AO22" s="284">
        <v>92829.03603867565</v>
      </c>
      <c r="AP22" s="284">
        <v>133155.17140345738</v>
      </c>
      <c r="AQ22" s="284">
        <v>156287.40111339</v>
      </c>
      <c r="AR22" s="178">
        <v>4100</v>
      </c>
      <c r="AS22" s="179">
        <f t="shared" si="0"/>
        <v>103719.71432757106</v>
      </c>
      <c r="AW22" s="284">
        <v>79248.84266041606</v>
      </c>
      <c r="AX22" s="284">
        <v>90767.68239085848</v>
      </c>
      <c r="AY22" s="284">
        <v>130861.93964254322</v>
      </c>
      <c r="AZ22" s="284">
        <v>153638.79285086432</v>
      </c>
      <c r="BA22" s="178">
        <v>4100</v>
      </c>
      <c r="BB22" s="179">
        <f t="shared" si="1"/>
        <v>101631.03428069147</v>
      </c>
    </row>
    <row r="23" spans="1:54" ht="12.75">
      <c r="A23" s="157" t="s">
        <v>172</v>
      </c>
      <c r="B23" s="146">
        <v>0.029</v>
      </c>
      <c r="C23" s="147">
        <v>3640</v>
      </c>
      <c r="D23" s="147">
        <v>3800</v>
      </c>
      <c r="E23" s="144">
        <f t="shared" si="2"/>
        <v>105.56</v>
      </c>
      <c r="F23" s="144">
        <f t="shared" si="3"/>
        <v>110.2</v>
      </c>
      <c r="G23" s="148">
        <f>E22-E23</f>
        <v>43.68000000000001</v>
      </c>
      <c r="H23" s="226">
        <f>F22-F23</f>
        <v>45.60000000000001</v>
      </c>
      <c r="I23" s="232">
        <v>0.2</v>
      </c>
      <c r="J23" s="230">
        <f t="shared" si="4"/>
        <v>728</v>
      </c>
      <c r="K23" s="158">
        <f t="shared" si="4"/>
        <v>760</v>
      </c>
      <c r="L23"/>
      <c r="N23" s="172"/>
      <c r="O23" s="196" t="s">
        <v>171</v>
      </c>
      <c r="P23" s="198">
        <v>12.313745913259845</v>
      </c>
      <c r="Q23" s="196">
        <v>236.4836842105263</v>
      </c>
      <c r="R23" s="197">
        <v>2912</v>
      </c>
      <c r="S23" s="5"/>
      <c r="W23" s="196" t="s">
        <v>173</v>
      </c>
      <c r="X23" s="198">
        <v>15.714285714285719</v>
      </c>
      <c r="Y23" s="196">
        <v>45.10799999999999</v>
      </c>
      <c r="Z23" s="197">
        <v>708.84</v>
      </c>
      <c r="AN23" s="284">
        <v>79470.46586580721</v>
      </c>
      <c r="AO23" s="284">
        <v>91054.52680925872</v>
      </c>
      <c r="AP23" s="284">
        <v>130886.87371813656</v>
      </c>
      <c r="AQ23" s="284">
        <v>153656.489891591</v>
      </c>
      <c r="AR23" s="178">
        <v>4050</v>
      </c>
      <c r="AS23" s="179">
        <f t="shared" si="0"/>
        <v>101825.8995019045</v>
      </c>
      <c r="AW23" s="284">
        <v>77722.79519484326</v>
      </c>
      <c r="AX23" s="284">
        <v>89009.58101377089</v>
      </c>
      <c r="AY23" s="284">
        <v>128607.17843539409</v>
      </c>
      <c r="AZ23" s="284">
        <v>151020.8907119836</v>
      </c>
      <c r="BA23" s="178">
        <v>4050</v>
      </c>
      <c r="BB23" s="179">
        <f t="shared" si="1"/>
        <v>99752.1886903018</v>
      </c>
    </row>
    <row r="24" spans="1:54" ht="12.75">
      <c r="A24" s="157" t="s">
        <v>175</v>
      </c>
      <c r="B24" s="146">
        <v>0.025</v>
      </c>
      <c r="C24" s="147">
        <v>3640</v>
      </c>
      <c r="D24" s="147">
        <v>3800</v>
      </c>
      <c r="E24" s="144">
        <f t="shared" si="2"/>
        <v>91</v>
      </c>
      <c r="F24" s="144">
        <f t="shared" si="3"/>
        <v>95</v>
      </c>
      <c r="G24" s="148">
        <f>E23-E24</f>
        <v>14.560000000000002</v>
      </c>
      <c r="H24" s="226">
        <f>F23-F24</f>
        <v>15.200000000000003</v>
      </c>
      <c r="I24" s="232">
        <v>0.13</v>
      </c>
      <c r="J24" s="230">
        <f t="shared" si="4"/>
        <v>473.2</v>
      </c>
      <c r="K24" s="158">
        <f t="shared" si="4"/>
        <v>494</v>
      </c>
      <c r="L24"/>
      <c r="N24" s="172"/>
      <c r="O24" s="196" t="s">
        <v>167</v>
      </c>
      <c r="P24" s="198">
        <v>13.416898674363363</v>
      </c>
      <c r="Q24" s="196">
        <v>306.9293508095605</v>
      </c>
      <c r="R24" s="197">
        <v>4118.04</v>
      </c>
      <c r="S24" s="5"/>
      <c r="W24" s="196" t="s">
        <v>172</v>
      </c>
      <c r="X24" s="198">
        <v>16.666666666666664</v>
      </c>
      <c r="Y24" s="196">
        <v>45.6</v>
      </c>
      <c r="Z24" s="197">
        <v>760</v>
      </c>
      <c r="AN24" s="284">
        <v>77932.99150307647</v>
      </c>
      <c r="AO24" s="284">
        <v>89281.92206270144</v>
      </c>
      <c r="AP24" s="284">
        <v>128622.64869616173</v>
      </c>
      <c r="AQ24" s="284">
        <v>151026.838558453</v>
      </c>
      <c r="AR24" s="178">
        <v>4000</v>
      </c>
      <c r="AS24" s="179">
        <f t="shared" si="0"/>
        <v>99934.5634339291</v>
      </c>
      <c r="AW24" s="284">
        <v>76200.55669498975</v>
      </c>
      <c r="AX24" s="284">
        <v>87258.59947260475</v>
      </c>
      <c r="AY24" s="284">
        <v>126354.43891004982</v>
      </c>
      <c r="AZ24" s="284">
        <v>148405.56694989747</v>
      </c>
      <c r="BA24" s="178">
        <v>4000</v>
      </c>
      <c r="BB24" s="179">
        <f t="shared" si="1"/>
        <v>97878.29915030766</v>
      </c>
    </row>
    <row r="25" spans="1:54" ht="12.75">
      <c r="A25" s="149" t="s">
        <v>241</v>
      </c>
      <c r="B25" s="146">
        <f>1/((1/1.2)+0.08)</f>
        <v>1.094890510948905</v>
      </c>
      <c r="C25" s="147">
        <v>1140</v>
      </c>
      <c r="D25" s="147">
        <v>1247</v>
      </c>
      <c r="E25" s="144">
        <f aca="true" t="shared" si="6" ref="E25:E32">$B25*C25</f>
        <v>1248.1751824817518</v>
      </c>
      <c r="F25" s="144">
        <f aca="true" t="shared" si="7" ref="F25:F32">$B25*D25</f>
        <v>1365.3284671532847</v>
      </c>
      <c r="G25" s="150">
        <v>0</v>
      </c>
      <c r="H25" s="150">
        <v>0</v>
      </c>
      <c r="I25" s="232">
        <v>0</v>
      </c>
      <c r="J25" s="230">
        <f aca="true" t="shared" si="8" ref="J25:K30">C25*$I25</f>
        <v>0</v>
      </c>
      <c r="K25" s="158">
        <f t="shared" si="8"/>
        <v>0</v>
      </c>
      <c r="L25"/>
      <c r="N25" s="172"/>
      <c r="O25" s="196" t="s">
        <v>173</v>
      </c>
      <c r="P25" s="198">
        <v>15.714285714285715</v>
      </c>
      <c r="Q25" s="196">
        <v>76.44</v>
      </c>
      <c r="R25" s="197">
        <v>1201.2</v>
      </c>
      <c r="S25" s="5"/>
      <c r="W25" s="196" t="s">
        <v>242</v>
      </c>
      <c r="X25" s="198">
        <v>21.208373622123382</v>
      </c>
      <c r="Y25" s="196">
        <v>941.3484671532847</v>
      </c>
      <c r="Z25" s="197">
        <v>19964.47</v>
      </c>
      <c r="AN25" s="284">
        <v>76399.47260474657</v>
      </c>
      <c r="AO25" s="284">
        <v>87513.4485789628</v>
      </c>
      <c r="AP25" s="284">
        <v>126366.24670377967</v>
      </c>
      <c r="AQ25" s="284">
        <v>148397.89041898624</v>
      </c>
      <c r="AR25" s="178">
        <v>3950</v>
      </c>
      <c r="AS25" s="179">
        <f t="shared" si="0"/>
        <v>98048.07500732494</v>
      </c>
      <c r="AW25" s="284">
        <v>74686.58072077352</v>
      </c>
      <c r="AX25" s="284">
        <v>85516.78874890126</v>
      </c>
      <c r="AY25" s="284">
        <v>124103.45736888368</v>
      </c>
      <c r="AZ25" s="284">
        <v>145797.4216232054</v>
      </c>
      <c r="BA25" s="178">
        <v>3950</v>
      </c>
      <c r="BB25" s="179">
        <f t="shared" si="1"/>
        <v>96011.44594198652</v>
      </c>
    </row>
    <row r="26" spans="1:54" ht="12.75">
      <c r="A26" s="277" t="str">
        <f>"BASE CASE WINDOW - CLASS "&amp;(ROUND(((1/((1/B26)-0.08))*100),0))</f>
        <v>BASE CASE WINDOW - CLASS 120</v>
      </c>
      <c r="B26" s="337">
        <f>(1/((1/1.2)+0.08))</f>
        <v>1.094890510948905</v>
      </c>
      <c r="C26" s="269">
        <v>1140</v>
      </c>
      <c r="D26" s="269">
        <v>1247</v>
      </c>
      <c r="E26" s="270">
        <f t="shared" si="6"/>
        <v>1248.1751824817518</v>
      </c>
      <c r="F26" s="270">
        <f t="shared" si="7"/>
        <v>1365.3284671532847</v>
      </c>
      <c r="G26" s="271">
        <f>E25-E26</f>
        <v>0</v>
      </c>
      <c r="H26" s="271">
        <f>F25-F26</f>
        <v>0</v>
      </c>
      <c r="I26" s="272">
        <v>0.0001</v>
      </c>
      <c r="J26" s="273">
        <f t="shared" si="8"/>
        <v>0.114</v>
      </c>
      <c r="K26" s="274">
        <f t="shared" si="8"/>
        <v>0.1247</v>
      </c>
      <c r="L26"/>
      <c r="N26" s="172"/>
      <c r="O26" s="196" t="s">
        <v>172</v>
      </c>
      <c r="P26" s="198">
        <v>16.666666666666664</v>
      </c>
      <c r="Q26" s="196">
        <v>43.68</v>
      </c>
      <c r="R26" s="197">
        <v>728</v>
      </c>
      <c r="S26" s="5"/>
      <c r="W26" s="196" t="s">
        <v>175</v>
      </c>
      <c r="X26" s="198">
        <v>32.5</v>
      </c>
      <c r="Y26" s="196">
        <v>15.2</v>
      </c>
      <c r="Z26" s="197">
        <v>494</v>
      </c>
      <c r="AN26" s="284">
        <v>74866.6569000879</v>
      </c>
      <c r="AO26" s="284">
        <v>85748.0808672722</v>
      </c>
      <c r="AP26" s="284">
        <v>124113.15558159977</v>
      </c>
      <c r="AQ26" s="284">
        <v>145774.128332845</v>
      </c>
      <c r="AR26" s="178">
        <v>3900</v>
      </c>
      <c r="AS26" s="179">
        <f t="shared" si="0"/>
        <v>96164.36712569588</v>
      </c>
      <c r="AW26" s="284">
        <v>73180.92587166716</v>
      </c>
      <c r="AX26" s="284">
        <v>83779.98828010548</v>
      </c>
      <c r="AY26" s="284">
        <v>121854.17521242308</v>
      </c>
      <c r="AZ26" s="284">
        <v>143190.62408438325</v>
      </c>
      <c r="BA26" s="178">
        <v>3900</v>
      </c>
      <c r="BB26" s="179">
        <f t="shared" si="1"/>
        <v>94149.25432171111</v>
      </c>
    </row>
    <row r="27" spans="1:54" ht="12.75">
      <c r="A27" s="159" t="s">
        <v>242</v>
      </c>
      <c r="B27" s="224">
        <v>0.34</v>
      </c>
      <c r="C27" s="147">
        <v>1140</v>
      </c>
      <c r="D27" s="147">
        <v>1247</v>
      </c>
      <c r="E27" s="144">
        <f t="shared" si="6"/>
        <v>387.6</v>
      </c>
      <c r="F27" s="144">
        <f t="shared" si="7"/>
        <v>423.98</v>
      </c>
      <c r="G27" s="148">
        <f>E25-E27</f>
        <v>860.5751824817518</v>
      </c>
      <c r="H27" s="148">
        <f>F25-F27</f>
        <v>941.3484671532847</v>
      </c>
      <c r="I27" s="232">
        <v>16.01</v>
      </c>
      <c r="J27" s="230">
        <f t="shared" si="8"/>
        <v>18251.4</v>
      </c>
      <c r="K27" s="158">
        <f t="shared" si="8"/>
        <v>19964.47</v>
      </c>
      <c r="L27"/>
      <c r="N27" s="172"/>
      <c r="O27" s="196" t="s">
        <v>242</v>
      </c>
      <c r="P27" s="198">
        <v>21.208373622123382</v>
      </c>
      <c r="Q27" s="196">
        <v>860.5751824817518</v>
      </c>
      <c r="R27" s="197">
        <v>18251.4</v>
      </c>
      <c r="S27" s="5"/>
      <c r="W27" s="196" t="s">
        <v>174</v>
      </c>
      <c r="X27" s="198">
        <v>36</v>
      </c>
      <c r="Y27" s="196">
        <v>10.74</v>
      </c>
      <c r="Z27" s="197">
        <v>386.64</v>
      </c>
      <c r="AN27" s="284">
        <v>73336.65397011428</v>
      </c>
      <c r="AO27" s="284">
        <v>83989.39349545854</v>
      </c>
      <c r="AP27" s="284">
        <v>121859.83006152944</v>
      </c>
      <c r="AQ27" s="284">
        <v>143152.38792850866</v>
      </c>
      <c r="AR27" s="178">
        <v>3850</v>
      </c>
      <c r="AS27" s="179">
        <f t="shared" si="0"/>
        <v>94284.60445355992</v>
      </c>
      <c r="AW27" s="284">
        <v>71678.25959566364</v>
      </c>
      <c r="AX27" s="284">
        <v>82045.00439496044</v>
      </c>
      <c r="AY27" s="284">
        <v>119610.57720480517</v>
      </c>
      <c r="AZ27" s="284">
        <v>140583.26985057135</v>
      </c>
      <c r="BA27" s="178">
        <v>3850</v>
      </c>
      <c r="BB27" s="179">
        <f t="shared" si="1"/>
        <v>92289.9619103428</v>
      </c>
    </row>
    <row r="28" spans="1:54" ht="12.75">
      <c r="A28" s="159" t="s">
        <v>243</v>
      </c>
      <c r="B28" s="224">
        <v>0.245</v>
      </c>
      <c r="C28" s="147">
        <v>1140</v>
      </c>
      <c r="D28" s="147">
        <v>1247</v>
      </c>
      <c r="E28" s="144">
        <f t="shared" si="6"/>
        <v>279.3</v>
      </c>
      <c r="F28" s="144">
        <f t="shared" si="7"/>
        <v>305.515</v>
      </c>
      <c r="G28" s="148">
        <f>E27-E28</f>
        <v>108.30000000000001</v>
      </c>
      <c r="H28" s="226">
        <f>F27-F28</f>
        <v>118.46500000000003</v>
      </c>
      <c r="I28" s="232">
        <v>4.8</v>
      </c>
      <c r="J28" s="230">
        <f t="shared" si="8"/>
        <v>5472</v>
      </c>
      <c r="K28" s="158">
        <f t="shared" si="8"/>
        <v>5985.599999999999</v>
      </c>
      <c r="L28"/>
      <c r="N28" s="172"/>
      <c r="O28" s="196" t="s">
        <v>175</v>
      </c>
      <c r="P28" s="198">
        <v>32.5</v>
      </c>
      <c r="Q28" s="196">
        <v>14.56</v>
      </c>
      <c r="R28" s="197">
        <v>473.2</v>
      </c>
      <c r="S28" s="5"/>
      <c r="W28" s="196" t="s">
        <v>170</v>
      </c>
      <c r="X28" s="198">
        <v>36.69014836161809</v>
      </c>
      <c r="Y28" s="196">
        <v>179.88480000000004</v>
      </c>
      <c r="Z28" s="197">
        <v>6600</v>
      </c>
      <c r="AN28" s="284">
        <v>71810.40140638735</v>
      </c>
      <c r="AO28" s="284">
        <v>82236.44887196015</v>
      </c>
      <c r="AP28" s="284">
        <v>119609.40521535308</v>
      </c>
      <c r="AQ28" s="284">
        <v>140533.87049516555</v>
      </c>
      <c r="AR28" s="178">
        <v>3800</v>
      </c>
      <c r="AS28" s="179">
        <f t="shared" si="0"/>
        <v>92409.34954585409</v>
      </c>
      <c r="AW28" s="284">
        <v>70177.08760621154</v>
      </c>
      <c r="AX28" s="284">
        <v>80316.02695575739</v>
      </c>
      <c r="AY28" s="284">
        <v>117368.12188690303</v>
      </c>
      <c r="AZ28" s="284">
        <v>137981.394667448</v>
      </c>
      <c r="BA28" s="178">
        <v>3800</v>
      </c>
      <c r="BB28" s="179">
        <f t="shared" si="1"/>
        <v>90434.53120421915</v>
      </c>
    </row>
    <row r="29" spans="1:54" ht="12.75">
      <c r="A29" s="279" t="s">
        <v>202</v>
      </c>
      <c r="B29" s="268">
        <v>0.47</v>
      </c>
      <c r="C29" s="269">
        <v>120</v>
      </c>
      <c r="D29" s="269">
        <v>240</v>
      </c>
      <c r="E29" s="270">
        <f t="shared" si="6"/>
        <v>56.4</v>
      </c>
      <c r="F29" s="270">
        <f t="shared" si="7"/>
        <v>112.8</v>
      </c>
      <c r="G29" s="277">
        <v>0</v>
      </c>
      <c r="H29" s="278">
        <v>0</v>
      </c>
      <c r="I29" s="272"/>
      <c r="J29" s="273">
        <f t="shared" si="8"/>
        <v>0</v>
      </c>
      <c r="K29" s="274">
        <f t="shared" si="8"/>
        <v>0</v>
      </c>
      <c r="L29"/>
      <c r="N29" s="172"/>
      <c r="O29" s="196" t="s">
        <v>174</v>
      </c>
      <c r="P29" s="198">
        <v>36</v>
      </c>
      <c r="Q29" s="196">
        <v>18.2</v>
      </c>
      <c r="R29" s="197">
        <v>655.2</v>
      </c>
      <c r="S29" s="5"/>
      <c r="W29" s="196" t="s">
        <v>243</v>
      </c>
      <c r="X29" s="198">
        <v>50.526315789473664</v>
      </c>
      <c r="Y29" s="196">
        <v>118.465</v>
      </c>
      <c r="Z29" s="197">
        <v>5985.6</v>
      </c>
      <c r="AN29" s="284">
        <v>70290.41898622912</v>
      </c>
      <c r="AO29" s="284">
        <v>80491.59097568122</v>
      </c>
      <c r="AP29" s="284">
        <v>117358.51157339584</v>
      </c>
      <c r="AQ29" s="284">
        <v>137919.5429241137</v>
      </c>
      <c r="AR29" s="178">
        <v>3750</v>
      </c>
      <c r="AS29" s="179">
        <f t="shared" si="0"/>
        <v>90539.48432464107</v>
      </c>
      <c r="AW29" s="284">
        <v>68680.39847641371</v>
      </c>
      <c r="AX29" s="284">
        <v>78595.16554351011</v>
      </c>
      <c r="AY29" s="284">
        <v>115130.76472311749</v>
      </c>
      <c r="AZ29" s="284">
        <v>135384.0023439789</v>
      </c>
      <c r="BA29" s="178">
        <v>3750</v>
      </c>
      <c r="BB29" s="179">
        <f t="shared" si="1"/>
        <v>88585.55376501611</v>
      </c>
    </row>
    <row r="30" spans="1:54" ht="12.75">
      <c r="A30" s="157" t="s">
        <v>176</v>
      </c>
      <c r="B30" s="146">
        <v>0.19</v>
      </c>
      <c r="C30" s="147">
        <v>120</v>
      </c>
      <c r="D30" s="147">
        <v>240</v>
      </c>
      <c r="E30" s="144">
        <f t="shared" si="6"/>
        <v>22.8</v>
      </c>
      <c r="F30" s="144">
        <f t="shared" si="7"/>
        <v>45.6</v>
      </c>
      <c r="G30" s="148">
        <f>E29-E30</f>
        <v>33.599999999999994</v>
      </c>
      <c r="H30" s="226">
        <f>F29-F30</f>
        <v>67.19999999999999</v>
      </c>
      <c r="I30" s="232">
        <v>15.01</v>
      </c>
      <c r="J30" s="230">
        <f t="shared" si="8"/>
        <v>1801.2</v>
      </c>
      <c r="K30" s="158">
        <f t="shared" si="8"/>
        <v>3602.4</v>
      </c>
      <c r="L30"/>
      <c r="N30" s="172"/>
      <c r="O30" s="196" t="s">
        <v>170</v>
      </c>
      <c r="P30" s="198">
        <v>38.74330797407721</v>
      </c>
      <c r="Q30" s="196">
        <v>170.35199999999998</v>
      </c>
      <c r="R30" s="197">
        <v>6600</v>
      </c>
      <c r="S30" s="5"/>
      <c r="W30" s="196" t="s">
        <v>176</v>
      </c>
      <c r="X30" s="198">
        <v>53.60714285714287</v>
      </c>
      <c r="Y30" s="196">
        <v>67.2</v>
      </c>
      <c r="Z30" s="197">
        <v>3602.4</v>
      </c>
      <c r="AN30" s="284">
        <v>68783.94374450631</v>
      </c>
      <c r="AO30" s="284">
        <v>78756.7242894814</v>
      </c>
      <c r="AP30" s="284">
        <v>115110.46000585996</v>
      </c>
      <c r="AQ30" s="284">
        <v>135311.45619689423</v>
      </c>
      <c r="AR30" s="178">
        <v>3700</v>
      </c>
      <c r="AS30" s="179">
        <f t="shared" si="0"/>
        <v>88678.33870495166</v>
      </c>
      <c r="AW30" s="284">
        <v>67183.73864635218</v>
      </c>
      <c r="AX30" s="284">
        <v>76876.70670963962</v>
      </c>
      <c r="AY30" s="284">
        <v>112899.00380896572</v>
      </c>
      <c r="AZ30" s="284">
        <v>132786.84441840023</v>
      </c>
      <c r="BA30" s="178">
        <v>3700</v>
      </c>
      <c r="BB30" s="179">
        <f t="shared" si="1"/>
        <v>86739.19425725169</v>
      </c>
    </row>
    <row r="31" spans="1:54" ht="12.75">
      <c r="A31" s="280" t="s">
        <v>203</v>
      </c>
      <c r="B31" s="268">
        <f>0.018*0.45</f>
        <v>0.0081</v>
      </c>
      <c r="C31" s="269">
        <v>94640</v>
      </c>
      <c r="D31" s="269">
        <v>99936</v>
      </c>
      <c r="E31" s="270">
        <f t="shared" si="6"/>
        <v>766.584</v>
      </c>
      <c r="F31" s="270">
        <f t="shared" si="7"/>
        <v>809.4816</v>
      </c>
      <c r="G31" s="277">
        <v>0</v>
      </c>
      <c r="H31" s="278">
        <v>0</v>
      </c>
      <c r="I31" s="272"/>
      <c r="J31" s="273">
        <f>$C31*I31</f>
        <v>0</v>
      </c>
      <c r="K31" s="274">
        <f>$C31*J31</f>
        <v>0</v>
      </c>
      <c r="L31"/>
      <c r="N31" s="172"/>
      <c r="O31" s="196" t="s">
        <v>243</v>
      </c>
      <c r="P31" s="198">
        <v>50.52631578947368</v>
      </c>
      <c r="Q31" s="196">
        <v>108.3</v>
      </c>
      <c r="R31" s="197">
        <v>5472</v>
      </c>
      <c r="S31" s="5"/>
      <c r="W31" s="196" t="s">
        <v>236</v>
      </c>
      <c r="X31" s="198">
        <v>65.99999999999993</v>
      </c>
      <c r="Y31" s="196">
        <v>9.25500000000001</v>
      </c>
      <c r="Z31" s="197">
        <v>610.83</v>
      </c>
      <c r="AN31" s="284">
        <v>67284.0609434515</v>
      </c>
      <c r="AO31" s="284">
        <v>77025.28567242894</v>
      </c>
      <c r="AP31" s="284">
        <v>112866.5397011427</v>
      </c>
      <c r="AQ31" s="284">
        <v>132709.43451508938</v>
      </c>
      <c r="AR31" s="178">
        <v>3650</v>
      </c>
      <c r="AS31" s="179">
        <f t="shared" si="0"/>
        <v>86821.56167594492</v>
      </c>
      <c r="AW31" s="284">
        <v>65689.71579255786</v>
      </c>
      <c r="AX31" s="284">
        <v>75164.34222092</v>
      </c>
      <c r="AY31" s="284">
        <v>110671.05186053326</v>
      </c>
      <c r="AZ31" s="284">
        <v>130193.02666276004</v>
      </c>
      <c r="BA31" s="178">
        <v>3650</v>
      </c>
      <c r="BB31" s="179">
        <f t="shared" si="1"/>
        <v>84897.52856724289</v>
      </c>
    </row>
    <row r="32" spans="1:54" ht="13.5" thickBot="1">
      <c r="A32" s="162" t="s">
        <v>170</v>
      </c>
      <c r="B32" s="163">
        <f>0.018*0.35</f>
        <v>0.006299999999999999</v>
      </c>
      <c r="C32" s="164">
        <v>94640</v>
      </c>
      <c r="D32" s="164">
        <v>99936</v>
      </c>
      <c r="E32" s="165">
        <f t="shared" si="6"/>
        <v>596.232</v>
      </c>
      <c r="F32" s="165">
        <f t="shared" si="7"/>
        <v>629.5967999999999</v>
      </c>
      <c r="G32" s="166">
        <f>E31-E32</f>
        <v>170.35199999999998</v>
      </c>
      <c r="H32" s="228">
        <f>F31-F32</f>
        <v>179.88480000000004</v>
      </c>
      <c r="I32" s="283">
        <v>550</v>
      </c>
      <c r="J32" s="231">
        <f>12*I32</f>
        <v>6600</v>
      </c>
      <c r="K32" s="167">
        <f>12*I32</f>
        <v>6600</v>
      </c>
      <c r="L32"/>
      <c r="N32" s="172"/>
      <c r="O32" s="196" t="s">
        <v>176</v>
      </c>
      <c r="P32" s="198">
        <v>53.60714285714287</v>
      </c>
      <c r="Q32" s="196">
        <v>33.6</v>
      </c>
      <c r="R32" s="197">
        <v>1801.2</v>
      </c>
      <c r="S32" s="5"/>
      <c r="W32" s="196" t="s">
        <v>237</v>
      </c>
      <c r="X32" s="198">
        <v>73.33333333333329</v>
      </c>
      <c r="Y32" s="196">
        <v>5.553000000000004</v>
      </c>
      <c r="Z32" s="197">
        <v>407.22</v>
      </c>
      <c r="AN32" s="284">
        <v>65785.67242894815</v>
      </c>
      <c r="AO32" s="284">
        <v>75298.03691766775</v>
      </c>
      <c r="AP32" s="284">
        <v>110630.7354233812</v>
      </c>
      <c r="AQ32" s="284">
        <v>130107.94022853796</v>
      </c>
      <c r="AR32" s="178">
        <v>3600</v>
      </c>
      <c r="AS32" s="179">
        <f t="shared" si="0"/>
        <v>84969.23381189571</v>
      </c>
      <c r="AW32" s="284">
        <v>64199.29680632875</v>
      </c>
      <c r="AX32" s="284">
        <v>73455.75739818341</v>
      </c>
      <c r="AY32" s="284">
        <v>108446.7330794023</v>
      </c>
      <c r="AZ32" s="284">
        <v>127603.48666862</v>
      </c>
      <c r="BA32" s="178">
        <v>3600</v>
      </c>
      <c r="BB32" s="179">
        <f t="shared" si="1"/>
        <v>83059.59566363903</v>
      </c>
    </row>
    <row r="33" spans="10:54" ht="12.75">
      <c r="J33" s="151">
        <v>0</v>
      </c>
      <c r="O33" s="189"/>
      <c r="P33" s="189"/>
      <c r="Q33" s="189"/>
      <c r="R33" s="189"/>
      <c r="W33"/>
      <c r="X33"/>
      <c r="Y33"/>
      <c r="Z33"/>
      <c r="AL33" s="5"/>
      <c r="AN33" s="284">
        <v>64289.07119835922</v>
      </c>
      <c r="AO33" s="284">
        <v>73577.43920304718</v>
      </c>
      <c r="AP33" s="284">
        <v>108397.5095224143</v>
      </c>
      <c r="AQ33" s="284">
        <v>127509.25871667155</v>
      </c>
      <c r="AR33" s="178">
        <v>3550</v>
      </c>
      <c r="AS33" s="179">
        <f t="shared" si="0"/>
        <v>83121.37415763258</v>
      </c>
      <c r="AW33" s="284">
        <v>62710.78230295928</v>
      </c>
      <c r="AX33" s="284">
        <v>71754.14591268678</v>
      </c>
      <c r="AY33" s="284">
        <v>106224.99267506594</v>
      </c>
      <c r="AZ33" s="284">
        <v>125019.30852622328</v>
      </c>
      <c r="BA33" s="178">
        <v>3550</v>
      </c>
      <c r="BB33" s="179">
        <f t="shared" si="1"/>
        <v>81226.4430120129</v>
      </c>
    </row>
    <row r="34" spans="3:54" ht="12.75">
      <c r="C34"/>
      <c r="D34"/>
      <c r="E34"/>
      <c r="F34"/>
      <c r="G34"/>
      <c r="H34"/>
      <c r="I34"/>
      <c r="J34"/>
      <c r="O34" s="5"/>
      <c r="P34" s="5"/>
      <c r="Q34" s="5"/>
      <c r="R34" s="5"/>
      <c r="AL34" s="190"/>
      <c r="AN34" s="284">
        <v>62796.864928215655</v>
      </c>
      <c r="AO34" s="284">
        <v>71864.43012012892</v>
      </c>
      <c r="AP34" s="284">
        <v>106166.4811016701</v>
      </c>
      <c r="AQ34" s="284">
        <v>124915.96835628481</v>
      </c>
      <c r="AR34" s="178">
        <v>3500</v>
      </c>
      <c r="AS34" s="179">
        <f t="shared" si="0"/>
        <v>81279.00673893935</v>
      </c>
      <c r="AW34" s="284">
        <v>61223.996484031646</v>
      </c>
      <c r="AX34" s="284">
        <v>70063.96132434809</v>
      </c>
      <c r="AY34" s="284">
        <v>104006.53384119543</v>
      </c>
      <c r="AZ34" s="284">
        <v>122443.1878113097</v>
      </c>
      <c r="BA34" s="178">
        <v>3500</v>
      </c>
      <c r="BB34" s="179">
        <f t="shared" si="1"/>
        <v>79400.57280984473</v>
      </c>
    </row>
    <row r="35" spans="4:54" ht="12.75">
      <c r="D35"/>
      <c r="E35"/>
      <c r="F35"/>
      <c r="G35"/>
      <c r="H35"/>
      <c r="I35"/>
      <c r="J35"/>
      <c r="O35" s="150" t="s">
        <v>239</v>
      </c>
      <c r="AL35" s="191"/>
      <c r="AN35" s="284">
        <v>61305.654849106366</v>
      </c>
      <c r="AO35" s="284">
        <v>70155.87459712863</v>
      </c>
      <c r="AP35" s="284">
        <v>103941.07823029594</v>
      </c>
      <c r="AQ35" s="284">
        <v>122323.90858482274</v>
      </c>
      <c r="AR35" s="178">
        <v>3450</v>
      </c>
      <c r="AS35" s="179">
        <f t="shared" si="0"/>
        <v>79440.53325520072</v>
      </c>
      <c r="AW35" s="284">
        <v>59744.242601816586</v>
      </c>
      <c r="AX35" s="284">
        <v>68380.92587166716</v>
      </c>
      <c r="AY35" s="284">
        <v>101797.39232346909</v>
      </c>
      <c r="AZ35" s="284">
        <v>119871.84295341342</v>
      </c>
      <c r="BA35" s="178">
        <v>3450</v>
      </c>
      <c r="BB35" s="179">
        <f t="shared" si="1"/>
        <v>77582.25168473485</v>
      </c>
    </row>
    <row r="36" spans="2:54" ht="12.75">
      <c r="B36" s="152"/>
      <c r="D36"/>
      <c r="E36"/>
      <c r="F36"/>
      <c r="G36"/>
      <c r="H36"/>
      <c r="I36"/>
      <c r="J36"/>
      <c r="AL36" s="191"/>
      <c r="AN36" s="284">
        <v>59820.187518312334</v>
      </c>
      <c r="AO36" s="284">
        <v>68452.32932903605</v>
      </c>
      <c r="AP36" s="284">
        <v>101718.2537357164</v>
      </c>
      <c r="AQ36" s="284">
        <v>119736.56607090538</v>
      </c>
      <c r="AR36" s="178">
        <v>3400</v>
      </c>
      <c r="AS36" s="179">
        <f t="shared" si="0"/>
        <v>77606.59390565485</v>
      </c>
      <c r="AW36" s="284">
        <v>58268.67858189277</v>
      </c>
      <c r="AX36" s="284">
        <v>66701.23058892469</v>
      </c>
      <c r="AY36" s="284">
        <v>99596.39613243482</v>
      </c>
      <c r="AZ36" s="284">
        <v>117306.50454145913</v>
      </c>
      <c r="BA36" s="178">
        <v>3400</v>
      </c>
      <c r="BB36" s="179">
        <f t="shared" si="1"/>
        <v>75768.77527102256</v>
      </c>
    </row>
    <row r="37" spans="5:54" ht="12.75">
      <c r="E37"/>
      <c r="F37"/>
      <c r="G37"/>
      <c r="H37"/>
      <c r="I37"/>
      <c r="J37"/>
      <c r="AL37" s="191"/>
      <c r="AN37" s="284">
        <v>58334.69088778201</v>
      </c>
      <c r="AO37" s="284">
        <v>66755.31790213888</v>
      </c>
      <c r="AP37" s="284">
        <v>99498.12481687665</v>
      </c>
      <c r="AQ37" s="284">
        <v>117153.58921769705</v>
      </c>
      <c r="AR37" s="178">
        <v>3350</v>
      </c>
      <c r="AS37" s="179">
        <f t="shared" si="0"/>
        <v>75776.80779372987</v>
      </c>
      <c r="AW37" s="284">
        <v>56796.16173454439</v>
      </c>
      <c r="AX37" s="284">
        <v>65020.89071198359</v>
      </c>
      <c r="AY37" s="284">
        <v>97394.37445062996</v>
      </c>
      <c r="AZ37" s="284">
        <v>114744.65279812482</v>
      </c>
      <c r="BA37" s="178">
        <v>3350</v>
      </c>
      <c r="BB37" s="179">
        <f t="shared" si="1"/>
        <v>73955.50395546442</v>
      </c>
    </row>
    <row r="38" spans="6:54" ht="12.75">
      <c r="F38"/>
      <c r="G38"/>
      <c r="H38"/>
      <c r="I38"/>
      <c r="J38"/>
      <c r="AE38" s="191"/>
      <c r="AF38" s="191"/>
      <c r="AG38" s="191"/>
      <c r="AH38" s="191"/>
      <c r="AI38" s="191"/>
      <c r="AJ38" s="191"/>
      <c r="AK38" s="191"/>
      <c r="AL38" s="191"/>
      <c r="AN38" s="284">
        <v>56851.71403457369</v>
      </c>
      <c r="AO38" s="284">
        <v>65064.342220920014</v>
      </c>
      <c r="AP38" s="284">
        <v>97280.63287430414</v>
      </c>
      <c r="AQ38" s="284">
        <v>114577.20480515675</v>
      </c>
      <c r="AR38" s="178">
        <v>3300</v>
      </c>
      <c r="AS38" s="179">
        <f t="shared" si="0"/>
        <v>73951.53237620862</v>
      </c>
      <c r="AW38" s="284">
        <v>55329.5341341928</v>
      </c>
      <c r="AX38" s="284">
        <v>63347.52417228246</v>
      </c>
      <c r="AY38" s="284">
        <v>95196.3375329622</v>
      </c>
      <c r="AZ38" s="284">
        <v>112188.7489012599</v>
      </c>
      <c r="BA38" s="178">
        <v>3300</v>
      </c>
      <c r="BB38" s="179">
        <f t="shared" si="1"/>
        <v>72148.19074128334</v>
      </c>
    </row>
    <row r="39" spans="15:54" ht="13.5" thickBot="1">
      <c r="O39" s="150" t="s">
        <v>204</v>
      </c>
      <c r="AA39" s="5"/>
      <c r="AB39" s="5"/>
      <c r="AC39" s="5"/>
      <c r="AD39" s="5"/>
      <c r="AE39" s="191"/>
      <c r="AF39" s="191"/>
      <c r="AG39" s="191"/>
      <c r="AH39" s="191"/>
      <c r="AI39" s="191"/>
      <c r="AJ39" s="191"/>
      <c r="AK39" s="191"/>
      <c r="AL39" s="191"/>
      <c r="AN39" s="284">
        <v>55371.40345736889</v>
      </c>
      <c r="AO39" s="284">
        <v>63382.27365953707</v>
      </c>
      <c r="AP39" s="284">
        <v>95068.32698505714</v>
      </c>
      <c r="AQ39" s="284">
        <v>112008.4090243188</v>
      </c>
      <c r="AR39" s="178">
        <v>3250</v>
      </c>
      <c r="AS39" s="179">
        <f t="shared" si="0"/>
        <v>72132.91971872254</v>
      </c>
      <c r="AW39" s="284">
        <v>53877.58570172869</v>
      </c>
      <c r="AX39" s="284">
        <v>61682.42015821858</v>
      </c>
      <c r="AY39" s="284">
        <v>93000.58599472605</v>
      </c>
      <c r="AZ39" s="284">
        <v>109641.16612950484</v>
      </c>
      <c r="BA39" s="178">
        <v>3250</v>
      </c>
      <c r="BB39" s="179">
        <f t="shared" si="1"/>
        <v>70348.93202461179</v>
      </c>
    </row>
    <row r="40" spans="1:54" ht="13.5" thickBot="1">
      <c r="A40" s="449" t="s">
        <v>283</v>
      </c>
      <c r="B40" s="450"/>
      <c r="C40" s="450"/>
      <c r="D40" s="450"/>
      <c r="E40" s="449" t="s">
        <v>295</v>
      </c>
      <c r="F40" s="450"/>
      <c r="G40" s="451"/>
      <c r="H40" s="449" t="s">
        <v>296</v>
      </c>
      <c r="I40" s="450"/>
      <c r="J40" s="451"/>
      <c r="K40" s="449" t="s">
        <v>294</v>
      </c>
      <c r="L40" s="450"/>
      <c r="M40" s="451"/>
      <c r="N40" s="194"/>
      <c r="U40" s="5"/>
      <c r="W40"/>
      <c r="X40"/>
      <c r="Y40"/>
      <c r="Z40"/>
      <c r="AA40" s="190"/>
      <c r="AB40" s="190"/>
      <c r="AC40" s="190"/>
      <c r="AD40" s="190"/>
      <c r="AE40" s="191"/>
      <c r="AF40" s="191"/>
      <c r="AG40" s="191"/>
      <c r="AH40" s="191"/>
      <c r="AI40" s="191"/>
      <c r="AJ40" s="191"/>
      <c r="AK40" s="191"/>
      <c r="AL40" s="191"/>
      <c r="AN40" s="284">
        <v>53899.384705537654</v>
      </c>
      <c r="AO40" s="284">
        <v>61707.70583064752</v>
      </c>
      <c r="AP40" s="284">
        <v>92865.07471432758</v>
      </c>
      <c r="AQ40" s="284">
        <v>109448.1394667448</v>
      </c>
      <c r="AR40" s="178">
        <v>3200</v>
      </c>
      <c r="AS40" s="179">
        <f t="shared" si="0"/>
        <v>70322.40550835044</v>
      </c>
      <c r="AW40" s="284">
        <v>52434.89598593613</v>
      </c>
      <c r="AX40" s="284">
        <v>60022.17990038091</v>
      </c>
      <c r="AY40" s="284">
        <v>90806.1236448872</v>
      </c>
      <c r="AZ40" s="284">
        <v>107102.75417521244</v>
      </c>
      <c r="BA40" s="178">
        <v>3200</v>
      </c>
      <c r="BB40" s="179">
        <f t="shared" si="1"/>
        <v>68554.7377673601</v>
      </c>
    </row>
    <row r="41" spans="1:54" ht="51.75" thickBot="1">
      <c r="A41" s="338" t="s">
        <v>284</v>
      </c>
      <c r="B41" s="339" t="s">
        <v>285</v>
      </c>
      <c r="C41" s="340" t="s">
        <v>286</v>
      </c>
      <c r="D41" s="350" t="s">
        <v>287</v>
      </c>
      <c r="E41" s="354">
        <v>10920</v>
      </c>
      <c r="F41" s="234">
        <v>12492</v>
      </c>
      <c r="G41" s="240">
        <f>SUMPRODUCT('Cost-Effectiveness Level'!$I$4:$J$4,E41:F41)</f>
        <v>11399.46</v>
      </c>
      <c r="H41" s="354">
        <v>10920</v>
      </c>
      <c r="I41" s="234">
        <v>12492</v>
      </c>
      <c r="J41" s="240">
        <f>SUMPRODUCT('Cost-Effectiveness Level'!$I$4:$J$4,H41:I41)</f>
        <v>11399.46</v>
      </c>
      <c r="K41" s="354">
        <v>10920</v>
      </c>
      <c r="L41" s="234">
        <v>12492</v>
      </c>
      <c r="M41" s="240">
        <f>SUMPRODUCT('Cost-Effectiveness Level'!$I$4:$J$4,K41:L41)</f>
        <v>11399.46</v>
      </c>
      <c r="N41" s="194"/>
      <c r="O41" s="291" t="s">
        <v>52</v>
      </c>
      <c r="P41" s="292" t="s">
        <v>187</v>
      </c>
      <c r="Q41" s="292" t="s">
        <v>195</v>
      </c>
      <c r="R41" s="292" t="s">
        <v>196</v>
      </c>
      <c r="S41" s="292" t="s">
        <v>205</v>
      </c>
      <c r="T41" s="293" t="s">
        <v>206</v>
      </c>
      <c r="U41" s="293" t="s">
        <v>207</v>
      </c>
      <c r="V41" s="294" t="s">
        <v>208</v>
      </c>
      <c r="W41" s="291" t="s">
        <v>52</v>
      </c>
      <c r="X41" s="292" t="s">
        <v>187</v>
      </c>
      <c r="Y41" s="292" t="s">
        <v>195</v>
      </c>
      <c r="Z41" s="292" t="s">
        <v>196</v>
      </c>
      <c r="AA41" s="292" t="s">
        <v>205</v>
      </c>
      <c r="AB41" s="293" t="s">
        <v>206</v>
      </c>
      <c r="AC41" s="293" t="s">
        <v>207</v>
      </c>
      <c r="AD41" s="294" t="s">
        <v>208</v>
      </c>
      <c r="AE41" s="191"/>
      <c r="AF41" s="191"/>
      <c r="AG41" s="191"/>
      <c r="AH41" s="191"/>
      <c r="AI41" s="191"/>
      <c r="AJ41" s="191"/>
      <c r="AK41" s="191"/>
      <c r="AL41" s="191"/>
      <c r="AN41" s="284">
        <v>52433.870495165545</v>
      </c>
      <c r="AO41" s="284">
        <v>60033.63609727512</v>
      </c>
      <c r="AP41" s="284">
        <v>90669.0594784647</v>
      </c>
      <c r="AQ41" s="284">
        <v>106893.84705537651</v>
      </c>
      <c r="AR41" s="178">
        <v>3150</v>
      </c>
      <c r="AS41" s="179">
        <f t="shared" si="0"/>
        <v>68515.54937005567</v>
      </c>
      <c r="AW41" s="284">
        <v>50993.26106065046</v>
      </c>
      <c r="AX41" s="284">
        <v>58368.67858189276</v>
      </c>
      <c r="AY41" s="284">
        <v>88611.83709346617</v>
      </c>
      <c r="AZ41" s="284">
        <v>104571.4913565778</v>
      </c>
      <c r="BA41" s="178">
        <v>3150</v>
      </c>
      <c r="BB41" s="179">
        <f t="shared" si="1"/>
        <v>66764.52534427191</v>
      </c>
    </row>
    <row r="42" spans="1:54" ht="12.75">
      <c r="A42" s="341" t="s">
        <v>288</v>
      </c>
      <c r="B42" s="342">
        <f>'ResWX Base Case'!B6</f>
        <v>0.24509973340070815</v>
      </c>
      <c r="C42" s="343">
        <f>B10</f>
        <v>0.06</v>
      </c>
      <c r="D42" s="351">
        <f>B12</f>
        <v>0.039</v>
      </c>
      <c r="E42" s="264">
        <f>$B42*$C42*C$8</f>
        <v>53.52978177471466</v>
      </c>
      <c r="F42" s="195">
        <f>$B42*$C42*D$8</f>
        <v>31.588453640683266</v>
      </c>
      <c r="G42" s="355">
        <f>SUMPRODUCT('Cost-Effectiveness Level'!$I$4:$J$4,E42:F42)</f>
        <v>46.83767669383508</v>
      </c>
      <c r="H42" s="195">
        <f>$B42*$D42*C$8</f>
        <v>34.794358153564524</v>
      </c>
      <c r="I42" s="195">
        <f>$B42*$D42*D$8</f>
        <v>20.53249486644412</v>
      </c>
      <c r="J42" s="355">
        <f>SUMPRODUCT('Cost-Effectiveness Level'!$I$4:$J$4,H42:I42)</f>
        <v>30.4444898509928</v>
      </c>
      <c r="K42" s="195">
        <f aca="true" t="shared" si="9" ref="K42:L47">E42-H42</f>
        <v>18.735423621150133</v>
      </c>
      <c r="L42" s="195">
        <f t="shared" si="9"/>
        <v>11.055958774239144</v>
      </c>
      <c r="M42" s="355">
        <f>SUMPRODUCT('Cost-Effectiveness Level'!$I$4:$J$4,K42:L42)</f>
        <v>16.393186842842283</v>
      </c>
      <c r="N42" s="194"/>
      <c r="O42" s="295" t="s">
        <v>263</v>
      </c>
      <c r="P42" s="296">
        <f>B60</f>
        <v>3835.0282175018388</v>
      </c>
      <c r="Q42" s="297">
        <v>0</v>
      </c>
      <c r="R42" s="297"/>
      <c r="S42" s="297"/>
      <c r="T42" s="298">
        <f aca="true" ca="1" t="shared" si="10" ref="T42:T53">IF(ISNA(INDEX($AR$4:$AS$74,MATCH(P42,$AR$4:$AR$74,0),1)),TREND(OFFSET(INDEX($AR$4:$AS$74,MATCH(P42,$AR$4:$AR$74,-1),2),0,0,2,1),OFFSET(INDEX($AR$4:$AS$74,MATCH(P42,$AR$4:$AR$74,-1),1),0,0,2,1),P42),INDEX($AR$4:$AS$74,MATCH(P42,$AR$4:$AR$74,0),2))</f>
        <v>93723.0862814234</v>
      </c>
      <c r="U42" s="299">
        <f aca="true" t="shared" si="11" ref="U42:U53">T42/12</f>
        <v>7810.257190118617</v>
      </c>
      <c r="V42" s="302"/>
      <c r="W42" s="295" t="s">
        <v>263</v>
      </c>
      <c r="X42" s="299">
        <f>C60</f>
        <v>4669.7011960221025</v>
      </c>
      <c r="Y42" s="297"/>
      <c r="Z42" s="297"/>
      <c r="AA42" s="297"/>
      <c r="AB42" s="298">
        <f ca="1">IF(ISNA(INDEX($BA$4:$BB69,MATCH(X42,$BA$4:$BA$74,0),1)),TREND(OFFSET(INDEX($BA$4:$BB69,MATCH(X42,$BA$4:$BA$74,-1),2),0,0,2,1),OFFSET(INDEX($BA$4:$BB69,MATCH(X42,$BA$4:$BA$74,-1),1),0,0,2,1),X42),INDEX($BA$4:$BB69,MATCH(X42,$BA$4:$BA$74,0),2))</f>
        <v>123257.8402736012</v>
      </c>
      <c r="AC42" s="299">
        <f aca="true" t="shared" si="12" ref="AC42:AC56">AB42/12</f>
        <v>10271.486689466767</v>
      </c>
      <c r="AD42" s="303">
        <v>0</v>
      </c>
      <c r="AE42" s="191"/>
      <c r="AF42" s="191"/>
      <c r="AG42" s="191"/>
      <c r="AH42" s="191"/>
      <c r="AI42" s="191"/>
      <c r="AJ42" s="191"/>
      <c r="AK42" s="191"/>
      <c r="AL42" s="191"/>
      <c r="AN42" s="284">
        <v>50973.57163785526</v>
      </c>
      <c r="AO42" s="284">
        <v>58365.83650747144</v>
      </c>
      <c r="AP42" s="284">
        <v>88475.76911807794</v>
      </c>
      <c r="AQ42" s="284">
        <v>104342.95341341928</v>
      </c>
      <c r="AR42" s="178">
        <v>3100</v>
      </c>
      <c r="AS42" s="179">
        <f t="shared" si="0"/>
        <v>66713.72253149722</v>
      </c>
      <c r="AW42" s="284">
        <v>49551.88983299151</v>
      </c>
      <c r="AX42" s="284">
        <v>56724.26018165837</v>
      </c>
      <c r="AY42" s="284">
        <v>86418.4588338705</v>
      </c>
      <c r="AZ42" s="284">
        <v>102045.15089364196</v>
      </c>
      <c r="BA42" s="178">
        <v>3100</v>
      </c>
      <c r="BB42" s="179">
        <f t="shared" si="1"/>
        <v>64979.38031057722</v>
      </c>
    </row>
    <row r="43" spans="1:54" ht="12.75">
      <c r="A43" s="341" t="s">
        <v>289</v>
      </c>
      <c r="B43" s="342">
        <f>'ResWX Base Case'!B4</f>
        <v>0.13798330804791398</v>
      </c>
      <c r="C43" s="343">
        <f>B20</f>
        <v>0.10596804511278195</v>
      </c>
      <c r="D43" s="351">
        <f>C44</f>
        <v>0.041</v>
      </c>
      <c r="E43" s="264">
        <f>$B43*$C43*C$20</f>
        <v>53.22342993979734</v>
      </c>
      <c r="F43" s="195">
        <f>$B43*$C43*D$20</f>
        <v>55.5629213657225</v>
      </c>
      <c r="G43" s="355">
        <f>SUMPRODUCT('Cost-Effectiveness Level'!$I$4:$J$4,E43:F43)</f>
        <v>53.936974824704514</v>
      </c>
      <c r="H43" s="195">
        <f>$B43*$D43*C$20</f>
        <v>20.592628893070682</v>
      </c>
      <c r="I43" s="195">
        <f>$B43*$D43*D$20</f>
        <v>21.497799393864998</v>
      </c>
      <c r="J43" s="355">
        <f>SUMPRODUCT('Cost-Effectiveness Level'!$I$4:$J$4,H43:I43)</f>
        <v>20.868705895812948</v>
      </c>
      <c r="K43" s="195">
        <f t="shared" si="9"/>
        <v>32.63080104672666</v>
      </c>
      <c r="L43" s="195">
        <f t="shared" si="9"/>
        <v>34.06512197185751</v>
      </c>
      <c r="M43" s="355">
        <f>SUMPRODUCT('Cost-Effectiveness Level'!$I$4:$J$4,K43:L43)</f>
        <v>33.06826892889157</v>
      </c>
      <c r="N43" s="194"/>
      <c r="O43" s="300" t="str">
        <f>O22</f>
        <v>ATTIC R19</v>
      </c>
      <c r="P43" s="289">
        <f>P42-Q43</f>
        <v>3460.1082175018387</v>
      </c>
      <c r="Q43" s="144">
        <f aca="true" t="shared" si="13" ref="Q43:R53">Q22</f>
        <v>374.92</v>
      </c>
      <c r="R43" s="193">
        <f t="shared" si="13"/>
        <v>3130.4</v>
      </c>
      <c r="S43" s="193">
        <f>SUM(R$43:R43)</f>
        <v>3130.4</v>
      </c>
      <c r="T43" s="195">
        <f ca="1" t="shared" si="10"/>
        <v>79812.20705209865</v>
      </c>
      <c r="U43" s="144">
        <f t="shared" si="11"/>
        <v>6651.017254341554</v>
      </c>
      <c r="V43" s="226">
        <f aca="true" t="shared" si="14" ref="V43:V53">T42-T43</f>
        <v>13910.879229324753</v>
      </c>
      <c r="W43" s="300" t="str">
        <f>W19</f>
        <v>VAULT R19</v>
      </c>
      <c r="X43" s="148">
        <f>X42-Y43</f>
        <v>4430.922196022102</v>
      </c>
      <c r="Y43" s="148">
        <f aca="true" t="shared" si="15" ref="Y43:Z56">Y19</f>
        <v>238.779</v>
      </c>
      <c r="Z43" s="193">
        <f t="shared" si="15"/>
        <v>1591.86</v>
      </c>
      <c r="AA43" s="193">
        <f>SUM(Z$43:Z43)</f>
        <v>1591.86</v>
      </c>
      <c r="AB43" s="195">
        <f ca="1">IF(ISNA(INDEX($BA$4:$BB70,MATCH(X43,$BA$4:$BA$74,0),1)),TREND(OFFSET(INDEX($BA$4:$BB70,MATCH(X43,$BA$4:$BA$74,-1),2),0,0,2,1),OFFSET(INDEX($BA$4:$BB70,MATCH(X43,$BA$4:$BA$74,-1),1),0,0,2,1),X43),INDEX($BA$4:$BB70,MATCH(X43,$BA$4:$BA$74,0),2))</f>
        <v>114153.92721006463</v>
      </c>
      <c r="AC43" s="148">
        <f t="shared" si="12"/>
        <v>9512.827267505387</v>
      </c>
      <c r="AD43" s="205">
        <f aca="true" t="shared" si="16" ref="AD43:AD56">AB42-AB43</f>
        <v>9103.913063536573</v>
      </c>
      <c r="AE43" s="191"/>
      <c r="AF43" s="191"/>
      <c r="AG43" s="191"/>
      <c r="AH43" s="191"/>
      <c r="AI43" s="191"/>
      <c r="AJ43" s="191"/>
      <c r="AK43" s="191"/>
      <c r="AL43" s="191"/>
      <c r="AN43" s="284">
        <v>49525.227072956346</v>
      </c>
      <c r="AO43" s="284">
        <v>56702.81277468504</v>
      </c>
      <c r="AP43" s="284">
        <v>86284.29534134193</v>
      </c>
      <c r="AQ43" s="284">
        <v>101800.20509815411</v>
      </c>
      <c r="AR43" s="178">
        <v>3050</v>
      </c>
      <c r="AS43" s="179">
        <f t="shared" si="0"/>
        <v>64917.53589217697</v>
      </c>
      <c r="AW43" s="284">
        <v>48114.00527395254</v>
      </c>
      <c r="AX43" s="284">
        <v>55084.29534134193</v>
      </c>
      <c r="AY43" s="284">
        <v>84229.82713155582</v>
      </c>
      <c r="AZ43" s="284">
        <v>99522.26779958981</v>
      </c>
      <c r="BA43" s="178">
        <v>3050</v>
      </c>
      <c r="BB43" s="179">
        <f t="shared" si="1"/>
        <v>63198.518898329916</v>
      </c>
    </row>
    <row r="44" spans="1:54" ht="12.75">
      <c r="A44" s="341" t="s">
        <v>290</v>
      </c>
      <c r="B44" s="342">
        <f>'ResWX Base Case'!B5</f>
        <v>0.12499299834224581</v>
      </c>
      <c r="C44" s="343">
        <f>B22</f>
        <v>0.041</v>
      </c>
      <c r="D44" s="351">
        <f>B23</f>
        <v>0.029</v>
      </c>
      <c r="E44" s="264">
        <f>$B44*$C44*C$20</f>
        <v>18.653955072596766</v>
      </c>
      <c r="F44" s="195">
        <f>$B44*$C44*D$20</f>
        <v>19.473909141721897</v>
      </c>
      <c r="G44" s="355">
        <f>SUMPRODUCT('Cost-Effectiveness Level'!$I$4:$J$4,E44:F44)</f>
        <v>18.904041063679934</v>
      </c>
      <c r="H44" s="195">
        <f>$B44*$D44*C$20</f>
        <v>13.194260905007468</v>
      </c>
      <c r="I44" s="195">
        <f>$B44*$D44*D$20</f>
        <v>13.774228417315488</v>
      </c>
      <c r="J44" s="355">
        <f>SUMPRODUCT('Cost-Effectiveness Level'!$I$4:$J$4,H44:I44)</f>
        <v>13.371150996261413</v>
      </c>
      <c r="K44" s="195">
        <f t="shared" si="9"/>
        <v>5.459694167589298</v>
      </c>
      <c r="L44" s="195">
        <f t="shared" si="9"/>
        <v>5.699680724406409</v>
      </c>
      <c r="M44" s="355">
        <f>SUMPRODUCT('Cost-Effectiveness Level'!$I$4:$J$4,K44:L44)</f>
        <v>5.532890067418517</v>
      </c>
      <c r="N44" s="194"/>
      <c r="O44" s="300" t="str">
        <f aca="true" t="shared" si="17" ref="O44:O53">O23</f>
        <v>FLOOR R19</v>
      </c>
      <c r="P44" s="289">
        <f aca="true" t="shared" si="18" ref="P44:P53">P43-Q44</f>
        <v>3223.624533291312</v>
      </c>
      <c r="Q44" s="144">
        <f t="shared" si="13"/>
        <v>236.4836842105263</v>
      </c>
      <c r="R44" s="193">
        <f t="shared" si="13"/>
        <v>2912</v>
      </c>
      <c r="S44" s="193">
        <f>SUM(R$43:R44)</f>
        <v>6042.4</v>
      </c>
      <c r="T44" s="195">
        <f ca="1" t="shared" si="10"/>
        <v>71177.85657309719</v>
      </c>
      <c r="U44" s="144">
        <f t="shared" si="11"/>
        <v>5931.488047758099</v>
      </c>
      <c r="V44" s="226">
        <f t="shared" si="14"/>
        <v>8634.350479001456</v>
      </c>
      <c r="W44" s="300" t="str">
        <f aca="true" t="shared" si="19" ref="W44:W56">W20</f>
        <v>ATTIC R19</v>
      </c>
      <c r="X44" s="148">
        <f aca="true" t="shared" si="20" ref="X44:X56">X43-Y44</f>
        <v>4209.678196022102</v>
      </c>
      <c r="Y44" s="148">
        <f t="shared" si="15"/>
        <v>221.24400000000003</v>
      </c>
      <c r="Z44" s="193">
        <f t="shared" si="15"/>
        <v>1847.28</v>
      </c>
      <c r="AA44" s="193">
        <f>SUM(Z$43:Z44)</f>
        <v>3439.14</v>
      </c>
      <c r="AB44" s="195">
        <f ca="1">IF(ISNA(INDEX($BA$4:$BB71,MATCH(X44,$BA$4:$BA$74,0),1)),TREND(OFFSET(INDEX($BA$4:$BB71,MATCH(X44,$BA$4:$BA$74,-1),2),0,0,2,1),OFFSET(INDEX($BA$4:$BB71,MATCH(X44,$BA$4:$BA$74,-1),1),0,0,2,1),X44),INDEX($BA$4:$BB71,MATCH(X44,$BA$4:$BA$74,0),2))</f>
        <v>105765.5526407701</v>
      </c>
      <c r="AC44" s="148">
        <f t="shared" si="12"/>
        <v>8813.796053397507</v>
      </c>
      <c r="AD44" s="205">
        <f t="shared" si="16"/>
        <v>8388.374569294538</v>
      </c>
      <c r="AE44" s="191"/>
      <c r="AF44" s="191"/>
      <c r="AG44" s="191"/>
      <c r="AH44" s="191"/>
      <c r="AI44" s="191"/>
      <c r="AJ44" s="191"/>
      <c r="AK44" s="191"/>
      <c r="AL44" s="191"/>
      <c r="AN44" s="284">
        <v>48086.61002050982</v>
      </c>
      <c r="AO44" s="284">
        <v>55050.6299443305</v>
      </c>
      <c r="AP44" s="284">
        <v>84094.16935247584</v>
      </c>
      <c r="AQ44" s="284">
        <v>99263.90272487549</v>
      </c>
      <c r="AR44" s="178">
        <v>3000</v>
      </c>
      <c r="AS44" s="179">
        <f t="shared" si="0"/>
        <v>63129.374450629955</v>
      </c>
      <c r="AW44" s="284">
        <v>46679.314386170525</v>
      </c>
      <c r="AX44" s="284">
        <v>53448.49106358043</v>
      </c>
      <c r="AY44" s="284">
        <v>82046.9088778201</v>
      </c>
      <c r="AZ44" s="284">
        <v>97004.04336360973</v>
      </c>
      <c r="BA44" s="178">
        <v>3000</v>
      </c>
      <c r="BB44" s="179">
        <f t="shared" si="1"/>
        <v>61422.03779665983</v>
      </c>
    </row>
    <row r="45" spans="1:54" ht="12.75">
      <c r="A45" s="341" t="s">
        <v>291</v>
      </c>
      <c r="B45" s="342">
        <f>'ResWX Base Case'!B3</f>
        <v>0.21150965275352854</v>
      </c>
      <c r="C45" s="343">
        <f>B6</f>
        <v>0.1543716268311488</v>
      </c>
      <c r="D45" s="351">
        <f>B7</f>
        <v>0.094</v>
      </c>
      <c r="E45" s="264">
        <f>$B45*$C45*C$6</f>
        <v>165.99813742189636</v>
      </c>
      <c r="F45" s="195">
        <f>$B45*$C45*D$6</f>
        <v>275.3139840168037</v>
      </c>
      <c r="G45" s="355">
        <f>SUMPRODUCT('Cost-Effectiveness Level'!$I$4:$J$4,E45:F45)</f>
        <v>199.3394706333431</v>
      </c>
      <c r="H45" s="195">
        <f>$B45*$D45*C$6</f>
        <v>101.07961701230028</v>
      </c>
      <c r="I45" s="195">
        <f>$B45*$D45*D$6</f>
        <v>167.64424284966876</v>
      </c>
      <c r="J45" s="355">
        <f>SUMPRODUCT('Cost-Effectiveness Level'!$I$4:$J$4,H45:I45)</f>
        <v>121.38182789269766</v>
      </c>
      <c r="K45" s="195">
        <f t="shared" si="9"/>
        <v>64.91852040959608</v>
      </c>
      <c r="L45" s="195">
        <f t="shared" si="9"/>
        <v>107.66974116713496</v>
      </c>
      <c r="M45" s="355">
        <f>SUMPRODUCT('Cost-Effectiveness Level'!$I$4:$J$4,K45:L45)</f>
        <v>77.95764274064544</v>
      </c>
      <c r="N45"/>
      <c r="O45" s="300" t="str">
        <f t="shared" si="17"/>
        <v>WALL R11</v>
      </c>
      <c r="P45" s="289">
        <f t="shared" si="18"/>
        <v>2916.6951824817515</v>
      </c>
      <c r="Q45" s="144">
        <f t="shared" si="13"/>
        <v>306.9293508095605</v>
      </c>
      <c r="R45" s="193">
        <f t="shared" si="13"/>
        <v>4118.04</v>
      </c>
      <c r="S45" s="193">
        <f>SUM(R$43:R45)</f>
        <v>10160.439999999999</v>
      </c>
      <c r="T45" s="195">
        <f ca="1" t="shared" si="10"/>
        <v>60162.241417876634</v>
      </c>
      <c r="U45" s="144">
        <f t="shared" si="11"/>
        <v>5013.520118156386</v>
      </c>
      <c r="V45" s="226">
        <f t="shared" si="14"/>
        <v>11015.615155220556</v>
      </c>
      <c r="W45" s="300" t="str">
        <f t="shared" si="19"/>
        <v>FLOOR R19</v>
      </c>
      <c r="X45" s="148">
        <f t="shared" si="20"/>
        <v>3962.799624593531</v>
      </c>
      <c r="Y45" s="148">
        <f t="shared" si="15"/>
        <v>246.87857142857138</v>
      </c>
      <c r="Z45" s="193">
        <f t="shared" si="15"/>
        <v>3040</v>
      </c>
      <c r="AA45" s="193">
        <f>SUM(Z$43:Z45)</f>
        <v>6479.139999999999</v>
      </c>
      <c r="AB45" s="195">
        <f ca="1">IF(ISNA(INDEX($BA$4:$BB72,MATCH(X45,$BA$4:$BA$74,0),1)),TREND(OFFSET(INDEX($BA$4:$BB72,MATCH(X45,$BA$4:$BA$74,-1),2),0,0,2,1),OFFSET(INDEX($BA$4:$BB72,MATCH(X45,$BA$4:$BA$74,-1),1),0,0,2,1),X45),INDEX($BA$4:$BB72,MATCH(X45,$BA$4:$BA$74,0),2))</f>
        <v>96489.34634674196</v>
      </c>
      <c r="AC45" s="148">
        <f t="shared" si="12"/>
        <v>8040.778862228497</v>
      </c>
      <c r="AD45" s="205">
        <f t="shared" si="16"/>
        <v>9276.206294028132</v>
      </c>
      <c r="AE45" s="191"/>
      <c r="AF45" s="191"/>
      <c r="AG45" s="191"/>
      <c r="AH45" s="191"/>
      <c r="AI45" s="191"/>
      <c r="AJ45" s="191"/>
      <c r="AK45" s="191"/>
      <c r="AL45" s="191"/>
      <c r="AN45" s="284">
        <v>46650.5713448579</v>
      </c>
      <c r="AO45" s="284">
        <v>53405.56694989746</v>
      </c>
      <c r="AP45" s="284">
        <v>81903.89686492822</v>
      </c>
      <c r="AQ45" s="284">
        <v>96736.21447406974</v>
      </c>
      <c r="AR45" s="178">
        <v>2950</v>
      </c>
      <c r="AS45" s="179">
        <f t="shared" si="0"/>
        <v>61345.68268385585</v>
      </c>
      <c r="AW45" s="284">
        <v>45249.95605039555</v>
      </c>
      <c r="AX45" s="284">
        <v>51822.85379431585</v>
      </c>
      <c r="AY45" s="284">
        <v>79870.61236448873</v>
      </c>
      <c r="AZ45" s="284">
        <v>94496.65983006153</v>
      </c>
      <c r="BA45" s="178">
        <v>2950</v>
      </c>
      <c r="BB45" s="179">
        <f t="shared" si="1"/>
        <v>59653.904189862296</v>
      </c>
    </row>
    <row r="46" spans="1:54" ht="13.5" thickBot="1">
      <c r="A46" s="344" t="s">
        <v>292</v>
      </c>
      <c r="B46" s="345">
        <f>'ResWX Base Case'!B2</f>
        <v>0.28041430745560353</v>
      </c>
      <c r="C46" s="349">
        <f>B26</f>
        <v>1.094890510948905</v>
      </c>
      <c r="D46" s="352">
        <v>0.34</v>
      </c>
      <c r="E46" s="356">
        <f>$B46*$C46*C$25</f>
        <v>350.006179378892</v>
      </c>
      <c r="F46" s="346">
        <f>$B46*$C46*D$25</f>
        <v>382.85763656620907</v>
      </c>
      <c r="G46" s="357">
        <f>SUMPRODUCT('Cost-Effectiveness Level'!$I$4:$J$4,E46:F46)</f>
        <v>360.0258738210237</v>
      </c>
      <c r="H46" s="346">
        <f>$B46*$D46*C$25</f>
        <v>108.68858556979193</v>
      </c>
      <c r="I46" s="346">
        <f>$B46*$D46*D$25</f>
        <v>118.89005807502679</v>
      </c>
      <c r="J46" s="357">
        <f>SUMPRODUCT('Cost-Effectiveness Level'!$I$4:$J$4,H46:I46)</f>
        <v>111.80003468388855</v>
      </c>
      <c r="K46" s="346">
        <f t="shared" si="9"/>
        <v>241.31759380910006</v>
      </c>
      <c r="L46" s="346">
        <f t="shared" si="9"/>
        <v>263.9675784911823</v>
      </c>
      <c r="M46" s="357">
        <f>SUMPRODUCT('Cost-Effectiveness Level'!$I$4:$J$4,K46:L46)</f>
        <v>248.22583913713515</v>
      </c>
      <c r="O46" s="300" t="str">
        <f t="shared" si="17"/>
        <v>ATTIC R38</v>
      </c>
      <c r="P46" s="289">
        <f t="shared" si="18"/>
        <v>2840.2551824817515</v>
      </c>
      <c r="Q46" s="144">
        <f t="shared" si="13"/>
        <v>76.44</v>
      </c>
      <c r="R46" s="193">
        <f t="shared" si="13"/>
        <v>1201.2</v>
      </c>
      <c r="S46" s="193">
        <f>SUM(R$43:R46)</f>
        <v>11361.64</v>
      </c>
      <c r="T46" s="195">
        <f ca="1" t="shared" si="10"/>
        <v>57452.16692512413</v>
      </c>
      <c r="U46" s="144">
        <f t="shared" si="11"/>
        <v>4787.680577093678</v>
      </c>
      <c r="V46" s="226">
        <f t="shared" si="14"/>
        <v>2710.074492752501</v>
      </c>
      <c r="W46" s="300" t="str">
        <f t="shared" si="19"/>
        <v>WALL R11</v>
      </c>
      <c r="X46" s="148">
        <f t="shared" si="20"/>
        <v>3453.7460671532845</v>
      </c>
      <c r="Y46" s="148">
        <f t="shared" si="15"/>
        <v>509.0535574402468</v>
      </c>
      <c r="Z46" s="193">
        <f t="shared" si="15"/>
        <v>6829.92</v>
      </c>
      <c r="AA46" s="193">
        <f>SUM(Z$43:Z46)</f>
        <v>13309.06</v>
      </c>
      <c r="AB46" s="195">
        <f ca="1">IF(ISNA(INDEX($BA$4:$BB73,MATCH(X46,$BA$4:$BA$74,0),1)),TREND(OFFSET(INDEX($BA$4:$BB73,MATCH(X46,$BA$4:$BA$74,-1),2),0,0,2,1),OFFSET(INDEX($BA$4:$BB73,MATCH(X46,$BA$4:$BA$74,-1),1),0,0,2,1),X46),INDEX($BA$4:$BB73,MATCH(X46,$BA$4:$BA$74,0),2))</f>
        <v>77718.48274555083</v>
      </c>
      <c r="AC46" s="148">
        <f t="shared" si="12"/>
        <v>6476.540228795903</v>
      </c>
      <c r="AD46" s="205">
        <f t="shared" si="16"/>
        <v>18770.86360119113</v>
      </c>
      <c r="AE46" s="191"/>
      <c r="AF46" s="191"/>
      <c r="AG46" s="191"/>
      <c r="AH46" s="191"/>
      <c r="AI46" s="191"/>
      <c r="AJ46" s="191"/>
      <c r="AK46" s="191"/>
      <c r="AL46" s="191"/>
      <c r="AN46" s="284">
        <v>45216.17345443891</v>
      </c>
      <c r="AO46" s="284">
        <v>51773.01494286551</v>
      </c>
      <c r="AP46" s="284">
        <v>79713.85877527103</v>
      </c>
      <c r="AQ46" s="284">
        <v>94215.8804570759</v>
      </c>
      <c r="AR46" s="178">
        <v>2900</v>
      </c>
      <c r="AS46" s="179">
        <f t="shared" si="0"/>
        <v>59569.00087899208</v>
      </c>
      <c r="AW46" s="284">
        <v>43825.19777322004</v>
      </c>
      <c r="AX46" s="284">
        <v>50199.82420158219</v>
      </c>
      <c r="AY46" s="284">
        <v>77699.79490184589</v>
      </c>
      <c r="AZ46" s="284">
        <v>92001.40638734252</v>
      </c>
      <c r="BA46" s="178">
        <v>2900</v>
      </c>
      <c r="BB46" s="179">
        <f t="shared" si="1"/>
        <v>57889.9707002637</v>
      </c>
    </row>
    <row r="47" spans="1:54" ht="13.5" thickBot="1">
      <c r="A47" s="347" t="s">
        <v>293</v>
      </c>
      <c r="B47" s="360">
        <f>SUM(B42:B46)</f>
        <v>1</v>
      </c>
      <c r="C47" s="348"/>
      <c r="D47" s="353"/>
      <c r="E47" s="358">
        <f>SUM(E42:E46)</f>
        <v>641.4114835878971</v>
      </c>
      <c r="F47" s="348">
        <f>SUM(F42:F46)</f>
        <v>764.7969047311404</v>
      </c>
      <c r="G47" s="359">
        <f>SUMPRODUCT('Cost-Effectiveness Level'!$I$4:$J$4,E47:F47)</f>
        <v>679.0440370365864</v>
      </c>
      <c r="H47" s="348">
        <f>SUM(H42:H46)</f>
        <v>278.34945053373485</v>
      </c>
      <c r="I47" s="348">
        <f>SUM(I42:I46)</f>
        <v>342.33882360232013</v>
      </c>
      <c r="J47" s="359">
        <f>SUMPRODUCT('Cost-Effectiveness Level'!$I$4:$J$4,H47:I47)</f>
        <v>297.86620931965336</v>
      </c>
      <c r="K47" s="348">
        <f t="shared" si="9"/>
        <v>363.06203305416227</v>
      </c>
      <c r="L47" s="348">
        <f t="shared" si="9"/>
        <v>422.4580811288203</v>
      </c>
      <c r="M47" s="359">
        <f>SUMPRODUCT('Cost-Effectiveness Level'!$I$4:$J$4,K47:L47)</f>
        <v>381.177827716933</v>
      </c>
      <c r="N47" s="194"/>
      <c r="O47" s="300" t="str">
        <f t="shared" si="17"/>
        <v>FLOOR R30</v>
      </c>
      <c r="P47" s="289">
        <f t="shared" si="18"/>
        <v>2796.5751824817517</v>
      </c>
      <c r="Q47" s="144">
        <f t="shared" si="13"/>
        <v>43.68</v>
      </c>
      <c r="R47" s="193">
        <f t="shared" si="13"/>
        <v>728</v>
      </c>
      <c r="S47" s="193">
        <f>SUM(R$43:R47)</f>
        <v>12089.64</v>
      </c>
      <c r="T47" s="195">
        <f ca="1" t="shared" si="10"/>
        <v>55909.427262699144</v>
      </c>
      <c r="U47" s="144">
        <f t="shared" si="11"/>
        <v>4659.118938558262</v>
      </c>
      <c r="V47" s="226">
        <f t="shared" si="14"/>
        <v>1542.7396624249886</v>
      </c>
      <c r="W47" s="300" t="str">
        <f t="shared" si="19"/>
        <v>ATTIC R38</v>
      </c>
      <c r="X47" s="148">
        <f t="shared" si="20"/>
        <v>3408.6380671532843</v>
      </c>
      <c r="Y47" s="148">
        <f t="shared" si="15"/>
        <v>45.10799999999999</v>
      </c>
      <c r="Z47" s="193">
        <f t="shared" si="15"/>
        <v>708.84</v>
      </c>
      <c r="AA47" s="193">
        <f>SUM(Z$43:Z47)</f>
        <v>14017.9</v>
      </c>
      <c r="AB47" s="195">
        <f ca="1">IF(ISNA(INDEX($BA$4:$BB74,MATCH(X47,$BA$4:$BA$74,0),1)),TREND(OFFSET(INDEX($BA$4:$BB74,MATCH(X47,$BA$4:$BA$74,-1),2),0,0,2,1),OFFSET(INDEX($BA$4:$BB74,MATCH(X47,$BA$4:$BA$74,-1),1),0,0,2,1),X47),INDEX($BA$4:$BB74,MATCH(X47,$BA$4:$BA$74,0),2))</f>
        <v>76082.07389187234</v>
      </c>
      <c r="AC47" s="148">
        <f t="shared" si="12"/>
        <v>6340.172824322694</v>
      </c>
      <c r="AD47" s="205">
        <f t="shared" si="16"/>
        <v>1636.4088536784984</v>
      </c>
      <c r="AE47" s="191"/>
      <c r="AF47" s="191"/>
      <c r="AG47" s="191"/>
      <c r="AH47" s="191"/>
      <c r="AI47" s="191"/>
      <c r="AJ47" s="191"/>
      <c r="AK47" s="191"/>
      <c r="AL47" s="192"/>
      <c r="AN47" s="284">
        <v>43786.141224728985</v>
      </c>
      <c r="AO47" s="284">
        <v>50143.68590682684</v>
      </c>
      <c r="AP47" s="284">
        <v>77529.70993261061</v>
      </c>
      <c r="AQ47" s="284">
        <v>91699.38470553765</v>
      </c>
      <c r="AR47" s="178">
        <v>2850</v>
      </c>
      <c r="AS47" s="179">
        <f t="shared" si="0"/>
        <v>57796.46791678876</v>
      </c>
      <c r="AW47" s="284">
        <v>42399.00380896572</v>
      </c>
      <c r="AX47" s="284">
        <v>48583.47494872546</v>
      </c>
      <c r="AY47" s="284">
        <v>75537.91385877527</v>
      </c>
      <c r="AZ47" s="284">
        <v>89515.38236155875</v>
      </c>
      <c r="BA47" s="178">
        <v>2850</v>
      </c>
      <c r="BB47" s="179">
        <f t="shared" si="1"/>
        <v>56131.78581892763</v>
      </c>
    </row>
    <row r="48" spans="14:54" ht="12.75">
      <c r="N48" s="194"/>
      <c r="O48" s="300" t="str">
        <f t="shared" si="17"/>
        <v>CLASS 35 PRIME WINDOW (Energy Star)</v>
      </c>
      <c r="P48" s="289">
        <f t="shared" si="18"/>
        <v>1936</v>
      </c>
      <c r="Q48" s="144">
        <f t="shared" si="13"/>
        <v>860.5751824817518</v>
      </c>
      <c r="R48" s="193">
        <f t="shared" si="13"/>
        <v>18251.4</v>
      </c>
      <c r="S48" s="193">
        <f>SUM(R$43:R48)</f>
        <v>30341.04</v>
      </c>
      <c r="T48" s="195">
        <f ca="1" t="shared" si="10"/>
        <v>27064.171755054216</v>
      </c>
      <c r="U48" s="144">
        <f t="shared" si="11"/>
        <v>2255.347646254518</v>
      </c>
      <c r="V48" s="226">
        <f t="shared" si="14"/>
        <v>28845.255507644928</v>
      </c>
      <c r="W48" s="300" t="str">
        <f t="shared" si="19"/>
        <v>FLOOR R30</v>
      </c>
      <c r="X48" s="148">
        <f t="shared" si="20"/>
        <v>3363.0380671532844</v>
      </c>
      <c r="Y48" s="148">
        <f t="shared" si="15"/>
        <v>45.6</v>
      </c>
      <c r="Z48" s="193">
        <f t="shared" si="15"/>
        <v>760</v>
      </c>
      <c r="AA48" s="193">
        <f>SUM(Z$43:Z48)</f>
        <v>14777.9</v>
      </c>
      <c r="AB48" s="195">
        <f ca="1">IF(ISNA(INDEX($BA$4:$BB75,MATCH(X48,$BA$4:$BA$74,0),1)),TREND(OFFSET(INDEX($BA$4:$BB75,MATCH(X48,$BA$4:$BA$74,-1),2),0,0,2,1),OFFSET(INDEX($BA$4:$BB75,MATCH(X48,$BA$4:$BA$74,-1),1),0,0,2,1),X48),INDEX($BA$4:$BB75,MATCH(X48,$BA$4:$BA$74,0),2))</f>
        <v>74428.33501905222</v>
      </c>
      <c r="AC48" s="148">
        <f t="shared" si="12"/>
        <v>6202.361251587685</v>
      </c>
      <c r="AD48" s="205">
        <f t="shared" si="16"/>
        <v>1653.7388728201186</v>
      </c>
      <c r="AE48" s="191"/>
      <c r="AF48" s="191"/>
      <c r="AG48" s="191"/>
      <c r="AH48" s="191"/>
      <c r="AI48" s="191"/>
      <c r="AJ48" s="191"/>
      <c r="AK48" s="191"/>
      <c r="AL48" s="192"/>
      <c r="AN48" s="284">
        <v>42358.80457075887</v>
      </c>
      <c r="AO48" s="284">
        <v>48520.21681804864</v>
      </c>
      <c r="AP48" s="284">
        <v>75354.79050688545</v>
      </c>
      <c r="AQ48" s="284">
        <v>89186.31702314681</v>
      </c>
      <c r="AR48" s="178">
        <v>2800</v>
      </c>
      <c r="AS48" s="179">
        <f t="shared" si="0"/>
        <v>56029.882801054795</v>
      </c>
      <c r="AW48" s="284">
        <v>40979.69528274246</v>
      </c>
      <c r="AX48" s="284">
        <v>46984.14884266042</v>
      </c>
      <c r="AY48" s="284">
        <v>73388.30940521535</v>
      </c>
      <c r="AZ48" s="284">
        <v>87033.87049516554</v>
      </c>
      <c r="BA48" s="178">
        <v>2800</v>
      </c>
      <c r="BB48" s="179">
        <f t="shared" si="1"/>
        <v>54386.78435394082</v>
      </c>
    </row>
    <row r="49" spans="14:54" ht="12.75">
      <c r="N49" s="194"/>
      <c r="O49" s="300" t="str">
        <f t="shared" si="17"/>
        <v>FLOOR R38</v>
      </c>
      <c r="P49" s="289">
        <f t="shared" si="18"/>
        <v>1921.44</v>
      </c>
      <c r="Q49" s="144">
        <f t="shared" si="13"/>
        <v>14.56</v>
      </c>
      <c r="R49" s="193">
        <f t="shared" si="13"/>
        <v>473.2</v>
      </c>
      <c r="S49" s="193">
        <f>SUM(R$43:R49)</f>
        <v>30814.24</v>
      </c>
      <c r="T49" s="195">
        <f ca="1" t="shared" si="10"/>
        <v>26604.20202988574</v>
      </c>
      <c r="U49" s="144">
        <f t="shared" si="11"/>
        <v>2217.0168358238116</v>
      </c>
      <c r="V49" s="226">
        <f t="shared" si="14"/>
        <v>459.96972516847745</v>
      </c>
      <c r="W49" s="300" t="str">
        <f t="shared" si="19"/>
        <v>CLASS 35 PRIME WINDOW (Energy Star)</v>
      </c>
      <c r="X49" s="148">
        <f t="shared" si="20"/>
        <v>2421.6895999999997</v>
      </c>
      <c r="Y49" s="148">
        <f t="shared" si="15"/>
        <v>941.3484671532847</v>
      </c>
      <c r="Z49" s="193">
        <f t="shared" si="15"/>
        <v>19964.47</v>
      </c>
      <c r="AA49" s="193">
        <f>SUM(Z$43:Z49)</f>
        <v>34742.37</v>
      </c>
      <c r="AB49" s="195">
        <f ca="1">IF(ISNA(INDEX($BA$4:$BB76,MATCH(X49,$BA$4:$BA$74,0),1)),TREND(OFFSET(INDEX($BA$4:$BB76,MATCH(X49,$BA$4:$BA$74,-1),2),0,0,2,1),OFFSET(INDEX($BA$4:$BB76,MATCH(X49,$BA$4:$BA$74,-1),1),0,0,2,1),X49),INDEX($BA$4:$BB76,MATCH(X49,$BA$4:$BA$74,0),2))</f>
        <v>41507.82093810741</v>
      </c>
      <c r="AC49" s="148">
        <f t="shared" si="12"/>
        <v>3458.9850781756177</v>
      </c>
      <c r="AD49" s="205">
        <f t="shared" si="16"/>
        <v>32920.514080944806</v>
      </c>
      <c r="AE49" s="191"/>
      <c r="AF49" s="191"/>
      <c r="AG49" s="191"/>
      <c r="AH49" s="191"/>
      <c r="AI49" s="191"/>
      <c r="AJ49" s="191"/>
      <c r="AK49" s="191"/>
      <c r="AL49" s="192"/>
      <c r="AN49" s="284">
        <v>40939.5839437445</v>
      </c>
      <c r="AO49" s="284">
        <v>46905.186053325524</v>
      </c>
      <c r="AP49" s="284">
        <v>73186.14122472898</v>
      </c>
      <c r="AQ49" s="284">
        <v>86685.37943158513</v>
      </c>
      <c r="AR49" s="178">
        <v>2750</v>
      </c>
      <c r="AS49" s="179">
        <f t="shared" si="0"/>
        <v>54271.31409317317</v>
      </c>
      <c r="AW49" s="284">
        <v>39566.53970114269</v>
      </c>
      <c r="AX49" s="284">
        <v>45393.96425432171</v>
      </c>
      <c r="AY49" s="284">
        <v>71250.74714327572</v>
      </c>
      <c r="AZ49" s="284">
        <v>84558.042777615</v>
      </c>
      <c r="BA49" s="178">
        <v>2750</v>
      </c>
      <c r="BB49" s="179">
        <f t="shared" si="1"/>
        <v>52650.87899208908</v>
      </c>
    </row>
    <row r="50" spans="14:54" ht="13.5" thickBot="1">
      <c r="N50" s="194"/>
      <c r="O50" s="300" t="str">
        <f t="shared" si="17"/>
        <v>ATTIC R49</v>
      </c>
      <c r="P50" s="289">
        <f t="shared" si="18"/>
        <v>1903.24</v>
      </c>
      <c r="Q50" s="144">
        <f t="shared" si="13"/>
        <v>18.2</v>
      </c>
      <c r="R50" s="193">
        <f t="shared" si="13"/>
        <v>655.2</v>
      </c>
      <c r="S50" s="193">
        <f>SUM(R$43:R50)</f>
        <v>31469.440000000002</v>
      </c>
      <c r="T50" s="195">
        <f ca="1" t="shared" si="10"/>
        <v>26029.23987342514</v>
      </c>
      <c r="U50" s="144">
        <f t="shared" si="11"/>
        <v>2169.103322785428</v>
      </c>
      <c r="V50" s="226">
        <f t="shared" si="14"/>
        <v>574.9621564605986</v>
      </c>
      <c r="W50" s="300" t="str">
        <f t="shared" si="19"/>
        <v>FLOOR R38</v>
      </c>
      <c r="X50" s="148">
        <f t="shared" si="20"/>
        <v>2406.4896</v>
      </c>
      <c r="Y50" s="148">
        <f t="shared" si="15"/>
        <v>15.2</v>
      </c>
      <c r="Z50" s="193">
        <f t="shared" si="15"/>
        <v>494</v>
      </c>
      <c r="AA50" s="193">
        <f>SUM(Z$43:Z50)</f>
        <v>35236.37</v>
      </c>
      <c r="AB50" s="195">
        <f ca="1">IF(ISNA(INDEX($BA$4:$BB77,MATCH(X50,$BA$4:$BA$74,0),1)),TREND(OFFSET(INDEX($BA$4:$BB77,MATCH(X50,$BA$4:$BA$74,-1),2),0,0,2,1),OFFSET(INDEX($BA$4:$BB77,MATCH(X50,$BA$4:$BA$74,-1),1),0,0,2,1),X50),INDEX($BA$4:$BB77,MATCH(X50,$BA$4:$BA$74,0),2))</f>
        <v>41001.4819049995</v>
      </c>
      <c r="AC50" s="148">
        <f t="shared" si="12"/>
        <v>3416.790158749958</v>
      </c>
      <c r="AD50" s="205">
        <f t="shared" si="16"/>
        <v>506.33903310791356</v>
      </c>
      <c r="AE50" s="192"/>
      <c r="AF50" s="192"/>
      <c r="AG50" s="192"/>
      <c r="AH50" s="192"/>
      <c r="AI50" s="192"/>
      <c r="AJ50" s="192"/>
      <c r="AK50" s="192"/>
      <c r="AN50" s="284">
        <v>39520.27541752125</v>
      </c>
      <c r="AO50" s="284">
        <v>45292.001171989454</v>
      </c>
      <c r="AP50" s="284">
        <v>71025.8130676824</v>
      </c>
      <c r="AQ50" s="284">
        <v>84194.69674772928</v>
      </c>
      <c r="AR50" s="178">
        <v>2700</v>
      </c>
      <c r="AS50" s="179">
        <f t="shared" si="0"/>
        <v>52516.24377380604</v>
      </c>
      <c r="AW50" s="284">
        <v>38158.62877234105</v>
      </c>
      <c r="AX50" s="284">
        <v>43818.86903017873</v>
      </c>
      <c r="AY50" s="284">
        <v>69119.7187225315</v>
      </c>
      <c r="AZ50" s="284">
        <v>82099.09170817463</v>
      </c>
      <c r="BA50" s="178">
        <v>2700</v>
      </c>
      <c r="BB50" s="179">
        <f t="shared" si="1"/>
        <v>50926.04453559918</v>
      </c>
    </row>
    <row r="51" spans="1:54" ht="13.5" thickBot="1">
      <c r="A51" s="213" t="s">
        <v>302</v>
      </c>
      <c r="B51" s="214"/>
      <c r="C51" s="215"/>
      <c r="N51" s="194"/>
      <c r="O51" s="300" t="str">
        <f t="shared" si="17"/>
        <v>INFILTRATION @ 0.35 ACH</v>
      </c>
      <c r="P51" s="289">
        <f t="shared" si="18"/>
        <v>1732.888</v>
      </c>
      <c r="Q51" s="144">
        <f t="shared" si="13"/>
        <v>170.35199999999998</v>
      </c>
      <c r="R51" s="193">
        <f t="shared" si="13"/>
        <v>6600</v>
      </c>
      <c r="S51" s="193">
        <f>SUM(R$43:R51)</f>
        <v>38069.44</v>
      </c>
      <c r="T51" s="195">
        <f ca="1" t="shared" si="10"/>
        <v>20804.951984060914</v>
      </c>
      <c r="U51" s="144">
        <f t="shared" si="11"/>
        <v>1733.7459986717429</v>
      </c>
      <c r="V51" s="226">
        <f t="shared" si="14"/>
        <v>5224.287889364226</v>
      </c>
      <c r="W51" s="300" t="str">
        <f t="shared" si="19"/>
        <v>ATTIC R49</v>
      </c>
      <c r="X51" s="148">
        <f t="shared" si="20"/>
        <v>2395.7496</v>
      </c>
      <c r="Y51" s="148">
        <f t="shared" si="15"/>
        <v>10.74</v>
      </c>
      <c r="Z51" s="193">
        <f t="shared" si="15"/>
        <v>386.64</v>
      </c>
      <c r="AA51" s="193">
        <f>SUM(Z$43:Z51)</f>
        <v>35623.01</v>
      </c>
      <c r="AB51" s="195">
        <f ca="1">IF(ISNA(INDEX($BA$4:$BB78,MATCH(X51,$BA$4:$BA$74,0),1)),TREND(OFFSET(INDEX($BA$4:$BB78,MATCH(X51,$BA$4:$BA$74,-1),2),0,0,2,1),OFFSET(INDEX($BA$4:$BB78,MATCH(X51,$BA$4:$BA$74,-1),1),0,0,2,1),X51),INDEX($BA$4:$BB78,MATCH(X51,$BA$4:$BA$74,0),2))</f>
        <v>40644.73509402836</v>
      </c>
      <c r="AC51" s="148">
        <f t="shared" si="12"/>
        <v>3387.0612578356963</v>
      </c>
      <c r="AD51" s="205">
        <f t="shared" si="16"/>
        <v>356.7468109711408</v>
      </c>
      <c r="AE51" s="192"/>
      <c r="AF51" s="192"/>
      <c r="AG51" s="192"/>
      <c r="AH51" s="192"/>
      <c r="AI51" s="192"/>
      <c r="AJ51" s="192"/>
      <c r="AK51" s="192"/>
      <c r="AN51" s="284">
        <v>38103.48666861998</v>
      </c>
      <c r="AO51" s="284">
        <v>43699.384705537654</v>
      </c>
      <c r="AP51" s="284">
        <v>68873.54233811896</v>
      </c>
      <c r="AQ51" s="284">
        <v>81713.88807500733</v>
      </c>
      <c r="AR51" s="178">
        <v>2650</v>
      </c>
      <c r="AS51" s="179">
        <f t="shared" si="0"/>
        <v>50774.469674772925</v>
      </c>
      <c r="AW51" s="284">
        <v>36760.70905361852</v>
      </c>
      <c r="AX51" s="284">
        <v>42250.952241429826</v>
      </c>
      <c r="AY51" s="284">
        <v>66999.8828010548</v>
      </c>
      <c r="AZ51" s="284">
        <v>79655.523000293</v>
      </c>
      <c r="BA51" s="178">
        <v>2650</v>
      </c>
      <c r="BB51" s="179">
        <f t="shared" si="1"/>
        <v>49210.36478171697</v>
      </c>
    </row>
    <row r="52" spans="1:54" ht="13.5" thickBot="1">
      <c r="A52" s="217" t="s">
        <v>244</v>
      </c>
      <c r="B52" s="218">
        <v>10920</v>
      </c>
      <c r="C52" s="234">
        <v>12492</v>
      </c>
      <c r="D52" s="240">
        <f>SUMPRODUCT('Cost-Effectiveness Level'!$I$4:$J$4,B52:C52)</f>
        <v>11399.46</v>
      </c>
      <c r="E52" s="240">
        <f>D52/12</f>
        <v>949.9549999999999</v>
      </c>
      <c r="N52" s="194"/>
      <c r="O52" s="300" t="str">
        <f t="shared" si="17"/>
        <v>CLASS 25 PRIME WINDOW </v>
      </c>
      <c r="P52" s="289">
        <f t="shared" si="18"/>
        <v>1624.588</v>
      </c>
      <c r="Q52" s="144">
        <f t="shared" si="13"/>
        <v>108.3</v>
      </c>
      <c r="R52" s="193">
        <f t="shared" si="13"/>
        <v>5472</v>
      </c>
      <c r="S52" s="193">
        <f>SUM(R$43:R52)</f>
        <v>43541.44</v>
      </c>
      <c r="T52" s="195">
        <f ca="1" t="shared" si="10"/>
        <v>17628.20604336361</v>
      </c>
      <c r="U52" s="144">
        <f t="shared" si="11"/>
        <v>1469.017170280301</v>
      </c>
      <c r="V52" s="226">
        <f t="shared" si="14"/>
        <v>3176.745940697303</v>
      </c>
      <c r="W52" s="300" t="str">
        <f t="shared" si="19"/>
        <v>INFILTRATION @ 0.35 ACH</v>
      </c>
      <c r="X52" s="148">
        <f t="shared" si="20"/>
        <v>2215.8648000000003</v>
      </c>
      <c r="Y52" s="148">
        <f t="shared" si="15"/>
        <v>179.88480000000004</v>
      </c>
      <c r="Z52" s="193">
        <f t="shared" si="15"/>
        <v>6600</v>
      </c>
      <c r="AA52" s="193">
        <f>SUM(Z$43:Z52)</f>
        <v>42223.01</v>
      </c>
      <c r="AB52" s="195">
        <f ca="1">IF(ISNA(INDEX($BA$4:$BB79,MATCH(X52,$BA$4:$BA$74,0),1)),TREND(OFFSET(INDEX($BA$4:$BB79,MATCH(X52,$BA$4:$BA$74,-1),2),0,0,2,1),OFFSET(INDEX($BA$4:$BB79,MATCH(X52,$BA$4:$BA$74,-1),1),0,0,2,1),X52),INDEX($BA$4:$BB79,MATCH(X52,$BA$4:$BA$74,0),2))</f>
        <v>34748.868051801874</v>
      </c>
      <c r="AC52" s="148">
        <f t="shared" si="12"/>
        <v>2895.739004316823</v>
      </c>
      <c r="AD52" s="205">
        <f t="shared" si="16"/>
        <v>5895.867042226484</v>
      </c>
      <c r="AE52" s="192"/>
      <c r="AF52" s="192"/>
      <c r="AG52" s="192"/>
      <c r="AH52" s="192"/>
      <c r="AI52" s="192"/>
      <c r="AJ52" s="192"/>
      <c r="AK52" s="192"/>
      <c r="AN52" s="284">
        <v>36696.542631116325</v>
      </c>
      <c r="AO52" s="284">
        <v>42115.55815997656</v>
      </c>
      <c r="AP52" s="284">
        <v>66731.67301494288</v>
      </c>
      <c r="AQ52" s="284">
        <v>79244.59419865221</v>
      </c>
      <c r="AR52" s="178">
        <v>2600</v>
      </c>
      <c r="AS52" s="179">
        <f t="shared" si="0"/>
        <v>49042.23556987987</v>
      </c>
      <c r="AW52" s="284">
        <v>35364.693817755644</v>
      </c>
      <c r="AX52" s="284">
        <v>40694.19865221213</v>
      </c>
      <c r="AY52" s="284">
        <v>64892.99736302374</v>
      </c>
      <c r="AZ52" s="284">
        <v>77219.71872253151</v>
      </c>
      <c r="BA52" s="178">
        <v>2600</v>
      </c>
      <c r="BB52" s="179">
        <f t="shared" si="1"/>
        <v>47504.2733665397</v>
      </c>
    </row>
    <row r="53" spans="1:54" ht="12.75">
      <c r="A53" s="155" t="s">
        <v>199</v>
      </c>
      <c r="B53" s="144">
        <f aca="true" t="shared" si="21" ref="B53:B59">VLOOKUP($A53,$A$6:$F$32,5,FALSE)</f>
        <v>784.8253508095605</v>
      </c>
      <c r="C53" s="216">
        <f aca="true" t="shared" si="22" ref="C53:C59">VLOOKUP($A53,$A$6:$F$32,6,FALSE)</f>
        <v>1301.6615574402467</v>
      </c>
      <c r="D53" s="239">
        <f>SUMPRODUCT('Cost-Effectiveness Level'!$I$4:$J$4,B53:C53)</f>
        <v>942.4603938319199</v>
      </c>
      <c r="K53"/>
      <c r="L53"/>
      <c r="M53"/>
      <c r="N53" s="194"/>
      <c r="O53" s="300" t="str">
        <f t="shared" si="17"/>
        <v>DOOR R5</v>
      </c>
      <c r="P53" s="289">
        <f t="shared" si="18"/>
        <v>1590.988</v>
      </c>
      <c r="Q53" s="144">
        <f t="shared" si="13"/>
        <v>33.6</v>
      </c>
      <c r="R53" s="193">
        <f t="shared" si="13"/>
        <v>1801.2</v>
      </c>
      <c r="S53" s="193">
        <f>SUM(R$43:R53)</f>
        <v>45342.64</v>
      </c>
      <c r="T53" s="195">
        <f ca="1" t="shared" si="10"/>
        <v>16666.760163609844</v>
      </c>
      <c r="U53" s="144">
        <f t="shared" si="11"/>
        <v>1388.8966803008204</v>
      </c>
      <c r="V53" s="226">
        <f t="shared" si="14"/>
        <v>961.4458797537663</v>
      </c>
      <c r="W53" s="300" t="str">
        <f t="shared" si="19"/>
        <v>CLASS 25 PRIME WINDOW </v>
      </c>
      <c r="X53" s="148">
        <f t="shared" si="20"/>
        <v>2097.3998</v>
      </c>
      <c r="Y53" s="148">
        <f t="shared" si="15"/>
        <v>118.465</v>
      </c>
      <c r="Z53" s="193">
        <f t="shared" si="15"/>
        <v>5985.6</v>
      </c>
      <c r="AA53" s="193">
        <f>SUM(Z$43:Z53)</f>
        <v>48208.61</v>
      </c>
      <c r="AB53" s="195">
        <f ca="1">IF(ISNA(INDEX($BA$4:$BB80,MATCH(X53,$BA$4:$BA$74,0),1)),TREND(OFFSET(INDEX($BA$4:$BB80,MATCH(X53,$BA$4:$BA$74,-1),2),0,0,2,1),OFFSET(INDEX($BA$4:$BB80,MATCH(X53,$BA$4:$BA$74,-1),1),0,0,2,1),X53),INDEX($BA$4:$BB80,MATCH(X53,$BA$4:$BA$74,0),2))</f>
        <v>30927.698289821972</v>
      </c>
      <c r="AC53" s="148">
        <f t="shared" si="12"/>
        <v>2577.3081908184977</v>
      </c>
      <c r="AD53" s="205">
        <f t="shared" si="16"/>
        <v>3821.1697619799015</v>
      </c>
      <c r="AN53" s="284">
        <v>35292.35276882508</v>
      </c>
      <c r="AO53" s="284">
        <v>40538.3240550835</v>
      </c>
      <c r="AP53" s="284">
        <v>64604.42426018166</v>
      </c>
      <c r="AQ53" s="284">
        <v>76782.39085848228</v>
      </c>
      <c r="AR53" s="178">
        <v>2550</v>
      </c>
      <c r="AS53" s="179">
        <f t="shared" si="0"/>
        <v>47317.858189276296</v>
      </c>
      <c r="AW53" s="284">
        <v>33979.60738353355</v>
      </c>
      <c r="AX53" s="284">
        <v>39156.7242894814</v>
      </c>
      <c r="AY53" s="284">
        <v>62791.47377673601</v>
      </c>
      <c r="AZ53" s="284">
        <v>74786.96161734544</v>
      </c>
      <c r="BA53" s="178">
        <v>2550</v>
      </c>
      <c r="BB53" s="179">
        <f t="shared" si="1"/>
        <v>45811.500146498685</v>
      </c>
    </row>
    <row r="54" spans="1:54" ht="12.75">
      <c r="A54" s="157" t="s">
        <v>200</v>
      </c>
      <c r="B54" s="148">
        <f t="shared" si="21"/>
        <v>593.32</v>
      </c>
      <c r="C54" s="205">
        <f t="shared" si="22"/>
        <v>350.124</v>
      </c>
      <c r="D54" s="236">
        <f>SUMPRODUCT('Cost-Effectiveness Level'!$I$4:$J$4,B54:C54)</f>
        <v>519.14522</v>
      </c>
      <c r="K54"/>
      <c r="L54"/>
      <c r="M54"/>
      <c r="O54"/>
      <c r="P54"/>
      <c r="Q54"/>
      <c r="R54"/>
      <c r="S54"/>
      <c r="T54"/>
      <c r="U54"/>
      <c r="V54"/>
      <c r="W54" s="300" t="str">
        <f t="shared" si="19"/>
        <v>DOOR R5</v>
      </c>
      <c r="X54" s="148">
        <f t="shared" si="20"/>
        <v>2030.1998</v>
      </c>
      <c r="Y54" s="148">
        <f t="shared" si="15"/>
        <v>67.2</v>
      </c>
      <c r="Z54" s="193">
        <f t="shared" si="15"/>
        <v>3602.4</v>
      </c>
      <c r="AA54" s="193">
        <f>SUM(Z$43:Z54)</f>
        <v>51811.01</v>
      </c>
      <c r="AB54" s="195">
        <f ca="1">IF(ISNA(INDEX($BA$4:$BB81,MATCH(X54,$BA$4:$BA$74,0),1)),TREND(OFFSET(INDEX($BA$4:$BB81,MATCH(X54,$BA$4:$BA$74,-1),2),0,0,2,1),OFFSET(INDEX($BA$4:$BB81,MATCH(X54,$BA$4:$BA$74,-1),1),0,0,2,1),X54),INDEX($BA$4:$BB81,MATCH(X54,$BA$4:$BA$74,0),2))</f>
        <v>28787.215310747117</v>
      </c>
      <c r="AC54" s="148">
        <f t="shared" si="12"/>
        <v>2398.9346092289265</v>
      </c>
      <c r="AD54" s="205">
        <f t="shared" si="16"/>
        <v>2140.4829790748554</v>
      </c>
      <c r="AN54" s="284">
        <v>33897.65602109581</v>
      </c>
      <c r="AO54" s="284">
        <v>38969.49897450923</v>
      </c>
      <c r="AP54" s="284">
        <v>62485.02783474949</v>
      </c>
      <c r="AQ54" s="284">
        <v>74332.93290360387</v>
      </c>
      <c r="AR54" s="178">
        <v>2500</v>
      </c>
      <c r="AS54" s="179">
        <f t="shared" si="0"/>
        <v>45602.18429534134</v>
      </c>
      <c r="AW54" s="284">
        <v>32608.26252563727</v>
      </c>
      <c r="AX54" s="284">
        <v>37627.219455024904</v>
      </c>
      <c r="AY54" s="284">
        <v>60695.75153823616</v>
      </c>
      <c r="AZ54" s="284">
        <v>72363.69762672136</v>
      </c>
      <c r="BA54" s="178">
        <v>2500</v>
      </c>
      <c r="BB54" s="179">
        <f t="shared" si="1"/>
        <v>44127.38499853502</v>
      </c>
    </row>
    <row r="55" spans="1:54" ht="12.75">
      <c r="A55" s="157" t="s">
        <v>233</v>
      </c>
      <c r="B55" s="148">
        <f t="shared" si="21"/>
        <v>0</v>
      </c>
      <c r="C55" s="205">
        <f t="shared" si="22"/>
        <v>327.627</v>
      </c>
      <c r="D55" s="236">
        <f>SUMPRODUCT('Cost-Effectiveness Level'!$I$4:$J$4,B55:C55)</f>
        <v>99.92623500000002</v>
      </c>
      <c r="K55"/>
      <c r="L55"/>
      <c r="M55"/>
      <c r="N55"/>
      <c r="O55"/>
      <c r="P55"/>
      <c r="Q55"/>
      <c r="R55"/>
      <c r="S55"/>
      <c r="T55"/>
      <c r="U55"/>
      <c r="V55"/>
      <c r="W55" s="300" t="str">
        <f t="shared" si="19"/>
        <v>VAULT R38</v>
      </c>
      <c r="X55" s="148">
        <f t="shared" si="20"/>
        <v>2020.9448</v>
      </c>
      <c r="Y55" s="148">
        <f t="shared" si="15"/>
        <v>9.25500000000001</v>
      </c>
      <c r="Z55" s="193">
        <f t="shared" si="15"/>
        <v>610.83</v>
      </c>
      <c r="AA55" s="193">
        <f>SUM(Z$43:Z55)</f>
        <v>52421.840000000004</v>
      </c>
      <c r="AB55" s="195">
        <f ca="1">IF(ISNA(INDEX($BA$4:$BB82,MATCH(X55,$BA$4:$BA$74,0),1)),TREND(OFFSET(INDEX($BA$4:$BB82,MATCH(X55,$BA$4:$BA$74,-1),2),0,0,2,1),OFFSET(INDEX($BA$4:$BB82,MATCH(X55,$BA$4:$BA$74,-1),1),0,0,2,1),X55),INDEX($BA$4:$BB82,MATCH(X55,$BA$4:$BA$74,0),2))</f>
        <v>28494.83513626724</v>
      </c>
      <c r="AC55" s="148">
        <f t="shared" si="12"/>
        <v>2374.569594688937</v>
      </c>
      <c r="AD55" s="205">
        <f t="shared" si="16"/>
        <v>292.3801744798766</v>
      </c>
      <c r="AN55" s="284">
        <v>32510.430706123647</v>
      </c>
      <c r="AO55" s="284">
        <v>37421.15440961032</v>
      </c>
      <c r="AP55" s="284">
        <v>60378.43539408146</v>
      </c>
      <c r="AQ55" s="284">
        <v>71900.26369762672</v>
      </c>
      <c r="AR55" s="178">
        <v>2450</v>
      </c>
      <c r="AS55" s="179">
        <f t="shared" si="0"/>
        <v>43902.28537943159</v>
      </c>
      <c r="AW55" s="284">
        <v>31246.26428362145</v>
      </c>
      <c r="AX55" s="284">
        <v>36104.39496044536</v>
      </c>
      <c r="AY55" s="284">
        <v>58607.3835335482</v>
      </c>
      <c r="AZ55" s="284">
        <v>69951.88983299151</v>
      </c>
      <c r="BA55" s="178">
        <v>2450</v>
      </c>
      <c r="BB55" s="179">
        <f t="shared" si="1"/>
        <v>42450.89071198359</v>
      </c>
    </row>
    <row r="56" spans="1:54" ht="12.75">
      <c r="A56" s="161" t="s">
        <v>201</v>
      </c>
      <c r="B56" s="148">
        <f t="shared" si="21"/>
        <v>385.7236842105263</v>
      </c>
      <c r="C56" s="205">
        <f t="shared" si="22"/>
        <v>402.6785714285714</v>
      </c>
      <c r="D56" s="236">
        <f>SUMPRODUCT('Cost-Effectiveness Level'!$I$4:$J$4,B56:C56)</f>
        <v>390.89492481203</v>
      </c>
      <c r="K56"/>
      <c r="L56"/>
      <c r="M56"/>
      <c r="N56"/>
      <c r="O56" s="160"/>
      <c r="P56" s="192"/>
      <c r="Q56" s="192"/>
      <c r="R56" s="202"/>
      <c r="S56" s="189"/>
      <c r="T56" s="189"/>
      <c r="U56" s="189"/>
      <c r="V56" s="189"/>
      <c r="W56" s="300" t="str">
        <f t="shared" si="19"/>
        <v>VAULT R49</v>
      </c>
      <c r="X56" s="148">
        <f t="shared" si="20"/>
        <v>2015.3917999999999</v>
      </c>
      <c r="Y56" s="148">
        <f t="shared" si="15"/>
        <v>5.553000000000004</v>
      </c>
      <c r="Z56" s="193">
        <f t="shared" si="15"/>
        <v>407.22</v>
      </c>
      <c r="AA56" s="193">
        <f>SUM(Z$43:Z56)</f>
        <v>52829.060000000005</v>
      </c>
      <c r="AB56" s="195">
        <f ca="1">IF(ISNA(INDEX($BA$4:$BB83,MATCH(X56,$BA$4:$BA$74,0),1)),TREND(OFFSET(INDEX($BA$4:$BB83,MATCH(X56,$BA$4:$BA$74,-1),2),0,0,2,1),OFFSET(INDEX($BA$4:$BB83,MATCH(X56,$BA$4:$BA$74,-1),1),0,0,2,1),X56),INDEX($BA$4:$BB83,MATCH(X56,$BA$4:$BA$74,0),2))</f>
        <v>28319.407031579307</v>
      </c>
      <c r="AC56" s="148">
        <f t="shared" si="12"/>
        <v>2359.950585964942</v>
      </c>
      <c r="AD56" s="205">
        <f t="shared" si="16"/>
        <v>175.42810468793323</v>
      </c>
      <c r="AN56" s="284">
        <v>31133.987694110754</v>
      </c>
      <c r="AO56" s="284">
        <v>35889.80369176678</v>
      </c>
      <c r="AP56" s="284">
        <v>58281.86346322884</v>
      </c>
      <c r="AQ56" s="284">
        <v>69474.27483152652</v>
      </c>
      <c r="AR56" s="178">
        <v>2400</v>
      </c>
      <c r="AS56" s="179">
        <f t="shared" si="0"/>
        <v>42215.87899208908</v>
      </c>
      <c r="AW56" s="284">
        <v>29900.615294462354</v>
      </c>
      <c r="AX56" s="284">
        <v>34587.078816290654</v>
      </c>
      <c r="AY56" s="284">
        <v>56533.98769411076</v>
      </c>
      <c r="AZ56" s="284">
        <v>67562.84793436859</v>
      </c>
      <c r="BA56" s="178">
        <v>2400</v>
      </c>
      <c r="BB56" s="179">
        <f t="shared" si="1"/>
        <v>40785.30178728392</v>
      </c>
    </row>
    <row r="57" spans="1:54" ht="12.75">
      <c r="A57" s="149" t="s">
        <v>241</v>
      </c>
      <c r="B57" s="148">
        <f t="shared" si="21"/>
        <v>1248.1751824817518</v>
      </c>
      <c r="C57" s="205">
        <f t="shared" si="22"/>
        <v>1365.3284671532847</v>
      </c>
      <c r="D57" s="236">
        <f>SUMPRODUCT('Cost-Effectiveness Level'!$I$4:$J$4,B57:C57)</f>
        <v>1283.9069343065694</v>
      </c>
      <c r="K57"/>
      <c r="L57"/>
      <c r="M57"/>
      <c r="N57"/>
      <c r="O57" s="189"/>
      <c r="P57" s="189"/>
      <c r="Q57" s="189"/>
      <c r="R57" s="189"/>
      <c r="S57" s="189"/>
      <c r="T57" s="189"/>
      <c r="U57" s="189"/>
      <c r="V57" s="189"/>
      <c r="W57"/>
      <c r="X57"/>
      <c r="Y57"/>
      <c r="Z57"/>
      <c r="AA57"/>
      <c r="AB57"/>
      <c r="AC57"/>
      <c r="AD57"/>
      <c r="AE57"/>
      <c r="AN57" s="284">
        <v>29769.557573981834</v>
      </c>
      <c r="AO57" s="284">
        <v>34367.62379138588</v>
      </c>
      <c r="AP57" s="284">
        <v>56195.37064166422</v>
      </c>
      <c r="AQ57" s="284">
        <v>67059.59566363903</v>
      </c>
      <c r="AR57" s="178">
        <v>2350</v>
      </c>
      <c r="AS57" s="179">
        <f t="shared" si="0"/>
        <v>40539.545854087315</v>
      </c>
      <c r="AW57" s="284">
        <v>28572.223849985352</v>
      </c>
      <c r="AX57" s="284">
        <v>33081.18956929388</v>
      </c>
      <c r="AY57" s="284">
        <v>54469.52827424554</v>
      </c>
      <c r="AZ57" s="284">
        <v>65186.19982420158</v>
      </c>
      <c r="BA57" s="178">
        <v>2350</v>
      </c>
      <c r="BB57" s="179">
        <f t="shared" si="1"/>
        <v>39131.731614415476</v>
      </c>
    </row>
    <row r="58" spans="1:54" ht="12.75">
      <c r="A58" s="161" t="s">
        <v>202</v>
      </c>
      <c r="B58" s="148">
        <f t="shared" si="21"/>
        <v>56.4</v>
      </c>
      <c r="C58" s="205">
        <f t="shared" si="22"/>
        <v>112.8</v>
      </c>
      <c r="D58" s="236">
        <f>SUMPRODUCT('Cost-Effectiveness Level'!$I$4:$J$4,B58:C58)</f>
        <v>73.602</v>
      </c>
      <c r="K58"/>
      <c r="L58"/>
      <c r="M58"/>
      <c r="N58"/>
      <c r="P58" s="189"/>
      <c r="Q58" s="189"/>
      <c r="R58" s="189"/>
      <c r="S58" s="189"/>
      <c r="T58" s="189"/>
      <c r="U58" s="189"/>
      <c r="V58" s="189"/>
      <c r="AN58" s="284">
        <v>28415.851157339588</v>
      </c>
      <c r="AO58" s="284">
        <v>32852.915323762085</v>
      </c>
      <c r="AP58" s="284">
        <v>54115.32376208615</v>
      </c>
      <c r="AQ58" s="284">
        <v>64649.19425725169</v>
      </c>
      <c r="AR58" s="178">
        <v>2300</v>
      </c>
      <c r="AS58" s="179">
        <f t="shared" si="0"/>
        <v>38870.918546733075</v>
      </c>
      <c r="AW58" s="284">
        <v>27257.310284207444</v>
      </c>
      <c r="AX58" s="284">
        <v>31590.682683855848</v>
      </c>
      <c r="AY58" s="284">
        <v>52404.805156753595</v>
      </c>
      <c r="AZ58" s="284">
        <v>62826.75065924408</v>
      </c>
      <c r="BA58" s="178">
        <v>2300</v>
      </c>
      <c r="BB58" s="179">
        <f t="shared" si="1"/>
        <v>37489.34222092002</v>
      </c>
    </row>
    <row r="59" spans="1:54" ht="12.75">
      <c r="A59" s="161" t="s">
        <v>203</v>
      </c>
      <c r="B59" s="148">
        <f t="shared" si="21"/>
        <v>766.584</v>
      </c>
      <c r="C59" s="205">
        <f t="shared" si="22"/>
        <v>809.4816</v>
      </c>
      <c r="D59" s="236">
        <f>SUMPRODUCT('Cost-Effectiveness Level'!$I$4:$J$4,B59:C59)</f>
        <v>779.6677679999999</v>
      </c>
      <c r="K59"/>
      <c r="L59"/>
      <c r="M59"/>
      <c r="N59"/>
      <c r="O59" s="153"/>
      <c r="P59" s="189"/>
      <c r="Q59" s="189"/>
      <c r="R59" s="189"/>
      <c r="S59" s="189"/>
      <c r="T59" s="189"/>
      <c r="U59" s="189"/>
      <c r="V59" s="189"/>
      <c r="AN59" s="284">
        <v>27078.75769118078</v>
      </c>
      <c r="AO59" s="284">
        <v>31344.857896278936</v>
      </c>
      <c r="AP59" s="284">
        <v>52045.76618810432</v>
      </c>
      <c r="AQ59" s="284">
        <v>62258.59947260475</v>
      </c>
      <c r="AR59" s="178">
        <v>2250</v>
      </c>
      <c r="AS59" s="179">
        <f t="shared" si="0"/>
        <v>37212.55200703194</v>
      </c>
      <c r="AW59" s="284">
        <v>25947.934368590686</v>
      </c>
      <c r="AX59" s="284">
        <v>30109.31731614416</v>
      </c>
      <c r="AY59" s="284">
        <v>50349.194257251685</v>
      </c>
      <c r="AZ59" s="284">
        <v>60479.05068854381</v>
      </c>
      <c r="BA59" s="178">
        <v>2250</v>
      </c>
      <c r="BB59" s="179">
        <f t="shared" si="1"/>
        <v>35855.49663053033</v>
      </c>
    </row>
    <row r="60" spans="1:54" ht="12.75">
      <c r="A60" s="206" t="s">
        <v>209</v>
      </c>
      <c r="B60" s="203">
        <f>SUM(B53:B59)</f>
        <v>3835.0282175018388</v>
      </c>
      <c r="C60" s="207">
        <f>SUM(C53:C59)</f>
        <v>4669.7011960221025</v>
      </c>
      <c r="D60" s="235">
        <f>SUMPRODUCT('Cost-Effectiveness Level'!$I$4:$J$4,B60:C60)</f>
        <v>4089.603475950519</v>
      </c>
      <c r="K60"/>
      <c r="L60"/>
      <c r="M60"/>
      <c r="N60"/>
      <c r="P60" s="189"/>
      <c r="Q60" s="189"/>
      <c r="R60" s="189"/>
      <c r="S60" s="189"/>
      <c r="T60" s="189"/>
      <c r="U60" s="189"/>
      <c r="V60" s="189"/>
      <c r="AN60" s="284">
        <v>25759.185467330797</v>
      </c>
      <c r="AO60" s="284">
        <v>29851.801933782597</v>
      </c>
      <c r="AP60" s="284">
        <v>49987.81130969821</v>
      </c>
      <c r="AQ60" s="284">
        <v>59882.12716085556</v>
      </c>
      <c r="AR60" s="178">
        <v>2200</v>
      </c>
      <c r="AS60" s="179">
        <f t="shared" si="0"/>
        <v>35568.79724582479</v>
      </c>
      <c r="AW60" s="284">
        <v>24659.74216232054</v>
      </c>
      <c r="AX60" s="284">
        <v>28641.840023439792</v>
      </c>
      <c r="AY60" s="284">
        <v>48298.06621740404</v>
      </c>
      <c r="AZ60" s="284">
        <v>58143.2464107823</v>
      </c>
      <c r="BA60" s="178">
        <v>2200</v>
      </c>
      <c r="BB60" s="179">
        <f t="shared" si="1"/>
        <v>34234.54731907413</v>
      </c>
    </row>
    <row r="61" spans="1:54" ht="12.75">
      <c r="A61" s="208" t="s">
        <v>210</v>
      </c>
      <c r="B61" s="204">
        <f ca="1">IF(ISNA(INDEX($AR$4:$AS$74,MATCH(B60,$AR$4:$AR$74,0),1)),TREND(OFFSET(INDEX($AR$4:$AS$74,MATCH(B60,$AR$4:$AR$74,-1),2),0,0,2,1),OFFSET(INDEX($AR$4:$AS$74,MATCH(B60,$AR$4:$AR$74,-1),1),0,0,2,1),B60),INDEX($AR$4:$AS$74,MATCH(B60,$AR$4:$AR$74,0),2))</f>
        <v>93723.0862814234</v>
      </c>
      <c r="C61" s="209">
        <f ca="1">IF(ISNA(INDEX($BA$4:$BB$74,MATCH(C60,$BA$4:$BA$74,0),1)),TREND(OFFSET(INDEX($BA$4:$BB$74,MATCH(C60,$BA$4:$BA$74,-1),2),0,0,2,1),OFFSET(INDEX($BA$4:$BB$74,MATCH(C60,$BA$4:$BA$74,-1),1),0,0,2,1),C60),INDEX($BA$4:$BB$74,MATCH(C60,$BA$4:$BA$74,0),2))</f>
        <v>123257.8402736012</v>
      </c>
      <c r="D61" s="237">
        <f>SUMPRODUCT('Cost-Effectiveness Level'!$I$4:$J$4,B61:C61)</f>
        <v>102731.18624903762</v>
      </c>
      <c r="K61"/>
      <c r="L61"/>
      <c r="M61"/>
      <c r="N61"/>
      <c r="P61" s="189"/>
      <c r="Q61" s="189"/>
      <c r="R61" s="189"/>
      <c r="S61" s="189"/>
      <c r="T61" s="189"/>
      <c r="U61" s="189"/>
      <c r="V61" s="189"/>
      <c r="AN61" s="284">
        <v>24451.538236155877</v>
      </c>
      <c r="AO61" s="284">
        <v>28375.065924406685</v>
      </c>
      <c r="AP61" s="284">
        <v>47928.801640785234</v>
      </c>
      <c r="AQ61" s="284">
        <v>57527.27805449752</v>
      </c>
      <c r="AR61" s="178">
        <v>2150</v>
      </c>
      <c r="AS61" s="179">
        <f t="shared" si="0"/>
        <v>33936.40492235571</v>
      </c>
      <c r="AW61" s="284">
        <v>23390.653384119545</v>
      </c>
      <c r="AX61" s="284">
        <v>27178.845590389687</v>
      </c>
      <c r="AY61" s="284">
        <v>46249.86815118664</v>
      </c>
      <c r="AZ61" s="284">
        <v>55822.70729563434</v>
      </c>
      <c r="BA61" s="178">
        <v>2150</v>
      </c>
      <c r="BB61" s="179">
        <f t="shared" si="1"/>
        <v>32621.155874597127</v>
      </c>
    </row>
    <row r="62" spans="1:54" ht="13.5" thickBot="1">
      <c r="A62" s="210" t="s">
        <v>211</v>
      </c>
      <c r="B62" s="211">
        <f>B61/12</f>
        <v>7810.257190118617</v>
      </c>
      <c r="C62" s="212">
        <f>C61/12</f>
        <v>10271.486689466767</v>
      </c>
      <c r="D62" s="238">
        <f>SUMPRODUCT('Cost-Effectiveness Level'!$I$4:$J$4,B62:C62)</f>
        <v>8560.932187419803</v>
      </c>
      <c r="K62"/>
      <c r="L62"/>
      <c r="M62"/>
      <c r="N62"/>
      <c r="P62" s="189"/>
      <c r="Q62" s="189"/>
      <c r="R62" s="189"/>
      <c r="S62" s="189"/>
      <c r="T62" s="189"/>
      <c r="U62" s="189"/>
      <c r="V62" s="189"/>
      <c r="AN62" s="284">
        <v>23157.017286844417</v>
      </c>
      <c r="AO62" s="284">
        <v>26903.95546440082</v>
      </c>
      <c r="AP62" s="284">
        <v>45878.61119249927</v>
      </c>
      <c r="AQ62" s="284">
        <v>55185.87752710226</v>
      </c>
      <c r="AR62" s="178">
        <v>2100</v>
      </c>
      <c r="AS62" s="179">
        <f t="shared" si="0"/>
        <v>32312.327864049224</v>
      </c>
      <c r="AW62" s="284">
        <v>22122.619396425434</v>
      </c>
      <c r="AX62" s="284">
        <v>25714.53266920598</v>
      </c>
      <c r="AY62" s="284">
        <v>44212.950483445646</v>
      </c>
      <c r="AZ62" s="284">
        <v>53515.52886024026</v>
      </c>
      <c r="BA62" s="178">
        <v>2100</v>
      </c>
      <c r="BB62" s="179">
        <f t="shared" si="1"/>
        <v>31010.804277761497</v>
      </c>
    </row>
    <row r="63" spans="11:54" ht="13.5" thickBot="1">
      <c r="K63"/>
      <c r="L63"/>
      <c r="M63"/>
      <c r="N63"/>
      <c r="P63" s="189"/>
      <c r="Q63" s="189"/>
      <c r="R63" s="189"/>
      <c r="S63" s="189"/>
      <c r="T63" s="189"/>
      <c r="U63" s="189"/>
      <c r="V63" s="189"/>
      <c r="AN63" s="284">
        <v>21889.36419572224</v>
      </c>
      <c r="AO63" s="284">
        <v>25449.868151186638</v>
      </c>
      <c r="AP63" s="284">
        <v>43831.731614415476</v>
      </c>
      <c r="AQ63" s="284">
        <v>52862.67213595078</v>
      </c>
      <c r="AR63" s="178">
        <v>2050</v>
      </c>
      <c r="AS63" s="179">
        <f t="shared" si="0"/>
        <v>30703.873425139176</v>
      </c>
      <c r="AW63" s="284">
        <v>20860.73835335482</v>
      </c>
      <c r="AX63" s="284">
        <v>24264.137122765896</v>
      </c>
      <c r="AY63" s="284">
        <v>42191.47377673601</v>
      </c>
      <c r="AZ63" s="284">
        <v>51213.00908291826</v>
      </c>
      <c r="BA63" s="178">
        <v>2050</v>
      </c>
      <c r="BB63" s="179">
        <f t="shared" si="1"/>
        <v>29412.73513038383</v>
      </c>
    </row>
    <row r="64" spans="1:54" ht="13.5" thickBot="1">
      <c r="A64" s="213" t="s">
        <v>301</v>
      </c>
      <c r="B64" s="214"/>
      <c r="C64" s="215"/>
      <c r="D64" s="456" t="s">
        <v>248</v>
      </c>
      <c r="E64" s="457"/>
      <c r="K64"/>
      <c r="L64"/>
      <c r="M64"/>
      <c r="N64"/>
      <c r="P64" s="189"/>
      <c r="Q64" s="189"/>
      <c r="R64" s="189"/>
      <c r="AN64" s="284">
        <v>20631.61441547026</v>
      </c>
      <c r="AO64" s="284">
        <v>23995.106944037507</v>
      </c>
      <c r="AP64" s="284">
        <v>41795.37064166423</v>
      </c>
      <c r="AQ64" s="284">
        <v>50552.59302666276</v>
      </c>
      <c r="AR64" s="178">
        <v>2000</v>
      </c>
      <c r="AS64" s="179">
        <f t="shared" si="0"/>
        <v>29100.348666862003</v>
      </c>
      <c r="AW64" s="284">
        <v>19605.91854673308</v>
      </c>
      <c r="AX64" s="284">
        <v>22833.10870202168</v>
      </c>
      <c r="AY64" s="284">
        <v>40196.571930852624</v>
      </c>
      <c r="AZ64" s="284">
        <v>48925.49077058307</v>
      </c>
      <c r="BA64" s="178">
        <v>2000</v>
      </c>
      <c r="BB64" s="179">
        <f t="shared" si="1"/>
        <v>27833.155581599767</v>
      </c>
    </row>
    <row r="65" spans="1:54" ht="13.5" thickBot="1">
      <c r="A65" s="217" t="s">
        <v>244</v>
      </c>
      <c r="B65" s="218">
        <v>10920</v>
      </c>
      <c r="C65" s="234">
        <v>12492</v>
      </c>
      <c r="D65" s="240">
        <f>SUMPRODUCT('Cost-Effectiveness Level'!$I$4:$J$4,B65:C65)</f>
        <v>11399.46</v>
      </c>
      <c r="E65" s="240">
        <f>D65/12</f>
        <v>949.9549999999999</v>
      </c>
      <c r="G65"/>
      <c r="H65"/>
      <c r="I65"/>
      <c r="J65"/>
      <c r="K65"/>
      <c r="L65"/>
      <c r="M65"/>
      <c r="N65"/>
      <c r="P65" s="189"/>
      <c r="AN65" s="284">
        <v>19377.761500146502</v>
      </c>
      <c r="AO65" s="284">
        <v>22549.63375329622</v>
      </c>
      <c r="AP65" s="284">
        <v>39773.9818341635</v>
      </c>
      <c r="AQ65" s="284">
        <v>48251.71403457369</v>
      </c>
      <c r="AR65" s="178">
        <v>1950</v>
      </c>
      <c r="AS65" s="179">
        <f t="shared" si="0"/>
        <v>27506.450336946968</v>
      </c>
      <c r="AW65" s="284">
        <v>18358.335774978026</v>
      </c>
      <c r="AX65" s="284">
        <v>21418.89832991503</v>
      </c>
      <c r="AY65" s="284">
        <v>38227.95194843246</v>
      </c>
      <c r="AZ65" s="284">
        <v>46650.6885438031</v>
      </c>
      <c r="BA65" s="178">
        <v>1950</v>
      </c>
      <c r="BB65" s="179">
        <f t="shared" si="1"/>
        <v>26270.63873425139</v>
      </c>
    </row>
    <row r="66" spans="1:54" ht="12.75">
      <c r="A66" s="155" t="s">
        <v>167</v>
      </c>
      <c r="B66" s="144">
        <f aca="true" t="shared" si="23" ref="B66:B72">VLOOKUP($A66,$A$6:$F$32,5,FALSE)</f>
        <v>477.896</v>
      </c>
      <c r="C66" s="216">
        <f aca="true" t="shared" si="24" ref="C66:C72">VLOOKUP($A66,$A$6:$F$32,6,FALSE)</f>
        <v>792.608</v>
      </c>
      <c r="D66" s="239">
        <f>SUMPRODUCT('Cost-Effectiveness Level'!$I$4:$J$4,B66:C66)</f>
        <v>573.8831600000001</v>
      </c>
      <c r="G66"/>
      <c r="H66"/>
      <c r="I66"/>
      <c r="J66"/>
      <c r="K66"/>
      <c r="L66"/>
      <c r="M66"/>
      <c r="N66"/>
      <c r="P66" s="189"/>
      <c r="AN66" s="284">
        <v>18131.790213888078</v>
      </c>
      <c r="AO66" s="284">
        <v>21119.89452094931</v>
      </c>
      <c r="AP66" s="284">
        <v>37769.20597714621</v>
      </c>
      <c r="AQ66" s="284">
        <v>45965.54351010841</v>
      </c>
      <c r="AR66" s="178">
        <v>1900</v>
      </c>
      <c r="AS66" s="179">
        <f t="shared" si="0"/>
        <v>25926.88397304424</v>
      </c>
      <c r="AW66" s="284">
        <v>17124.55317902139</v>
      </c>
      <c r="AX66" s="284">
        <v>20026.89715792558</v>
      </c>
      <c r="AY66" s="284">
        <v>36266.89129797832</v>
      </c>
      <c r="AZ66" s="284">
        <v>44382.59595663639</v>
      </c>
      <c r="BA66" s="178">
        <v>1900</v>
      </c>
      <c r="BB66" s="179">
        <f t="shared" si="1"/>
        <v>24724.211837093466</v>
      </c>
    </row>
    <row r="67" spans="1:54" ht="12.75">
      <c r="A67" s="157" t="s">
        <v>173</v>
      </c>
      <c r="B67" s="148">
        <f t="shared" si="23"/>
        <v>141.96</v>
      </c>
      <c r="C67" s="205">
        <f t="shared" si="24"/>
        <v>83.772</v>
      </c>
      <c r="D67" s="236">
        <f>SUMPRODUCT('Cost-Effectiveness Level'!$I$4:$J$4,B67:C67)</f>
        <v>124.21266</v>
      </c>
      <c r="G67"/>
      <c r="H67"/>
      <c r="I67"/>
      <c r="J67"/>
      <c r="K67"/>
      <c r="L67"/>
      <c r="M67"/>
      <c r="N67"/>
      <c r="P67" s="189"/>
      <c r="AN67" s="284">
        <v>16889.86229123938</v>
      </c>
      <c r="AO67" s="284">
        <v>19710.57720480516</v>
      </c>
      <c r="AP67" s="284">
        <v>35801.55288602403</v>
      </c>
      <c r="AQ67" s="284">
        <v>43694.72604746558</v>
      </c>
      <c r="AR67" s="178">
        <v>1850</v>
      </c>
      <c r="AS67" s="179">
        <f t="shared" si="0"/>
        <v>24368.38558452974</v>
      </c>
      <c r="AW67" s="284">
        <v>15910.284207442135</v>
      </c>
      <c r="AX67" s="284">
        <v>18672.45824787577</v>
      </c>
      <c r="AY67" s="284">
        <v>34318.13653677117</v>
      </c>
      <c r="AZ67" s="284">
        <v>42129.5634339291</v>
      </c>
      <c r="BA67" s="178">
        <v>1850</v>
      </c>
      <c r="BB67" s="179">
        <f t="shared" si="1"/>
        <v>23204.298271315558</v>
      </c>
    </row>
    <row r="68" spans="1:54" ht="12.75">
      <c r="A68" s="141" t="s">
        <v>234</v>
      </c>
      <c r="B68" s="148">
        <f t="shared" si="23"/>
        <v>0</v>
      </c>
      <c r="C68" s="205">
        <f t="shared" si="24"/>
        <v>88.848</v>
      </c>
      <c r="D68" s="236">
        <f>SUMPRODUCT('Cost-Effectiveness Level'!$I$4:$J$4,B68:C68)</f>
        <v>27.098640000000003</v>
      </c>
      <c r="G68"/>
      <c r="H68"/>
      <c r="I68"/>
      <c r="J68"/>
      <c r="K68"/>
      <c r="L68"/>
      <c r="M68"/>
      <c r="N68"/>
      <c r="AN68" s="284">
        <v>15665.30911221799</v>
      </c>
      <c r="AO68" s="284">
        <v>18321.271608555526</v>
      </c>
      <c r="AP68" s="284">
        <v>33849.07705830647</v>
      </c>
      <c r="AQ68" s="284">
        <v>41433.22590096689</v>
      </c>
      <c r="AR68" s="178">
        <v>1800</v>
      </c>
      <c r="AS68" s="179">
        <f t="shared" si="0"/>
        <v>22827.628186346323</v>
      </c>
      <c r="AW68" s="284">
        <v>14718.63463228831</v>
      </c>
      <c r="AX68" s="284">
        <v>17339.61324348081</v>
      </c>
      <c r="AY68" s="284">
        <v>32384.441840023443</v>
      </c>
      <c r="AZ68" s="284">
        <v>39887.22531497217</v>
      </c>
      <c r="BA68" s="178">
        <v>1800</v>
      </c>
      <c r="BB68" s="179">
        <f t="shared" si="1"/>
        <v>21704.005273952534</v>
      </c>
    </row>
    <row r="69" spans="1:54" ht="12.75">
      <c r="A69" s="157" t="s">
        <v>171</v>
      </c>
      <c r="B69" s="148">
        <f t="shared" si="23"/>
        <v>149.24</v>
      </c>
      <c r="C69" s="205">
        <f t="shared" si="24"/>
        <v>155.8</v>
      </c>
      <c r="D69" s="236">
        <f>SUMPRODUCT('Cost-Effectiveness Level'!$I$4:$J$4,B69:C69)</f>
        <v>151.2408</v>
      </c>
      <c r="G69"/>
      <c r="H69"/>
      <c r="I69"/>
      <c r="J69"/>
      <c r="K69"/>
      <c r="L69"/>
      <c r="M69"/>
      <c r="N69"/>
      <c r="AN69" s="284">
        <v>14460.328157046586</v>
      </c>
      <c r="AO69" s="284">
        <v>16970.96396132435</v>
      </c>
      <c r="AP69" s="284">
        <v>31908.028127746853</v>
      </c>
      <c r="AQ69" s="284">
        <v>39187.225314972166</v>
      </c>
      <c r="AR69" s="178">
        <v>1750</v>
      </c>
      <c r="AS69" s="179">
        <f aca="true" t="shared" si="25" ref="AS69:AS74">SUMPRODUCT($AN$2:$AQ$2,AN69:AQ69)</f>
        <v>21313.91590975681</v>
      </c>
      <c r="AW69" s="284">
        <v>13552.270729563435</v>
      </c>
      <c r="AX69" s="284">
        <v>16026.838558452975</v>
      </c>
      <c r="AY69" s="284">
        <v>30472.897743920308</v>
      </c>
      <c r="AZ69" s="284">
        <v>37661.529446234985</v>
      </c>
      <c r="BA69" s="178">
        <v>1750</v>
      </c>
      <c r="BB69" s="179">
        <f aca="true" t="shared" si="26" ref="BB69:BB74">SUMPRODUCT(AW$2:AZ$2,AW69:AZ69)</f>
        <v>20225.174333431</v>
      </c>
    </row>
    <row r="70" spans="1:54" ht="12.75">
      <c r="A70" s="383" t="str">
        <f>A26</f>
        <v>BASE CASE WINDOW - CLASS 120</v>
      </c>
      <c r="B70" s="384">
        <f t="shared" si="23"/>
        <v>1248.1751824817518</v>
      </c>
      <c r="C70" s="384">
        <f t="shared" si="24"/>
        <v>1365.3284671532847</v>
      </c>
      <c r="D70" s="384">
        <f>SUMPRODUCT('Cost-Effectiveness Level'!$I$4:$J$4,B70:C70)</f>
        <v>1283.9069343065694</v>
      </c>
      <c r="G70"/>
      <c r="H70"/>
      <c r="I70"/>
      <c r="J70"/>
      <c r="K70"/>
      <c r="L70"/>
      <c r="M70"/>
      <c r="N70"/>
      <c r="AN70" s="284">
        <v>13282.947553472019</v>
      </c>
      <c r="AO70" s="284">
        <v>15654.351010840905</v>
      </c>
      <c r="AP70" s="284">
        <v>29981.072370348666</v>
      </c>
      <c r="AQ70" s="284">
        <v>36954.55610899502</v>
      </c>
      <c r="AR70" s="178">
        <v>1700</v>
      </c>
      <c r="AS70" s="179">
        <f t="shared" si="25"/>
        <v>19826.760914151775</v>
      </c>
      <c r="AW70" s="284">
        <v>12426.223263990623</v>
      </c>
      <c r="AX70" s="284">
        <v>14732.932903603869</v>
      </c>
      <c r="AY70" s="284">
        <v>28578.78699091708</v>
      </c>
      <c r="AZ70" s="284">
        <v>35463.082332259015</v>
      </c>
      <c r="BA70" s="178">
        <v>1700</v>
      </c>
      <c r="BB70" s="179">
        <f t="shared" si="26"/>
        <v>18769.56196894228</v>
      </c>
    </row>
    <row r="71" spans="1:54" ht="12.75">
      <c r="A71" s="161" t="s">
        <v>202</v>
      </c>
      <c r="B71" s="148">
        <f t="shared" si="23"/>
        <v>56.4</v>
      </c>
      <c r="C71" s="205">
        <f t="shared" si="24"/>
        <v>112.8</v>
      </c>
      <c r="D71" s="236">
        <f>SUMPRODUCT('Cost-Effectiveness Level'!$I$4:$J$4,B71:C71)</f>
        <v>73.602</v>
      </c>
      <c r="G71"/>
      <c r="H71"/>
      <c r="I71"/>
      <c r="J71"/>
      <c r="K71"/>
      <c r="L71"/>
      <c r="M71"/>
      <c r="N71"/>
      <c r="P71" s="5"/>
      <c r="AN71" s="284">
        <v>12135.188983299151</v>
      </c>
      <c r="AO71" s="284">
        <v>14354.556108995019</v>
      </c>
      <c r="AP71" s="284">
        <v>28075.79841781424</v>
      </c>
      <c r="AQ71" s="284">
        <v>34735.39408145327</v>
      </c>
      <c r="AR71" s="178">
        <v>1650</v>
      </c>
      <c r="AS71" s="179">
        <f t="shared" si="25"/>
        <v>18360.035159683564</v>
      </c>
      <c r="AW71" s="284">
        <v>11339.085848227367</v>
      </c>
      <c r="AX71" s="284">
        <v>13468.180486375624</v>
      </c>
      <c r="AY71" s="284">
        <v>26716.75944916496</v>
      </c>
      <c r="AZ71" s="284">
        <v>33281.95136243774</v>
      </c>
      <c r="BA71" s="178">
        <v>1650</v>
      </c>
      <c r="BB71" s="179">
        <f t="shared" si="26"/>
        <v>17345.194843246412</v>
      </c>
    </row>
    <row r="72" spans="1:54" ht="13.5" thickBot="1">
      <c r="A72" s="370" t="s">
        <v>203</v>
      </c>
      <c r="B72" s="290">
        <f t="shared" si="23"/>
        <v>766.584</v>
      </c>
      <c r="C72" s="301">
        <f t="shared" si="24"/>
        <v>809.4816</v>
      </c>
      <c r="D72" s="371">
        <f>SUMPRODUCT('Cost-Effectiveness Level'!$I$4:$J$4,B72:C72)</f>
        <v>779.6677679999999</v>
      </c>
      <c r="G72"/>
      <c r="H72"/>
      <c r="I72"/>
      <c r="J72"/>
      <c r="K72"/>
      <c r="L72"/>
      <c r="M72"/>
      <c r="N72"/>
      <c r="P72" s="5"/>
      <c r="AN72" s="284">
        <v>11024.494579548784</v>
      </c>
      <c r="AO72" s="284">
        <v>13079.98828010548</v>
      </c>
      <c r="AP72" s="284">
        <v>26192.880164078524</v>
      </c>
      <c r="AQ72" s="284">
        <v>32539.876941107534</v>
      </c>
      <c r="AR72" s="178">
        <v>1600</v>
      </c>
      <c r="AS72" s="179">
        <f t="shared" si="25"/>
        <v>16920.106944037503</v>
      </c>
      <c r="AW72" s="284">
        <v>10278.552593026663</v>
      </c>
      <c r="AX72" s="284">
        <v>12240.87313214181</v>
      </c>
      <c r="AY72" s="284">
        <v>24896.19103428069</v>
      </c>
      <c r="AZ72" s="284">
        <v>31133.401699384707</v>
      </c>
      <c r="BA72" s="178">
        <v>1600</v>
      </c>
      <c r="BB72" s="179">
        <f t="shared" si="26"/>
        <v>15956.864928215648</v>
      </c>
    </row>
    <row r="73" spans="1:54" ht="13.5" thickBot="1">
      <c r="A73" s="376" t="s">
        <v>209</v>
      </c>
      <c r="B73" s="377">
        <f>SUM(B66:B72)</f>
        <v>2840.2551824817515</v>
      </c>
      <c r="C73" s="378">
        <f>SUM(C66:C72)</f>
        <v>3408.638067153285</v>
      </c>
      <c r="D73" s="379">
        <f>SUMPRODUCT('Cost-Effectiveness Level'!$I$4:$J$4,B73:C73)</f>
        <v>3013.6119623065692</v>
      </c>
      <c r="G73"/>
      <c r="H73"/>
      <c r="I73"/>
      <c r="J73"/>
      <c r="K73"/>
      <c r="L73"/>
      <c r="M73"/>
      <c r="N73"/>
      <c r="P73" s="5"/>
      <c r="AN73" s="284">
        <v>9955.81599765602</v>
      </c>
      <c r="AO73" s="284">
        <v>11841.48842660416</v>
      </c>
      <c r="AP73" s="284">
        <v>24336.946967477295</v>
      </c>
      <c r="AQ73" s="284">
        <v>30367.096396132434</v>
      </c>
      <c r="AR73" s="178">
        <v>1550</v>
      </c>
      <c r="AS73" s="179">
        <f t="shared" si="25"/>
        <v>15514.49897450923</v>
      </c>
      <c r="AW73" s="284">
        <v>9277.14620568415</v>
      </c>
      <c r="AX73" s="284">
        <v>11047.875769118078</v>
      </c>
      <c r="AY73" s="284">
        <v>23119.308526223263</v>
      </c>
      <c r="AZ73" s="284">
        <v>29011.22179900381</v>
      </c>
      <c r="BA73" s="178">
        <v>1550</v>
      </c>
      <c r="BB73" s="179">
        <f t="shared" si="26"/>
        <v>14609.755347201877</v>
      </c>
    </row>
    <row r="74" spans="1:54" ht="12.75">
      <c r="A74" s="372" t="s">
        <v>210</v>
      </c>
      <c r="B74" s="373">
        <f ca="1">IF(ISNA(INDEX($AR$4:$AS$74,MATCH(B73,$AR$4:$AR$74,0),1)),TREND(OFFSET(INDEX($AR$4:$AS$74,MATCH(B73,$AR$4:$AR$74,-1),2),0,0,2,1),OFFSET(INDEX($AR$4:$AS$74,MATCH(B73,$AR$4:$AR$74,-1),1),0,0,2,1),B73),INDEX($AR$4:$AS$74,MATCH(B73,$AR$4:$AR$74,0),2))</f>
        <v>57452.16692512413</v>
      </c>
      <c r="C74" s="374">
        <f ca="1">IF(ISNA(INDEX($BA$4:$BB$74,MATCH(C73,$BA$4:$BA$74,0),1)),TREND(OFFSET(INDEX($BA$4:$BB$74,MATCH(C73,$BA$4:$BA$74,-1),2),0,0,2,1),OFFSET(INDEX($BA$4:$BB$74,MATCH(C73,$BA$4:$BA$74,-1),1),0,0,2,1),C73),INDEX($BA$4:$BB$74,MATCH(C73,$BA$4:$BA$74,0),2))</f>
        <v>76082.07389187237</v>
      </c>
      <c r="D74" s="375">
        <f>SUMPRODUCT('Cost-Effectiveness Level'!$I$4:$J$4,B74:C74)</f>
        <v>63134.288549982346</v>
      </c>
      <c r="G74"/>
      <c r="H74"/>
      <c r="I74"/>
      <c r="J74"/>
      <c r="K74"/>
      <c r="L74"/>
      <c r="M74"/>
      <c r="N74"/>
      <c r="AN74" s="284">
        <v>8926.516261353649</v>
      </c>
      <c r="AO74" s="284">
        <v>10638.88075007325</v>
      </c>
      <c r="AP74" s="284">
        <v>22527.043656607093</v>
      </c>
      <c r="AQ74" s="284">
        <v>28233.54819806622</v>
      </c>
      <c r="AR74" s="178">
        <v>1500</v>
      </c>
      <c r="AS74" s="179">
        <f t="shared" si="25"/>
        <v>14148.18195136244</v>
      </c>
      <c r="AW74" s="284">
        <v>8317.579841781424</v>
      </c>
      <c r="AX74" s="284">
        <v>9901.201289188399</v>
      </c>
      <c r="AY74" s="284">
        <v>21365.89510694404</v>
      </c>
      <c r="AZ74" s="284">
        <v>26909.11221799004</v>
      </c>
      <c r="BA74" s="178">
        <v>1500</v>
      </c>
      <c r="BB74" s="179">
        <f t="shared" si="26"/>
        <v>13301.046000585997</v>
      </c>
    </row>
    <row r="75" spans="1:14" ht="13.5" thickBot="1">
      <c r="A75" s="210" t="s">
        <v>211</v>
      </c>
      <c r="B75" s="211">
        <f>B74/12</f>
        <v>4787.680577093678</v>
      </c>
      <c r="C75" s="212">
        <f>C74/12</f>
        <v>6340.172824322697</v>
      </c>
      <c r="D75" s="238">
        <f>SUMPRODUCT('Cost-Effectiveness Level'!$I$4:$J$4,B75:C75)</f>
        <v>5261.190712498529</v>
      </c>
      <c r="G75"/>
      <c r="H75"/>
      <c r="I75"/>
      <c r="J75"/>
      <c r="K75"/>
      <c r="L75"/>
      <c r="M75"/>
      <c r="N75"/>
    </row>
    <row r="76" spans="7:14" ht="13.5" thickBot="1">
      <c r="G76"/>
      <c r="H76"/>
      <c r="I76"/>
      <c r="J76"/>
      <c r="K76"/>
      <c r="L76"/>
      <c r="M76"/>
      <c r="N76"/>
    </row>
    <row r="77" spans="1:14" ht="13.5" thickBot="1">
      <c r="A77" s="213" t="s">
        <v>303</v>
      </c>
      <c r="B77" s="214"/>
      <c r="C77" s="215" t="s">
        <v>213</v>
      </c>
      <c r="D77" s="176" t="s">
        <v>248</v>
      </c>
      <c r="G77"/>
      <c r="H77"/>
      <c r="I77"/>
      <c r="J77"/>
      <c r="K77"/>
      <c r="L77"/>
      <c r="M77"/>
      <c r="N77"/>
    </row>
    <row r="78" spans="1:15" ht="13.5" thickBot="1">
      <c r="A78" s="217" t="s">
        <v>244</v>
      </c>
      <c r="B78" s="218">
        <v>10920</v>
      </c>
      <c r="C78" s="219">
        <v>12492</v>
      </c>
      <c r="D78" s="241">
        <f>SUMPRODUCT('Cost-Effectiveness Level'!$I$4:$J$4,B78:C78)</f>
        <v>11399.46</v>
      </c>
      <c r="G78"/>
      <c r="H78"/>
      <c r="I78"/>
      <c r="J78"/>
      <c r="K78"/>
      <c r="L78"/>
      <c r="M78"/>
      <c r="N78"/>
      <c r="O78" s="153"/>
    </row>
    <row r="79" spans="1:15" ht="12.75">
      <c r="A79" s="155" t="s">
        <v>212</v>
      </c>
      <c r="B79" s="144">
        <f aca="true" t="shared" si="27" ref="B79:B85">VLOOKUP($A79,$A$6:$F$32,5,FALSE)</f>
        <v>477.896</v>
      </c>
      <c r="C79" s="216">
        <f aca="true" t="shared" si="28" ref="C79:C85">VLOOKUP($A79,$A$6:$F$32,6,FALSE)</f>
        <v>792.608</v>
      </c>
      <c r="D79" s="239">
        <f>SUMPRODUCT('Cost-Effectiveness Level'!$I$4:$J$4,B79:C79)</f>
        <v>573.8831600000001</v>
      </c>
      <c r="G79"/>
      <c r="H79"/>
      <c r="I79"/>
      <c r="J79"/>
      <c r="K79"/>
      <c r="L79"/>
      <c r="M79"/>
      <c r="N79"/>
      <c r="O79" s="153"/>
    </row>
    <row r="80" spans="1:15" ht="12.75">
      <c r="A80" s="157" t="s">
        <v>173</v>
      </c>
      <c r="B80" s="148">
        <f t="shared" si="27"/>
        <v>141.96</v>
      </c>
      <c r="C80" s="205">
        <f t="shared" si="28"/>
        <v>83.772</v>
      </c>
      <c r="D80" s="236">
        <f>SUMPRODUCT('Cost-Effectiveness Level'!$I$4:$J$4,B80:C80)</f>
        <v>124.21266</v>
      </c>
      <c r="G80"/>
      <c r="H80"/>
      <c r="I80"/>
      <c r="J80"/>
      <c r="N80"/>
      <c r="O80" s="153"/>
    </row>
    <row r="81" spans="1:15" ht="12.75">
      <c r="A81" s="141" t="s">
        <v>234</v>
      </c>
      <c r="B81" s="148">
        <f t="shared" si="27"/>
        <v>0</v>
      </c>
      <c r="C81" s="205">
        <f t="shared" si="28"/>
        <v>88.848</v>
      </c>
      <c r="D81" s="236">
        <f>SUMPRODUCT('Cost-Effectiveness Level'!$I$4:$J$4,B81:C81)</f>
        <v>27.098640000000003</v>
      </c>
      <c r="G81"/>
      <c r="H81"/>
      <c r="I81"/>
      <c r="J81"/>
      <c r="N81"/>
      <c r="O81" s="153"/>
    </row>
    <row r="82" spans="1:10" ht="12.75">
      <c r="A82" s="161" t="s">
        <v>172</v>
      </c>
      <c r="B82" s="148">
        <f t="shared" si="27"/>
        <v>105.56</v>
      </c>
      <c r="C82" s="205">
        <f t="shared" si="28"/>
        <v>110.2</v>
      </c>
      <c r="D82" s="236">
        <f>SUMPRODUCT('Cost-Effectiveness Level'!$I$4:$J$4,B82:C82)</f>
        <v>106.9752</v>
      </c>
      <c r="G82"/>
      <c r="H82"/>
      <c r="I82"/>
      <c r="J82"/>
    </row>
    <row r="83" spans="1:10" ht="12.75">
      <c r="A83" s="383" t="str">
        <f>A27</f>
        <v>CLASS 35 PRIME WINDOW (Energy Star)</v>
      </c>
      <c r="B83" s="385">
        <f t="shared" si="27"/>
        <v>387.6</v>
      </c>
      <c r="C83" s="386">
        <f t="shared" si="28"/>
        <v>423.98</v>
      </c>
      <c r="D83" s="384">
        <f>SUMPRODUCT('Cost-Effectiveness Level'!$I$4:$J$4,B83:C83)</f>
        <v>398.69590000000005</v>
      </c>
      <c r="F83"/>
      <c r="G83"/>
      <c r="H83"/>
      <c r="I83"/>
      <c r="J83"/>
    </row>
    <row r="84" spans="1:10" ht="12.75">
      <c r="A84" s="161" t="s">
        <v>202</v>
      </c>
      <c r="B84" s="148">
        <f t="shared" si="27"/>
        <v>56.4</v>
      </c>
      <c r="C84" s="205">
        <f t="shared" si="28"/>
        <v>112.8</v>
      </c>
      <c r="D84" s="236">
        <f>SUMPRODUCT('Cost-Effectiveness Level'!$I$4:$J$4,B84:C84)</f>
        <v>73.602</v>
      </c>
      <c r="G84"/>
      <c r="H84"/>
      <c r="I84"/>
      <c r="J84"/>
    </row>
    <row r="85" spans="1:10" ht="12.75">
      <c r="A85" s="161" t="s">
        <v>203</v>
      </c>
      <c r="B85" s="148">
        <f t="shared" si="27"/>
        <v>766.584</v>
      </c>
      <c r="C85" s="205">
        <f t="shared" si="28"/>
        <v>809.4816</v>
      </c>
      <c r="D85" s="236">
        <f>SUMPRODUCT('Cost-Effectiveness Level'!$I$4:$J$4,B85:C85)</f>
        <v>779.6677679999999</v>
      </c>
      <c r="G85"/>
      <c r="H85"/>
      <c r="I85"/>
      <c r="J85"/>
    </row>
    <row r="86" spans="1:10" ht="12.75">
      <c r="A86" s="206" t="s">
        <v>209</v>
      </c>
      <c r="B86" s="203">
        <f>SUM(B79:B85)</f>
        <v>1936</v>
      </c>
      <c r="C86" s="207">
        <f>SUM(C79:C85)</f>
        <v>2421.6895999999997</v>
      </c>
      <c r="D86" s="235">
        <f>SUMPRODUCT('Cost-Effectiveness Level'!$I$4:$J$4,B86:C86)</f>
        <v>2084.135328</v>
      </c>
      <c r="G86"/>
      <c r="H86"/>
      <c r="I86"/>
      <c r="J86"/>
    </row>
    <row r="87" spans="1:10" ht="12.75">
      <c r="A87" s="208" t="s">
        <v>210</v>
      </c>
      <c r="B87" s="204">
        <f ca="1">IF(ISNA(INDEX($AR$4:$AS$74,MATCH(B86,$AR$4:$AR$74,0),1)),TREND(OFFSET(INDEX($AR$4:$AS$74,MATCH(B86,$AR$4:$AR$74,-1),2),0,0,2,1),OFFSET(INDEX($AR$4:$AS$74,MATCH(B86,$AR$4:$AR$74,-1),1),0,0,2,1),B86),INDEX($AR$4:$AS$74,MATCH(B86,$AR$4:$AR$74,0),2))</f>
        <v>27064.171755054216</v>
      </c>
      <c r="C87" s="209">
        <f ca="1">IF(ISNA(INDEX($BA$4:$BB$74,MATCH(C86,$BA$4:$BA$74,0),1)),TREND(OFFSET(INDEX($BA$4:$BB$74,MATCH(C86,$BA$4:$BA$74,-1),2),0,0,2,1),OFFSET(INDEX($BA$4:$BB$74,MATCH(C86,$BA$4:$BA$74,-1),1),0,0,2,1),C86),INDEX($BA$4:$BB$74,MATCH(C86,$BA$4:$BA$74,0),2))</f>
        <v>41507.82093810741</v>
      </c>
      <c r="D87" s="237">
        <f>SUMPRODUCT('Cost-Effectiveness Level'!$I$4:$J$4,B87:C87)</f>
        <v>31469.484755885445</v>
      </c>
      <c r="G87"/>
      <c r="H87"/>
      <c r="I87"/>
      <c r="J87"/>
    </row>
    <row r="88" spans="1:10" ht="13.5" thickBot="1">
      <c r="A88" s="210" t="s">
        <v>211</v>
      </c>
      <c r="B88" s="211">
        <f>B87/12</f>
        <v>2255.347646254518</v>
      </c>
      <c r="C88" s="212">
        <f>C87/12</f>
        <v>3458.9850781756177</v>
      </c>
      <c r="D88" s="238">
        <f>SUMPRODUCT('Cost-Effectiveness Level'!$I$4:$J$4,B88:C88)</f>
        <v>2622.457062990454</v>
      </c>
      <c r="E88" s="394">
        <f>D75-D88</f>
        <v>2638.7336495080754</v>
      </c>
      <c r="G88"/>
      <c r="H88"/>
      <c r="I88"/>
      <c r="J88"/>
    </row>
    <row r="89" spans="3:10" ht="12.75">
      <c r="C89" s="154"/>
      <c r="F89" s="5"/>
      <c r="G89"/>
      <c r="H89"/>
      <c r="I89"/>
      <c r="J89"/>
    </row>
    <row r="90" spans="6:10" ht="12.75">
      <c r="F90" s="5"/>
      <c r="G90"/>
      <c r="H90"/>
      <c r="I90"/>
      <c r="J90"/>
    </row>
    <row r="91" spans="1:10" ht="13.5" thickBot="1">
      <c r="A91" s="5"/>
      <c r="B91" s="5"/>
      <c r="C91" s="5"/>
      <c r="D91" s="5"/>
      <c r="E91" s="5"/>
      <c r="F91" s="5"/>
      <c r="G91"/>
      <c r="H91"/>
      <c r="I91"/>
      <c r="J91"/>
    </row>
    <row r="92" spans="1:10" ht="12.75">
      <c r="A92" s="361" t="s">
        <v>297</v>
      </c>
      <c r="B92" s="362">
        <f>'Cost-Effectiveness Level'!B24</f>
        <v>1936</v>
      </c>
      <c r="C92" s="362">
        <f>'Cost-Effectiveness Level'!C24</f>
        <v>2421.6895999999997</v>
      </c>
      <c r="D92" s="363">
        <f>SUMPRODUCT('Cost-Effectiveness Level'!$I$4:$J$4,B92:C92)</f>
        <v>2084.135328</v>
      </c>
      <c r="E92" s="5"/>
      <c r="F92" s="5"/>
      <c r="G92" s="5"/>
      <c r="H92" s="5"/>
      <c r="I92" s="5"/>
      <c r="J92" s="5"/>
    </row>
    <row r="93" spans="1:10" ht="13.5" thickBot="1">
      <c r="A93" s="364" t="s">
        <v>294</v>
      </c>
      <c r="B93" s="365">
        <f>K47</f>
        <v>363.06203305416227</v>
      </c>
      <c r="C93" s="365">
        <f>L47</f>
        <v>422.4580811288203</v>
      </c>
      <c r="D93" s="366">
        <f>SUMPRODUCT('Cost-Effectiveness Level'!$I$4:$J$4,B93:C93)</f>
        <v>381.177827716933</v>
      </c>
      <c r="E93" s="5"/>
      <c r="F93" s="5"/>
      <c r="G93" s="5"/>
      <c r="H93" s="5"/>
      <c r="I93" s="5"/>
      <c r="J93" s="5"/>
    </row>
    <row r="94" spans="1:10" ht="13.5" thickBot="1">
      <c r="A94" s="367" t="s">
        <v>298</v>
      </c>
      <c r="B94" s="368">
        <f>SUM(B92:B93)</f>
        <v>2299.0620330541624</v>
      </c>
      <c r="C94" s="368">
        <f>SUM(C92:C93)</f>
        <v>2844.14768112882</v>
      </c>
      <c r="D94" s="369">
        <f>SUMPRODUCT('Cost-Effectiveness Level'!$I$4:$J$4,B94:C94)</f>
        <v>2465.3131557169327</v>
      </c>
      <c r="E94" s="5"/>
      <c r="F94" s="5"/>
      <c r="G94" s="5"/>
      <c r="H94" s="5"/>
      <c r="I94" s="5"/>
      <c r="J94" s="5"/>
    </row>
    <row r="95" spans="1:10" ht="13.5" thickBot="1">
      <c r="A95" s="5"/>
      <c r="B95" s="5"/>
      <c r="C95" s="5"/>
      <c r="D95" s="5"/>
      <c r="E95" s="5"/>
      <c r="F95" s="5"/>
      <c r="G95" s="5"/>
      <c r="H95" s="5"/>
      <c r="I95" s="5"/>
      <c r="J95" s="5"/>
    </row>
    <row r="96" spans="1:6" ht="13.5" thickBot="1">
      <c r="A96" s="5"/>
      <c r="B96" s="5"/>
      <c r="C96" s="460" t="s">
        <v>304</v>
      </c>
      <c r="D96" s="461"/>
      <c r="E96" s="461"/>
      <c r="F96" s="462"/>
    </row>
    <row r="97" spans="1:6" ht="51.75" thickBot="1">
      <c r="A97" s="397" t="s">
        <v>284</v>
      </c>
      <c r="B97" s="398" t="s">
        <v>285</v>
      </c>
      <c r="C97" s="407">
        <v>10920</v>
      </c>
      <c r="D97" s="176">
        <v>12492</v>
      </c>
      <c r="E97" s="241">
        <f>SUMPRODUCT('Cost-Effectiveness Level'!$I$4:$J$4,C97:D97)</f>
        <v>11399.46</v>
      </c>
      <c r="F97" s="408" t="s">
        <v>305</v>
      </c>
    </row>
    <row r="98" spans="1:6" ht="12.75">
      <c r="A98" s="155" t="s">
        <v>173</v>
      </c>
      <c r="B98" s="416">
        <f>B42</f>
        <v>0.24509973340070815</v>
      </c>
      <c r="C98" s="420">
        <f>VLOOKUP($A98,$O$43:$R$53,4,0)</f>
        <v>1201.2</v>
      </c>
      <c r="D98" s="396">
        <f>VLOOKUP($A98,$W$43:$Z$56,4,0)+VLOOKUP(A18,$W$43:$Z$56,4,0)</f>
        <v>1319.67</v>
      </c>
      <c r="E98" s="403">
        <f>SUMPRODUCT('Cost-Effectiveness Level'!$I$4:$J$4,C98:D98)</f>
        <v>1237.33335</v>
      </c>
      <c r="F98" s="158">
        <f aca="true" t="shared" si="29" ref="F98:F103">E98/12</f>
        <v>103.1111125</v>
      </c>
    </row>
    <row r="99" spans="1:6" ht="12.75">
      <c r="A99" s="157" t="s">
        <v>171</v>
      </c>
      <c r="B99" s="417">
        <f>B43</f>
        <v>0.13798330804791398</v>
      </c>
      <c r="C99" s="319">
        <f>VLOOKUP(A99,$O$43:$R$53,4,0)</f>
        <v>2912</v>
      </c>
      <c r="D99" s="395">
        <f>VLOOKUP($A99,$W$43:$Z$56,4,0)</f>
        <v>3040</v>
      </c>
      <c r="E99" s="404">
        <f>SUMPRODUCT('Cost-Effectiveness Level'!$I$4:$J$4,C99:D99)</f>
        <v>2951.04</v>
      </c>
      <c r="F99" s="158">
        <f t="shared" si="29"/>
        <v>245.92</v>
      </c>
    </row>
    <row r="100" spans="1:6" ht="12.75">
      <c r="A100" s="157" t="s">
        <v>172</v>
      </c>
      <c r="B100" s="417">
        <f>B44</f>
        <v>0.12499299834224581</v>
      </c>
      <c r="C100" s="319">
        <f>VLOOKUP(A100,$O$43:$R$53,4,0)</f>
        <v>728</v>
      </c>
      <c r="D100" s="395">
        <f>VLOOKUP($A100,$W$43:$Z$56,4,0)</f>
        <v>760</v>
      </c>
      <c r="E100" s="404">
        <f>SUMPRODUCT('Cost-Effectiveness Level'!$I$4:$J$4,C100:D100)</f>
        <v>737.76</v>
      </c>
      <c r="F100" s="158">
        <f t="shared" si="29"/>
        <v>61.48</v>
      </c>
    </row>
    <row r="101" spans="1:6" ht="12.75">
      <c r="A101" s="157" t="s">
        <v>167</v>
      </c>
      <c r="B101" s="417">
        <f>B45</f>
        <v>0.21150965275352854</v>
      </c>
      <c r="C101" s="319">
        <f>VLOOKUP(A101,$O$43:$R$53,4,0)</f>
        <v>4118.04</v>
      </c>
      <c r="D101" s="395">
        <f>VLOOKUP($A101,$W$43:$Z$56,4,0)</f>
        <v>6829.92</v>
      </c>
      <c r="E101" s="404">
        <f>SUMPRODUCT('Cost-Effectiveness Level'!$I$4:$J$4,C101:D101)</f>
        <v>4945.1633999999995</v>
      </c>
      <c r="F101" s="158">
        <f t="shared" si="29"/>
        <v>412.09694999999994</v>
      </c>
    </row>
    <row r="102" spans="1:6" ht="13.5" thickBot="1">
      <c r="A102" s="399" t="s">
        <v>242</v>
      </c>
      <c r="B102" s="418">
        <f>B46</f>
        <v>0.28041430745560353</v>
      </c>
      <c r="C102" s="421">
        <f>VLOOKUP(A102,$O$43:$R$53,4,0)</f>
        <v>18251.4</v>
      </c>
      <c r="D102" s="400">
        <f>VLOOKUP($A102,$W$43:$Z$56,4,0)</f>
        <v>19964.47</v>
      </c>
      <c r="E102" s="405">
        <f>SUMPRODUCT('Cost-Effectiveness Level'!$I$4:$J$4,C102:D102)</f>
        <v>18773.88635</v>
      </c>
      <c r="F102" s="158">
        <f t="shared" si="29"/>
        <v>1564.4905291666666</v>
      </c>
    </row>
    <row r="103" spans="1:6" ht="13.5" thickBot="1">
      <c r="A103" s="347" t="s">
        <v>293</v>
      </c>
      <c r="B103" s="419">
        <f>SUM(B98:B102)</f>
        <v>1</v>
      </c>
      <c r="C103" s="422">
        <f>SUMPRODUCT($B$98:$B$102,C98:C102)</f>
        <v>6776.174997109954</v>
      </c>
      <c r="D103" s="401">
        <f>SUMPRODUCT($B$98:$B$102,D98:D102)</f>
        <v>7880.831736685232</v>
      </c>
      <c r="E103" s="406">
        <f>SUMPRODUCT($B$98:$B$102,E98:E102)</f>
        <v>7113.095302680413</v>
      </c>
      <c r="F103" s="402">
        <f t="shared" si="29"/>
        <v>592.7579418900344</v>
      </c>
    </row>
    <row r="104" spans="1:6" ht="13.5" thickBot="1">
      <c r="A104" s="5"/>
      <c r="B104" s="5"/>
      <c r="C104" s="460" t="s">
        <v>306</v>
      </c>
      <c r="D104" s="461"/>
      <c r="E104" s="461"/>
      <c r="F104" s="462"/>
    </row>
    <row r="105" spans="1:6" ht="51.75" thickBot="1">
      <c r="A105" s="5"/>
      <c r="B105" s="5"/>
      <c r="C105" s="407">
        <v>10920</v>
      </c>
      <c r="D105" s="176">
        <v>12492</v>
      </c>
      <c r="E105" s="241">
        <f>SUMPRODUCT('Cost-Effectiveness Level'!$I$4:$J$4,C105:D105)</f>
        <v>11399.46</v>
      </c>
      <c r="F105" s="408" t="s">
        <v>307</v>
      </c>
    </row>
    <row r="106" spans="1:6" ht="12.75">
      <c r="A106" s="5"/>
      <c r="B106" s="5"/>
      <c r="C106" s="286">
        <v>2496.6439511697026</v>
      </c>
      <c r="D106" s="287">
        <v>1512.5645117396052</v>
      </c>
      <c r="E106" s="287">
        <f>SUMPRODUCT('Cost-Effectiveness Level'!$I$4:$J$4,C106:D106)</f>
        <v>2196.499722143523</v>
      </c>
      <c r="F106" s="413">
        <f aca="true" t="shared" si="30" ref="F106:F111">E106/12</f>
        <v>183.04164351196025</v>
      </c>
    </row>
    <row r="107" spans="1:6" ht="12.75">
      <c r="A107" s="5"/>
      <c r="B107" s="5"/>
      <c r="C107" s="264">
        <v>7978.6845439057215</v>
      </c>
      <c r="D107" s="195">
        <v>8589.370283521275</v>
      </c>
      <c r="E107" s="195">
        <f>SUMPRODUCT('Cost-Effectiveness Level'!$I$4:$J$4,C107:D107)</f>
        <v>8164.943694488466</v>
      </c>
      <c r="F107" s="355">
        <f t="shared" si="30"/>
        <v>680.4119745407055</v>
      </c>
    </row>
    <row r="108" spans="1:6" ht="12.75">
      <c r="A108" s="5"/>
      <c r="B108" s="5"/>
      <c r="C108" s="264">
        <v>1421.4412430273005</v>
      </c>
      <c r="D108" s="195">
        <v>1528.15608372321</v>
      </c>
      <c r="E108" s="195">
        <f>SUMPRODUCT('Cost-Effectiveness Level'!$I$4:$J$4,C108:D108)</f>
        <v>1453.989269439553</v>
      </c>
      <c r="F108" s="355">
        <f t="shared" si="30"/>
        <v>121.16577245329609</v>
      </c>
    </row>
    <row r="109" spans="1:6" ht="12.75">
      <c r="A109" s="5"/>
      <c r="B109" s="5"/>
      <c r="C109" s="264">
        <v>10160.412893603294</v>
      </c>
      <c r="D109" s="195">
        <v>17350.180047352987</v>
      </c>
      <c r="E109" s="195">
        <f>SUMPRODUCT('Cost-Effectiveness Level'!$I$4:$J$4,C109:D109)</f>
        <v>12353.29187549695</v>
      </c>
      <c r="F109" s="355">
        <f t="shared" si="30"/>
        <v>1029.440989624746</v>
      </c>
    </row>
    <row r="110" spans="1:6" ht="13.5" thickBot="1">
      <c r="A110" s="5"/>
      <c r="B110" s="5"/>
      <c r="C110" s="423">
        <v>26509.250493241274</v>
      </c>
      <c r="D110" s="409">
        <v>30354.79200009576</v>
      </c>
      <c r="E110" s="409">
        <f>SUMPRODUCT('Cost-Effectiveness Level'!$I$4:$J$4,C110:D110)</f>
        <v>27682.140652831895</v>
      </c>
      <c r="F110" s="414">
        <f t="shared" si="30"/>
        <v>2306.8450544026578</v>
      </c>
    </row>
    <row r="111" spans="1:6" ht="13.5" thickBot="1">
      <c r="A111" s="5"/>
      <c r="B111" s="5"/>
      <c r="C111" s="410">
        <f>SUMPRODUCT($B$98:$B$102,C106:C110)</f>
        <v>11473.120778188244</v>
      </c>
      <c r="D111" s="411">
        <f>SUMPRODUCT($B$98:$B$102,D106:D110)</f>
        <v>13928.576228879549</v>
      </c>
      <c r="E111" s="411">
        <f>SUMPRODUCT($B$98:$B$102,E106:E110)</f>
        <v>12222.034690649092</v>
      </c>
      <c r="F111" s="412">
        <f t="shared" si="30"/>
        <v>1018.5028908874243</v>
      </c>
    </row>
    <row r="112" spans="1:6" ht="13.5" thickBot="1">
      <c r="A112" s="5"/>
      <c r="B112" s="5"/>
      <c r="C112" s="460" t="s">
        <v>308</v>
      </c>
      <c r="D112" s="461"/>
      <c r="E112" s="461"/>
      <c r="F112" s="462"/>
    </row>
    <row r="113" spans="1:6" ht="51.75" thickBot="1">
      <c r="A113" s="5"/>
      <c r="B113" s="5"/>
      <c r="C113" s="407">
        <v>10920</v>
      </c>
      <c r="D113" s="176">
        <v>12492</v>
      </c>
      <c r="E113" s="241">
        <f>SUMPRODUCT('Cost-Effectiveness Level'!$I$4:$J$4,C113:D113)</f>
        <v>11399.46</v>
      </c>
      <c r="F113" s="408" t="s">
        <v>307</v>
      </c>
    </row>
    <row r="114" spans="1:6" ht="12.75">
      <c r="A114" s="5"/>
      <c r="B114" s="5"/>
      <c r="C114" s="286">
        <v>3279.9034648860106</v>
      </c>
      <c r="D114" s="287">
        <v>3906.6300079622306</v>
      </c>
      <c r="E114" s="287">
        <f>SUMPRODUCT('Cost-Effectiveness Level'!$I$4:$J$4,C114:D114)</f>
        <v>3471.055060524258</v>
      </c>
      <c r="F114" s="413">
        <f aca="true" t="shared" si="31" ref="F114:F119">E114/12</f>
        <v>289.2545883770215</v>
      </c>
    </row>
    <row r="115" spans="1:6" ht="12.75">
      <c r="A115" s="5"/>
      <c r="B115" s="5"/>
      <c r="C115" s="286">
        <v>10311.107801082864</v>
      </c>
      <c r="D115" s="287">
        <v>10962.871867752794</v>
      </c>
      <c r="E115" s="195">
        <f>SUMPRODUCT('Cost-Effectiveness Level'!$I$4:$J$4,C115:D115)</f>
        <v>10509.895841417194</v>
      </c>
      <c r="F115" s="355">
        <f t="shared" si="31"/>
        <v>875.8246534514328</v>
      </c>
    </row>
    <row r="116" spans="1:6" ht="12.75">
      <c r="A116" s="5"/>
      <c r="B116" s="5"/>
      <c r="C116" s="286">
        <v>1865.847441485137</v>
      </c>
      <c r="D116" s="287">
        <v>1974.7670485154376</v>
      </c>
      <c r="E116" s="195">
        <f>SUMPRODUCT('Cost-Effectiveness Level'!$I$4:$J$4,C116:D116)</f>
        <v>1899.0679216293788</v>
      </c>
      <c r="F116" s="355">
        <f t="shared" si="31"/>
        <v>158.25566013578157</v>
      </c>
    </row>
    <row r="117" spans="1:6" ht="12.75">
      <c r="A117" s="5"/>
      <c r="B117" s="5"/>
      <c r="C117" s="286">
        <v>13231.357979028631</v>
      </c>
      <c r="D117" s="287">
        <v>22348.508504655372</v>
      </c>
      <c r="E117" s="195">
        <f>SUMPRODUCT('Cost-Effectiveness Level'!$I$4:$J$4,C117:D117)</f>
        <v>16012.088889344788</v>
      </c>
      <c r="F117" s="355">
        <f t="shared" si="31"/>
        <v>1334.3407407787324</v>
      </c>
    </row>
    <row r="118" spans="1:6" ht="13.5" thickBot="1">
      <c r="A118" s="5"/>
      <c r="B118" s="5"/>
      <c r="C118" s="286">
        <v>35312.269300593616</v>
      </c>
      <c r="D118" s="287">
        <v>39812.66931274347</v>
      </c>
      <c r="E118" s="409">
        <f>SUMPRODUCT('Cost-Effectiveness Level'!$I$4:$J$4,C118:D118)</f>
        <v>36684.89130429932</v>
      </c>
      <c r="F118" s="414">
        <f t="shared" si="31"/>
        <v>3057.0742753582767</v>
      </c>
    </row>
    <row r="119" spans="1:6" ht="13.5" thickBot="1">
      <c r="A119" s="5"/>
      <c r="B119" s="5"/>
      <c r="C119" s="410">
        <f>SUMPRODUCT($B$98:$B$102,C114:C118)</f>
        <v>15160.507567229823</v>
      </c>
      <c r="D119" s="411">
        <f>SUMPRODUCT($B$98:$B$102,D114:D118)</f>
        <v>18608.00672055696</v>
      </c>
      <c r="E119" s="411">
        <f>SUMPRODUCT($B$98:$B$102,E114:E118)</f>
        <v>16211.994808994601</v>
      </c>
      <c r="F119" s="412">
        <f t="shared" si="31"/>
        <v>1350.9995674162167</v>
      </c>
    </row>
    <row r="120" spans="1:6" ht="13.5" thickBot="1">
      <c r="A120" s="5"/>
      <c r="B120" s="5"/>
      <c r="C120" s="460" t="s">
        <v>309</v>
      </c>
      <c r="D120" s="461"/>
      <c r="E120" s="461"/>
      <c r="F120" s="462"/>
    </row>
    <row r="121" spans="1:6" ht="51.75" thickBot="1">
      <c r="A121" s="5"/>
      <c r="B121" s="5"/>
      <c r="C121" s="407">
        <v>10920</v>
      </c>
      <c r="D121" s="176">
        <v>12492</v>
      </c>
      <c r="E121" s="241">
        <f>SUMPRODUCT('Cost-Effectiveness Level'!$I$4:$J$4,C121:D121)</f>
        <v>11399.46</v>
      </c>
      <c r="F121" s="408" t="s">
        <v>307</v>
      </c>
    </row>
    <row r="122" spans="1:6" ht="12.75">
      <c r="A122" s="5"/>
      <c r="B122" s="5"/>
      <c r="C122" s="286">
        <v>3847.832197629192</v>
      </c>
      <c r="D122" s="287">
        <v>4629.5914254479285</v>
      </c>
      <c r="E122" s="287">
        <f>SUMPRODUCT('Cost-Effectiveness Level'!$I$4:$J$4,C122:D122)</f>
        <v>4086.2687621139066</v>
      </c>
      <c r="F122" s="413">
        <f aca="true" t="shared" si="32" ref="F122:F127">E122/12</f>
        <v>340.5223968428256</v>
      </c>
    </row>
    <row r="123" spans="1:6" ht="12.75">
      <c r="A123" s="5"/>
      <c r="B123" s="5"/>
      <c r="C123" s="286">
        <v>12190.087729079823</v>
      </c>
      <c r="D123" s="287">
        <v>12934.964943205268</v>
      </c>
      <c r="E123" s="195">
        <f>SUMPRODUCT('Cost-Effectiveness Level'!$I$4:$J$4,C123:D123)</f>
        <v>12417.275279388085</v>
      </c>
      <c r="F123" s="355">
        <f t="shared" si="32"/>
        <v>1034.772939949007</v>
      </c>
    </row>
    <row r="124" spans="1:6" ht="12.75">
      <c r="A124" s="5"/>
      <c r="B124" s="5"/>
      <c r="C124" s="286">
        <v>2194.5850603849103</v>
      </c>
      <c r="D124" s="287">
        <v>2337.011151473591</v>
      </c>
      <c r="E124" s="195">
        <f>SUMPRODUCT('Cost-Effectiveness Level'!$I$4:$J$4,C124:D124)</f>
        <v>2238.025018166958</v>
      </c>
      <c r="F124" s="355">
        <f t="shared" si="32"/>
        <v>186.5020848472465</v>
      </c>
    </row>
    <row r="125" spans="1:6" ht="12.75">
      <c r="A125" s="5"/>
      <c r="B125" s="5"/>
      <c r="C125" s="286">
        <v>15600.413751048516</v>
      </c>
      <c r="D125" s="287">
        <v>26400.595680893646</v>
      </c>
      <c r="E125" s="195">
        <f>SUMPRODUCT('Cost-Effectiveness Level'!$I$4:$J$4,C125:D125)</f>
        <v>18894.46923965128</v>
      </c>
      <c r="F125" s="355">
        <f t="shared" si="32"/>
        <v>1574.5391033042733</v>
      </c>
    </row>
    <row r="126" spans="1:6" ht="13.5" thickBot="1">
      <c r="A126" s="5"/>
      <c r="B126" s="5"/>
      <c r="C126" s="286">
        <v>41403.42563791149</v>
      </c>
      <c r="D126" s="287">
        <v>46813.489501796575</v>
      </c>
      <c r="E126" s="409">
        <f>SUMPRODUCT('Cost-Effectiveness Level'!$I$4:$J$4,C126:D126)</f>
        <v>43053.49511639644</v>
      </c>
      <c r="F126" s="414">
        <f t="shared" si="32"/>
        <v>3587.7912596997035</v>
      </c>
    </row>
    <row r="127" spans="1:6" ht="13.5" thickBot="1">
      <c r="A127" s="5"/>
      <c r="B127" s="5"/>
      <c r="C127" s="410">
        <f>SUMPRODUCT($B$98:$B$102,C122:C126)</f>
        <v>17809.190064717077</v>
      </c>
      <c r="D127" s="411">
        <f>SUMPRODUCT($B$98:$B$102,D122:D126)</f>
        <v>21922.783970639273</v>
      </c>
      <c r="E127" s="411">
        <f>SUMPRODUCT($B$98:$B$102,E122:E126)</f>
        <v>19063.83620602335</v>
      </c>
      <c r="F127" s="412">
        <f t="shared" si="32"/>
        <v>1588.6530171686125</v>
      </c>
    </row>
    <row r="128" spans="1:6" ht="13.5" thickBot="1">
      <c r="A128" s="5"/>
      <c r="B128" s="5"/>
      <c r="C128" s="460" t="s">
        <v>310</v>
      </c>
      <c r="D128" s="461"/>
      <c r="E128" s="461"/>
      <c r="F128" s="462"/>
    </row>
    <row r="129" spans="1:6" ht="51.75" thickBot="1">
      <c r="A129" s="5"/>
      <c r="B129" s="5"/>
      <c r="C129" s="407">
        <v>10920</v>
      </c>
      <c r="D129" s="176">
        <v>12492</v>
      </c>
      <c r="E129" s="241">
        <f>SUMPRODUCT('Cost-Effectiveness Level'!$I$4:$J$4,C129:D129)</f>
        <v>11399.46</v>
      </c>
      <c r="F129" s="408" t="s">
        <v>307</v>
      </c>
    </row>
    <row r="130" spans="1:6" ht="12.75">
      <c r="A130" s="5"/>
      <c r="B130" s="5"/>
      <c r="C130" s="286">
        <v>2710.074492752501</v>
      </c>
      <c r="D130" s="287">
        <v>3272.817707356997</v>
      </c>
      <c r="E130" s="287">
        <f>SUMPRODUCT('Cost-Effectiveness Level'!$I$4:$J$4,C130:D130)</f>
        <v>2881.7111732068724</v>
      </c>
      <c r="F130" s="413">
        <f aca="true" t="shared" si="33" ref="F130:F135">E130/12</f>
        <v>240.14259776723938</v>
      </c>
    </row>
    <row r="131" spans="1:6" ht="12.75">
      <c r="A131" s="5"/>
      <c r="B131" s="5"/>
      <c r="C131" s="286">
        <v>8634.350479001456</v>
      </c>
      <c r="D131" s="287">
        <v>9276.206294028132</v>
      </c>
      <c r="E131" s="195">
        <f>SUMPRODUCT('Cost-Effectiveness Level'!$I$4:$J$4,C131:D131)</f>
        <v>8830.116502584591</v>
      </c>
      <c r="F131" s="355">
        <f t="shared" si="33"/>
        <v>735.8430418820493</v>
      </c>
    </row>
    <row r="132" spans="1:6" ht="12.75">
      <c r="A132" s="5"/>
      <c r="B132" s="5"/>
      <c r="C132" s="286">
        <v>1542.7396624249886</v>
      </c>
      <c r="D132" s="287">
        <v>1653.7388728201186</v>
      </c>
      <c r="E132" s="195">
        <f>SUMPRODUCT('Cost-Effectiveness Level'!$I$4:$J$4,C132:D132)</f>
        <v>1576.5944215955033</v>
      </c>
      <c r="F132" s="355">
        <f t="shared" si="33"/>
        <v>131.38286846629194</v>
      </c>
    </row>
    <row r="133" spans="1:6" ht="12.75">
      <c r="A133" s="5"/>
      <c r="B133" s="5"/>
      <c r="C133" s="286">
        <v>11015.615155220556</v>
      </c>
      <c r="D133" s="287">
        <v>18770.86360119113</v>
      </c>
      <c r="E133" s="195">
        <f>SUMPRODUCT('Cost-Effectiveness Level'!$I$4:$J$4,C133:D133)</f>
        <v>13380.96593124158</v>
      </c>
      <c r="F133" s="355">
        <f t="shared" si="33"/>
        <v>1115.0804942701318</v>
      </c>
    </row>
    <row r="134" spans="1:6" ht="13.5" thickBot="1">
      <c r="A134" s="5"/>
      <c r="B134" s="5"/>
      <c r="C134" s="286">
        <v>28845.255507644928</v>
      </c>
      <c r="D134" s="287">
        <v>32920.514080944806</v>
      </c>
      <c r="E134" s="409">
        <f>SUMPRODUCT('Cost-Effectiveness Level'!$I$4:$J$4,C134:D134)</f>
        <v>30088.20937250139</v>
      </c>
      <c r="F134" s="414">
        <f t="shared" si="33"/>
        <v>2507.3507810417827</v>
      </c>
    </row>
    <row r="135" spans="1:6" ht="13.5" thickBot="1">
      <c r="A135" s="5"/>
      <c r="B135" s="5"/>
      <c r="C135" s="410">
        <f>SUMPRODUCT($B$98:$B$102,C130:C134)</f>
        <v>12466.997716578804</v>
      </c>
      <c r="D135" s="411">
        <f>SUMPRODUCT($B$98:$B$102,D130:D134)</f>
        <v>15490.436157578479</v>
      </c>
      <c r="E135" s="411">
        <f>SUMPRODUCT($B$98:$B$102,E130:E134)</f>
        <v>13389.146441083705</v>
      </c>
      <c r="F135" s="412">
        <f t="shared" si="33"/>
        <v>1115.7622034236422</v>
      </c>
    </row>
    <row r="136" spans="1:10" ht="13.5" thickBot="1">
      <c r="A136" s="5"/>
      <c r="B136" s="5"/>
      <c r="C136" s="463" t="str">
        <f>"Incremental Savings "&amp;'Cost-Effectiveness Level'!N30</f>
        <v>Incremental Savings CASE =&gt; PNW Region</v>
      </c>
      <c r="D136" s="464"/>
      <c r="E136" s="464"/>
      <c r="F136" s="465"/>
      <c r="G136" s="5"/>
      <c r="H136" s="5"/>
      <c r="I136" s="5"/>
      <c r="J136" s="5"/>
    </row>
    <row r="137" spans="1:10" ht="51.75" thickBot="1">
      <c r="A137" s="5"/>
      <c r="B137" s="5"/>
      <c r="C137" s="407">
        <v>10920</v>
      </c>
      <c r="D137" s="176">
        <v>12492</v>
      </c>
      <c r="E137" s="241">
        <f>SUMPRODUCT('Cost-Effectiveness Level'!$I$4:$J$4,C137:D137)</f>
        <v>11399.46</v>
      </c>
      <c r="F137" s="408" t="s">
        <v>307</v>
      </c>
      <c r="G137" s="5"/>
      <c r="H137" s="5"/>
      <c r="I137" s="5"/>
      <c r="J137" s="5"/>
    </row>
    <row r="138" spans="1:10" ht="12.75">
      <c r="A138" s="5"/>
      <c r="B138" s="5"/>
      <c r="C138" s="286">
        <f>VLOOKUP($A$98,$O$43:$V$53,8,0)</f>
        <v>2710.074492752501</v>
      </c>
      <c r="D138" s="287">
        <f>VLOOKUP($A$98,$W$43:$AD$56,8,0)+$AD$47</f>
        <v>3272.817707356997</v>
      </c>
      <c r="E138" s="287">
        <f>SUMPRODUCT('Cost-Effectiveness Level'!$I$4:$J$4,C138:D138)</f>
        <v>2881.7111732068724</v>
      </c>
      <c r="F138" s="413">
        <f aca="true" t="shared" si="34" ref="F138:F143">E138/12</f>
        <v>240.14259776723938</v>
      </c>
      <c r="G138" s="5"/>
      <c r="H138" s="5"/>
      <c r="I138" s="5"/>
      <c r="J138" s="5"/>
    </row>
    <row r="139" spans="1:10" ht="12.75">
      <c r="A139" s="5"/>
      <c r="B139" s="5"/>
      <c r="C139" s="286">
        <f>VLOOKUP($A$99,$O$43:$V$53,8,0)</f>
        <v>8634.350479001456</v>
      </c>
      <c r="D139" s="287">
        <f>VLOOKUP($A$99,$W$43:$AD$56,8,0)</f>
        <v>9276.206294028132</v>
      </c>
      <c r="E139" s="195">
        <f>SUMPRODUCT('Cost-Effectiveness Level'!$I$4:$J$4,C139:D139)</f>
        <v>8830.116502584591</v>
      </c>
      <c r="F139" s="355">
        <f t="shared" si="34"/>
        <v>735.8430418820493</v>
      </c>
      <c r="G139" s="5"/>
      <c r="H139" s="5"/>
      <c r="I139" s="5"/>
      <c r="J139" s="5"/>
    </row>
    <row r="140" spans="1:10" ht="12.75">
      <c r="A140" s="5"/>
      <c r="B140" s="5"/>
      <c r="C140" s="286">
        <f>VLOOKUP($A$100,$O$43:$V$53,8,0)</f>
        <v>1542.7396624249886</v>
      </c>
      <c r="D140" s="287">
        <f>VLOOKUP($A$100,$W$43:$AD$56,8,0)</f>
        <v>1653.7388728201186</v>
      </c>
      <c r="E140" s="195">
        <f>SUMPRODUCT('Cost-Effectiveness Level'!$I$4:$J$4,C140:D140)</f>
        <v>1576.5944215955033</v>
      </c>
      <c r="F140" s="355">
        <f t="shared" si="34"/>
        <v>131.38286846629194</v>
      </c>
      <c r="G140" s="5"/>
      <c r="H140" s="5"/>
      <c r="I140" s="5"/>
      <c r="J140" s="5"/>
    </row>
    <row r="141" spans="1:10" ht="12.75">
      <c r="A141" s="5"/>
      <c r="B141" s="5"/>
      <c r="C141" s="286">
        <f>VLOOKUP($A$101,$O$43:$V$53,8,0)</f>
        <v>11015.615155220556</v>
      </c>
      <c r="D141" s="287">
        <f>VLOOKUP($A$101,$W$43:$AD$56,8,0)</f>
        <v>18770.86360119113</v>
      </c>
      <c r="E141" s="195">
        <f>SUMPRODUCT('Cost-Effectiveness Level'!$I$4:$J$4,C141:D141)</f>
        <v>13380.96593124158</v>
      </c>
      <c r="F141" s="355">
        <f t="shared" si="34"/>
        <v>1115.0804942701318</v>
      </c>
      <c r="G141" s="5"/>
      <c r="H141" s="5"/>
      <c r="I141" s="5"/>
      <c r="J141" s="5"/>
    </row>
    <row r="142" spans="1:10" ht="13.5" thickBot="1">
      <c r="A142" s="5"/>
      <c r="B142" s="5"/>
      <c r="C142" s="286">
        <f>VLOOKUP($A$102,$O$43:$V$53,8,0)</f>
        <v>28845.255507644928</v>
      </c>
      <c r="D142" s="287">
        <f>VLOOKUP($A$102,$W$43:$AD$56,8,0)</f>
        <v>32920.514080944806</v>
      </c>
      <c r="E142" s="409">
        <f>SUMPRODUCT('Cost-Effectiveness Level'!$I$4:$J$4,C142:D142)</f>
        <v>30088.20937250139</v>
      </c>
      <c r="F142" s="414">
        <f t="shared" si="34"/>
        <v>2507.3507810417827</v>
      </c>
      <c r="G142" s="5"/>
      <c r="H142" s="5"/>
      <c r="I142" s="5"/>
      <c r="J142" s="5"/>
    </row>
    <row r="143" spans="1:10" ht="13.5" thickBot="1">
      <c r="A143" s="5"/>
      <c r="B143" s="5"/>
      <c r="C143" s="410">
        <f>SUMPRODUCT($B$98:$B$102,C138:C142)</f>
        <v>12466.997716578804</v>
      </c>
      <c r="D143" s="411">
        <f>SUMPRODUCT($B$98:$B$102,D138:D142)</f>
        <v>15490.436157578479</v>
      </c>
      <c r="E143" s="411">
        <f>SUMPRODUCT($B$98:$B$102,E138:E142)</f>
        <v>13389.146441083705</v>
      </c>
      <c r="F143" s="412">
        <f t="shared" si="34"/>
        <v>1115.7622034236422</v>
      </c>
      <c r="G143" s="5"/>
      <c r="H143" s="5"/>
      <c r="I143" s="5"/>
      <c r="J143" s="5"/>
    </row>
    <row r="144" spans="1:10" ht="12.75">
      <c r="A144" s="5"/>
      <c r="B144" s="5"/>
      <c r="C144" s="5"/>
      <c r="D144" s="5"/>
      <c r="E144" s="5"/>
      <c r="F144" s="5"/>
      <c r="G144" s="5"/>
      <c r="H144" s="5"/>
      <c r="I144" s="5"/>
      <c r="J144" s="5"/>
    </row>
    <row r="145" spans="3:10" ht="12.75">
      <c r="C145" s="5"/>
      <c r="D145" s="5"/>
      <c r="E145" s="5"/>
      <c r="F145" s="5"/>
      <c r="G145" s="5"/>
      <c r="H145" s="5"/>
      <c r="I145" s="5"/>
      <c r="J145" s="5"/>
    </row>
    <row r="146" spans="3:10" ht="12.75">
      <c r="C146" s="5"/>
      <c r="D146" s="5"/>
      <c r="E146" s="5"/>
      <c r="F146" s="5"/>
      <c r="G146" s="5"/>
      <c r="H146" s="5"/>
      <c r="I146" s="5"/>
      <c r="J146" s="5"/>
    </row>
    <row r="147" spans="3:10" ht="12.75">
      <c r="C147" s="5"/>
      <c r="D147" s="5"/>
      <c r="E147" s="5"/>
      <c r="F147" s="5"/>
      <c r="G147" s="5"/>
      <c r="H147" s="5"/>
      <c r="I147" s="5"/>
      <c r="J147" s="5"/>
    </row>
    <row r="148" spans="3:10" ht="12.75">
      <c r="C148" s="5"/>
      <c r="D148" s="5"/>
      <c r="E148" s="5"/>
      <c r="F148" s="5"/>
      <c r="G148" s="5"/>
      <c r="H148" s="5"/>
      <c r="I148" s="5"/>
      <c r="J148" s="5"/>
    </row>
    <row r="149" spans="3:10" ht="12.75">
      <c r="C149" s="5"/>
      <c r="D149" s="5"/>
      <c r="E149" s="5"/>
      <c r="F149" s="5"/>
      <c r="G149" s="5"/>
      <c r="H149" s="5"/>
      <c r="I149" s="5"/>
      <c r="J149" s="5"/>
    </row>
    <row r="150" spans="3:10" ht="12.75">
      <c r="C150" s="5"/>
      <c r="D150" s="5"/>
      <c r="E150" s="5"/>
      <c r="F150" s="5"/>
      <c r="G150" s="5"/>
      <c r="H150" s="5"/>
      <c r="I150" s="5"/>
      <c r="J150" s="5"/>
    </row>
    <row r="151" spans="3:10" ht="12.75">
      <c r="C151" s="5"/>
      <c r="D151" s="5"/>
      <c r="E151" s="5"/>
      <c r="F151" s="5"/>
      <c r="G151" s="5"/>
      <c r="H151" s="5"/>
      <c r="I151" s="5"/>
      <c r="J151" s="5"/>
    </row>
    <row r="152" spans="5:10" ht="12.75">
      <c r="E152" s="5"/>
      <c r="F152" s="5"/>
      <c r="G152" s="5"/>
      <c r="H152" s="5"/>
      <c r="I152" s="5"/>
      <c r="J152" s="5"/>
    </row>
    <row r="153" ht="12.75">
      <c r="E153" s="5"/>
    </row>
    <row r="154" ht="12.75">
      <c r="E154" s="5"/>
    </row>
    <row r="155" ht="12.75">
      <c r="E155" s="5"/>
    </row>
    <row r="156" ht="12.75">
      <c r="E156" s="5"/>
    </row>
    <row r="157" ht="12.75">
      <c r="E157" s="5"/>
    </row>
    <row r="158" ht="12.75">
      <c r="E158" s="5"/>
    </row>
    <row r="159" ht="12.75">
      <c r="E159" s="5"/>
    </row>
    <row r="160" ht="12.75">
      <c r="E160" s="5"/>
    </row>
    <row r="161" ht="12.75">
      <c r="E161" s="5"/>
    </row>
    <row r="162" ht="12.75">
      <c r="E162" s="5"/>
    </row>
    <row r="163" ht="12.75">
      <c r="E163" s="5"/>
    </row>
  </sheetData>
  <mergeCells count="16">
    <mergeCell ref="C128:F128"/>
    <mergeCell ref="C136:F136"/>
    <mergeCell ref="C96:F96"/>
    <mergeCell ref="C104:F104"/>
    <mergeCell ref="C112:F112"/>
    <mergeCell ref="C120:F120"/>
    <mergeCell ref="K40:M40"/>
    <mergeCell ref="J4:K4"/>
    <mergeCell ref="I4:I5"/>
    <mergeCell ref="D64:E64"/>
    <mergeCell ref="E4:F4"/>
    <mergeCell ref="C4:D4"/>
    <mergeCell ref="G4:H4"/>
    <mergeCell ref="A40:D40"/>
    <mergeCell ref="E40:G40"/>
    <mergeCell ref="H40:J40"/>
  </mergeCells>
  <printOptions gridLines="1"/>
  <pageMargins left="0.75" right="0.75" top="0.73" bottom="0.48" header="0.5" footer="0.5"/>
  <pageSetup horizontalDpi="600" verticalDpi="600" orientation="landscape"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AE172"/>
  <sheetViews>
    <sheetView zoomScale="75" zoomScaleNormal="75" workbookViewId="0" topLeftCell="J1">
      <selection activeCell="A1" sqref="A1"/>
    </sheetView>
  </sheetViews>
  <sheetFormatPr defaultColWidth="9.140625" defaultRowHeight="12.75"/>
  <cols>
    <col min="1" max="1" width="74.7109375" style="5" customWidth="1"/>
    <col min="2" max="2" width="9.7109375" style="5" customWidth="1"/>
    <col min="3" max="3" width="9.8515625" style="5" customWidth="1"/>
    <col min="4" max="4" width="10.57421875" style="5" customWidth="1"/>
    <col min="5" max="5" width="8.7109375" style="5" customWidth="1"/>
    <col min="6" max="6" width="19.7109375" style="5" customWidth="1"/>
    <col min="7" max="7" width="12.421875" style="5" customWidth="1"/>
    <col min="8" max="8" width="20.57421875" style="103" customWidth="1"/>
    <col min="9" max="10" width="14.57421875" style="103" customWidth="1"/>
    <col min="11" max="11" width="10.28125" style="5" customWidth="1"/>
    <col min="12" max="12" width="11.140625" style="5" customWidth="1"/>
    <col min="13" max="13" width="8.57421875" style="5" customWidth="1"/>
    <col min="14" max="14" width="25.7109375" style="5" customWidth="1"/>
    <col min="15" max="15" width="17.57421875" style="5" customWidth="1"/>
    <col min="16" max="16" width="16.00390625" style="5" customWidth="1"/>
    <col min="17" max="17" width="11.140625" style="5" customWidth="1"/>
    <col min="18" max="18" width="13.140625" style="5" customWidth="1"/>
    <col min="19" max="16384" width="8.7109375" style="5" customWidth="1"/>
  </cols>
  <sheetData>
    <row r="1" spans="1:11" ht="21" customHeight="1" thickBot="1">
      <c r="A1" s="131" t="s">
        <v>226</v>
      </c>
      <c r="B1" s="502"/>
      <c r="C1" s="503"/>
      <c r="D1"/>
      <c r="E1"/>
      <c r="F1"/>
      <c r="H1" s="150"/>
      <c r="I1" s="150"/>
      <c r="J1" s="150"/>
      <c r="K1" s="328" t="s">
        <v>248</v>
      </c>
    </row>
    <row r="2" spans="1:11" ht="15" thickBot="1">
      <c r="A2" s="132" t="s">
        <v>180</v>
      </c>
      <c r="B2" s="133" t="s">
        <v>181</v>
      </c>
      <c r="C2" s="133" t="s">
        <v>182</v>
      </c>
      <c r="D2" s="133" t="s">
        <v>183</v>
      </c>
      <c r="E2" s="133" t="s">
        <v>184</v>
      </c>
      <c r="F2" s="134"/>
      <c r="G2" s="104"/>
      <c r="H2" s="329" t="s">
        <v>250</v>
      </c>
      <c r="I2" s="325">
        <f>I3/12</f>
        <v>910</v>
      </c>
      <c r="J2" s="326">
        <f>J3/12</f>
        <v>1041</v>
      </c>
      <c r="K2" s="331">
        <f>SUMPRODUCT(I2:J2,I4:J4)</f>
        <v>949.9549999999999</v>
      </c>
    </row>
    <row r="3" spans="1:11" ht="15" thickBot="1">
      <c r="A3" s="128" t="s">
        <v>185</v>
      </c>
      <c r="B3" s="129">
        <f>INDEX($B5:$E14,$A14,B14)</f>
        <v>0.2</v>
      </c>
      <c r="C3" s="129">
        <f>INDEX($B5:$E14,$A14,C14)</f>
        <v>0.5</v>
      </c>
      <c r="D3" s="129">
        <f>INDEX($B5:$E14,$A14,D14)</f>
        <v>0.25</v>
      </c>
      <c r="E3" s="129">
        <f>INDEX($B5:$E14,$A14,E14)</f>
        <v>0.05</v>
      </c>
      <c r="F3" s="130">
        <f>SUM(B3:E3)</f>
        <v>1</v>
      </c>
      <c r="G3" s="104"/>
      <c r="H3" s="330" t="s">
        <v>273</v>
      </c>
      <c r="I3" s="325">
        <v>10920</v>
      </c>
      <c r="J3" s="326">
        <v>12492</v>
      </c>
      <c r="K3" s="331">
        <f>SUMPRODUCT(I3:J3,I4:J4)</f>
        <v>11399.46</v>
      </c>
    </row>
    <row r="4" spans="1:11" ht="15" thickBot="1">
      <c r="A4" s="119" t="s">
        <v>224</v>
      </c>
      <c r="B4" s="120"/>
      <c r="C4" s="120"/>
      <c r="D4" s="120"/>
      <c r="E4" s="120"/>
      <c r="F4" s="121"/>
      <c r="G4" s="104"/>
      <c r="H4" s="330" t="s">
        <v>249</v>
      </c>
      <c r="I4" s="324">
        <v>0.695</v>
      </c>
      <c r="J4" s="327">
        <f>1-I4</f>
        <v>0.30500000000000005</v>
      </c>
      <c r="K4" s="332">
        <f>SUM(I4:J4)</f>
        <v>1</v>
      </c>
    </row>
    <row r="5" spans="1:7" ht="14.25">
      <c r="A5" s="122" t="s">
        <v>177</v>
      </c>
      <c r="B5" s="105">
        <v>0.4</v>
      </c>
      <c r="C5" s="105">
        <v>0.45</v>
      </c>
      <c r="D5" s="105">
        <v>0.15</v>
      </c>
      <c r="E5" s="105">
        <v>0</v>
      </c>
      <c r="F5" s="123">
        <f aca="true" t="shared" si="0" ref="F5:F13">SUM(B5:E5)</f>
        <v>1</v>
      </c>
      <c r="G5" s="104"/>
    </row>
    <row r="6" spans="1:7" ht="14.25">
      <c r="A6" s="122" t="s">
        <v>178</v>
      </c>
      <c r="B6" s="105">
        <v>0</v>
      </c>
      <c r="C6" s="105">
        <v>0.07</v>
      </c>
      <c r="D6" s="105">
        <v>0.93</v>
      </c>
      <c r="E6" s="105">
        <v>0</v>
      </c>
      <c r="F6" s="123">
        <f t="shared" si="0"/>
        <v>1</v>
      </c>
      <c r="G6" s="104"/>
    </row>
    <row r="7" spans="1:7" ht="14.25">
      <c r="A7" s="122" t="s">
        <v>179</v>
      </c>
      <c r="B7" s="105">
        <v>0</v>
      </c>
      <c r="C7" s="105">
        <v>0</v>
      </c>
      <c r="D7" s="105">
        <v>0</v>
      </c>
      <c r="E7" s="105">
        <v>1</v>
      </c>
      <c r="F7" s="123">
        <f t="shared" si="0"/>
        <v>1</v>
      </c>
      <c r="G7" s="104"/>
    </row>
    <row r="8" spans="1:7" ht="14.25">
      <c r="A8" s="124" t="s">
        <v>214</v>
      </c>
      <c r="B8" s="105">
        <v>0.2</v>
      </c>
      <c r="C8" s="105">
        <v>0.5</v>
      </c>
      <c r="D8" s="105">
        <v>0.25</v>
      </c>
      <c r="E8" s="105">
        <v>0.05</v>
      </c>
      <c r="F8" s="123">
        <f t="shared" si="0"/>
        <v>1</v>
      </c>
      <c r="G8" s="104"/>
    </row>
    <row r="9" spans="1:7" ht="14.25">
      <c r="A9" s="124" t="s">
        <v>181</v>
      </c>
      <c r="B9" s="105">
        <v>1</v>
      </c>
      <c r="C9" s="105">
        <v>0</v>
      </c>
      <c r="D9" s="105">
        <v>0</v>
      </c>
      <c r="E9" s="105">
        <v>0</v>
      </c>
      <c r="F9" s="123">
        <f t="shared" si="0"/>
        <v>1</v>
      </c>
      <c r="G9" s="104"/>
    </row>
    <row r="10" spans="1:7" ht="14.25">
      <c r="A10" s="124" t="s">
        <v>182</v>
      </c>
      <c r="B10" s="105">
        <v>0</v>
      </c>
      <c r="C10" s="105">
        <v>1</v>
      </c>
      <c r="D10" s="105">
        <v>0</v>
      </c>
      <c r="E10" s="105">
        <v>0</v>
      </c>
      <c r="F10" s="123">
        <f t="shared" si="0"/>
        <v>1</v>
      </c>
      <c r="G10" s="104"/>
    </row>
    <row r="11" spans="1:7" ht="14.25">
      <c r="A11" s="124" t="s">
        <v>225</v>
      </c>
      <c r="B11" s="105">
        <v>0</v>
      </c>
      <c r="C11" s="105">
        <v>0.44</v>
      </c>
      <c r="D11" s="105">
        <v>0.56</v>
      </c>
      <c r="E11" s="105">
        <v>0</v>
      </c>
      <c r="F11" s="123">
        <f t="shared" si="0"/>
        <v>1</v>
      </c>
      <c r="G11" s="104"/>
    </row>
    <row r="12" spans="1:7" ht="15" thickBot="1">
      <c r="A12" s="124" t="s">
        <v>191</v>
      </c>
      <c r="B12" s="105">
        <v>0</v>
      </c>
      <c r="C12" s="105">
        <v>0</v>
      </c>
      <c r="D12" s="105">
        <v>1</v>
      </c>
      <c r="E12" s="105">
        <v>0</v>
      </c>
      <c r="F12" s="123">
        <f t="shared" si="0"/>
        <v>1</v>
      </c>
      <c r="G12" s="104"/>
    </row>
    <row r="13" spans="1:31" ht="18" customHeight="1" thickBot="1">
      <c r="A13" s="125" t="s">
        <v>184</v>
      </c>
      <c r="B13" s="126">
        <v>0</v>
      </c>
      <c r="C13" s="126">
        <v>0</v>
      </c>
      <c r="D13" s="126">
        <v>0</v>
      </c>
      <c r="E13" s="126">
        <v>1</v>
      </c>
      <c r="F13" s="127">
        <f t="shared" si="0"/>
        <v>1</v>
      </c>
      <c r="G13" s="104"/>
      <c r="N13" s="485" t="s">
        <v>312</v>
      </c>
      <c r="O13" s="486"/>
      <c r="P13" s="486"/>
      <c r="Q13" s="487"/>
      <c r="S13"/>
      <c r="T13"/>
      <c r="U13"/>
      <c r="V13"/>
      <c r="W13"/>
      <c r="X13"/>
      <c r="Y13"/>
      <c r="Z13"/>
      <c r="AA13"/>
      <c r="AB13"/>
      <c r="AC13"/>
      <c r="AD13"/>
      <c r="AE13"/>
    </row>
    <row r="14" spans="1:31" ht="15" thickBot="1">
      <c r="A14" s="135">
        <v>4</v>
      </c>
      <c r="B14" s="136">
        <v>1</v>
      </c>
      <c r="C14" s="136">
        <v>2</v>
      </c>
      <c r="D14" s="136">
        <v>3</v>
      </c>
      <c r="E14" s="136">
        <v>4</v>
      </c>
      <c r="F14" s="137"/>
      <c r="G14" s="104"/>
      <c r="N14"/>
      <c r="O14"/>
      <c r="P14"/>
      <c r="Q14"/>
      <c r="R14"/>
      <c r="S14"/>
      <c r="T14"/>
      <c r="U14"/>
      <c r="V14"/>
      <c r="W14"/>
      <c r="X14"/>
      <c r="Y14"/>
      <c r="Z14"/>
      <c r="AA14"/>
      <c r="AB14"/>
      <c r="AC14"/>
      <c r="AD14"/>
      <c r="AE14" t="s">
        <v>313</v>
      </c>
    </row>
    <row r="15" spans="1:31" ht="15" thickBot="1">
      <c r="A15" s="138"/>
      <c r="B15" s="139"/>
      <c r="C15" s="139"/>
      <c r="D15" s="139"/>
      <c r="E15" s="139"/>
      <c r="F15" s="140"/>
      <c r="G15" s="104"/>
      <c r="N15"/>
      <c r="O15"/>
      <c r="P15"/>
      <c r="Q15"/>
      <c r="R15"/>
      <c r="S15"/>
      <c r="T15"/>
      <c r="U15"/>
      <c r="V15"/>
      <c r="W15"/>
      <c r="X15"/>
      <c r="Y15"/>
      <c r="Z15"/>
      <c r="AA15"/>
      <c r="AB15"/>
      <c r="AC15"/>
      <c r="AD15"/>
      <c r="AE15" t="s">
        <v>314</v>
      </c>
    </row>
    <row r="16" spans="1:31" ht="15" thickBot="1">
      <c r="A16" s="504" t="s">
        <v>227</v>
      </c>
      <c r="B16" s="505"/>
      <c r="C16" s="505"/>
      <c r="D16" s="505"/>
      <c r="E16" s="505"/>
      <c r="F16" s="506"/>
      <c r="G16" s="104"/>
      <c r="N16"/>
      <c r="O16"/>
      <c r="P16"/>
      <c r="Q16"/>
      <c r="R16"/>
      <c r="S16"/>
      <c r="T16"/>
      <c r="U16"/>
      <c r="V16"/>
      <c r="W16"/>
      <c r="X16"/>
      <c r="Y16"/>
      <c r="Z16"/>
      <c r="AA16"/>
      <c r="AB16"/>
      <c r="AC16"/>
      <c r="AD16"/>
      <c r="AE16">
        <v>2</v>
      </c>
    </row>
    <row r="17" ht="15" thickBot="1">
      <c r="G17" s="104"/>
    </row>
    <row r="18" spans="1:7" ht="13.5" thickBot="1">
      <c r="A18" s="509" t="s">
        <v>247</v>
      </c>
      <c r="B18" s="510"/>
      <c r="C18" s="510"/>
      <c r="D18" s="510"/>
      <c r="E18" s="510"/>
      <c r="F18" s="510"/>
      <c r="G18" s="511"/>
    </row>
    <row r="19" spans="1:18" ht="13.5" thickBot="1">
      <c r="A19" s="249"/>
      <c r="B19" s="507" t="s">
        <v>256</v>
      </c>
      <c r="C19" s="508"/>
      <c r="D19" s="515" t="s">
        <v>246</v>
      </c>
      <c r="E19" s="513"/>
      <c r="F19" s="514"/>
      <c r="G19" s="512" t="s">
        <v>253</v>
      </c>
      <c r="H19" s="513"/>
      <c r="I19" s="514"/>
      <c r="J19" s="466" t="s">
        <v>315</v>
      </c>
      <c r="K19" s="467"/>
      <c r="L19" s="468"/>
      <c r="N19" s="473" t="s">
        <v>262</v>
      </c>
      <c r="O19" s="474"/>
      <c r="P19" s="474"/>
      <c r="Q19" s="474"/>
      <c r="R19" s="475"/>
    </row>
    <row r="20" spans="1:30" ht="55.5" customHeight="1" thickBot="1">
      <c r="A20" s="258" t="s">
        <v>186</v>
      </c>
      <c r="B20" s="382">
        <v>10920</v>
      </c>
      <c r="C20" s="425">
        <v>12492</v>
      </c>
      <c r="D20" s="382">
        <v>10920</v>
      </c>
      <c r="E20" s="426">
        <v>12492</v>
      </c>
      <c r="F20" s="381" t="str">
        <f>"Weighted Average "&amp;ROUND((SUMPRODUCT(D20:E20,'Cost-Effectiveness Level'!$I$4:$J$4)),0)</f>
        <v>Weighted Average 11399</v>
      </c>
      <c r="G20" s="381">
        <v>10920</v>
      </c>
      <c r="H20" s="382">
        <v>12492</v>
      </c>
      <c r="I20" s="381" t="str">
        <f>"Weighted Average "&amp;ROUND((SUMPRODUCT(G20:H20,'Cost-Effectiveness Level'!$I$4:$J$4)),0)</f>
        <v>Weighted Average 11399</v>
      </c>
      <c r="J20" s="430">
        <f>G20</f>
        <v>10920</v>
      </c>
      <c r="K20" s="430">
        <f>H20</f>
        <v>12492</v>
      </c>
      <c r="L20" s="382" t="str">
        <f>"Weighted Average "&amp;ROUND((SUMPRODUCT(J20:K20,'Cost-Effectiveness Level'!$I$4:$J$4)),0)</f>
        <v>Weighted Average 11399</v>
      </c>
      <c r="N20" s="288" t="s">
        <v>118</v>
      </c>
      <c r="O20" s="288" t="s">
        <v>259</v>
      </c>
      <c r="P20" s="288" t="s">
        <v>260</v>
      </c>
      <c r="Q20" s="288" t="s">
        <v>261</v>
      </c>
      <c r="R20" s="288" t="s">
        <v>258</v>
      </c>
      <c r="S20"/>
      <c r="T20" s="482" t="s">
        <v>269</v>
      </c>
      <c r="U20" s="483"/>
      <c r="V20" s="483"/>
      <c r="W20" s="483"/>
      <c r="X20" s="483"/>
      <c r="Y20" s="483"/>
      <c r="Z20" s="483"/>
      <c r="AA20" s="483"/>
      <c r="AB20" s="483"/>
      <c r="AC20" s="483"/>
      <c r="AD20" s="484"/>
    </row>
    <row r="21" spans="1:28" ht="13.5" thickBot="1">
      <c r="A21" s="387" t="s">
        <v>299</v>
      </c>
      <c r="B21" s="427">
        <f>'UA Optimizer'!B$60</f>
        <v>3835.0282175018388</v>
      </c>
      <c r="C21" s="427">
        <f>'UA Optimizer'!C$60</f>
        <v>4669.7011960221025</v>
      </c>
      <c r="D21" s="380">
        <f ca="1">IF(ISNA(INDEX($B$71:$C$141,MATCH(B21,$B$71:$B$141,0),1)),TREND(OFFSET(INDEX($B$71:$C$141,MATCH(B21,$B$71:$B$141,-1),2),0,0,2,1),OFFSET(INDEX($B$71:$C$141,MATCH(B21,$B$71:$B$141,-1),1),0,0,2,1),B21),INDEX($B$71:$C$141,MATCH(B21,$B$71:$B$141,0),2))/12</f>
        <v>7810.257190118617</v>
      </c>
      <c r="E21" s="388">
        <f ca="1">IF(ISNA(INDEX($D$71:$E$141,MATCH(C21,$D$71:$D$141,0),1)),TREND(OFFSET(INDEX($D$71:$E$141,MATCH(C21,$D$71:$D$141,-1),2),0,0,2,1),OFFSET(INDEX($D$71:$E$141,MATCH(C21,$D$71:$D$141,-1),1),0,0,2,1),C21),INDEX($D$71:$E$141,MATCH(C21,$D$71:$D$141,0),2))/12</f>
        <v>10271.486689466767</v>
      </c>
      <c r="F21" s="257">
        <f>(SUMPRODUCT(D21:E21,'Cost-Effectiveness Level'!$I$4:$J$4))</f>
        <v>8560.932187419803</v>
      </c>
      <c r="G21" s="438"/>
      <c r="H21" s="439"/>
      <c r="I21" s="469"/>
      <c r="J21" s="438"/>
      <c r="K21" s="439"/>
      <c r="L21" s="469"/>
      <c r="N21" s="285" t="s">
        <v>177</v>
      </c>
      <c r="O21" s="286">
        <v>3252.9299603911672</v>
      </c>
      <c r="P21" s="287">
        <v>2290.7690421000134</v>
      </c>
      <c r="Q21" s="287">
        <v>962.1609182911538</v>
      </c>
      <c r="R21" s="156">
        <v>880.2632518726982</v>
      </c>
      <c r="S21"/>
      <c r="T21"/>
      <c r="U21"/>
      <c r="V21"/>
      <c r="W21"/>
      <c r="X21"/>
      <c r="Y21"/>
      <c r="Z21"/>
      <c r="AA21"/>
      <c r="AB21"/>
    </row>
    <row r="22" spans="1:28" ht="13.5" thickBot="1">
      <c r="A22" s="436" t="s">
        <v>317</v>
      </c>
      <c r="B22" s="427">
        <f>'UA Optimizer'!$B$73</f>
        <v>2840.2551824817515</v>
      </c>
      <c r="C22" s="427">
        <f>'UA Optimizer'!$C$73</f>
        <v>3408.638067153285</v>
      </c>
      <c r="D22" s="380">
        <f ca="1">IF(ISNA(INDEX($B$71:$C$141,MATCH(B22,$B$71:$B$141,0),1)),TREND(OFFSET(INDEX($B$71:$C$141,MATCH(B22,$B$71:$B$141,-1),2),0,0,2,1),OFFSET(INDEX($B$71:$C$141,MATCH(B22,$B$71:$B$141,-1),1),0,0,2,1),B22),INDEX($B$71:$C$141,MATCH(B22,$B$71:$B$141,0),2))/12</f>
        <v>4787.680577093678</v>
      </c>
      <c r="E22" s="388">
        <f ca="1">IF(ISNA(INDEX($D$71:$E$141,MATCH(C22,$D$71:$D$141,0),1)),TREND(OFFSET(INDEX($D$71:$E$141,MATCH(C22,$D$71:$D$141,-1),2),0,0,2,1),OFFSET(INDEX($D$71:$E$141,MATCH(C22,$D$71:$D$141,-1),1),0,0,2,1),C22),INDEX($D$71:$E$141,MATCH(C22,$D$71:$D$141,0),2))/12</f>
        <v>6340.172824322697</v>
      </c>
      <c r="F22" s="380">
        <f>(SUMPRODUCT(D22:E22,'Cost-Effectiveness Level'!$I$4:$J$4))</f>
        <v>5261.190712498529</v>
      </c>
      <c r="G22" s="424">
        <f aca="true" t="shared" si="1" ref="G22:H24">D21-D22</f>
        <v>3022.5766130249385</v>
      </c>
      <c r="H22" s="424">
        <f t="shared" si="1"/>
        <v>3931.3138651440695</v>
      </c>
      <c r="I22" s="380">
        <f>(SUMPRODUCT(G22:H22,'Cost-Effectiveness Level'!$I$4:$J$4))</f>
        <v>3299.7414749212735</v>
      </c>
      <c r="J22" s="431">
        <f>((0.0000000035*(B22^4)-0.0000415915*(B22^3)+0.1862109984*(B22^2)-389.0064546691*B22+337804.666261357)/12)</f>
        <v>825.5449396441691</v>
      </c>
      <c r="K22" s="431">
        <f>((0.0000000024*(C22^4)-0.0000350666*(C22^3)+0.1910346026*(C22^2)-479.9123349253*C22+490916.342442459)/12)</f>
        <v>822.2910002543795</v>
      </c>
      <c r="L22" s="431">
        <f>(SUMPRODUCT(J22:K22,'Cost-Effectiveness Level'!$I$4:$J$4))</f>
        <v>824.5524881302833</v>
      </c>
      <c r="N22" s="261" t="s">
        <v>178</v>
      </c>
      <c r="O22" s="264">
        <v>4911.457205457181</v>
      </c>
      <c r="P22" s="195">
        <v>3622.17750929348</v>
      </c>
      <c r="Q22" s="195">
        <v>1289.2796961637005</v>
      </c>
      <c r="R22" s="158">
        <v>880.2632518726982</v>
      </c>
      <c r="S22"/>
      <c r="T22"/>
      <c r="U22"/>
      <c r="V22"/>
      <c r="W22"/>
      <c r="X22"/>
      <c r="Y22"/>
      <c r="Z22"/>
      <c r="AA22"/>
      <c r="AB22"/>
    </row>
    <row r="23" spans="1:28" ht="13.5" thickBot="1">
      <c r="A23" s="435" t="s">
        <v>318</v>
      </c>
      <c r="B23" s="427">
        <f>'UA Optimizer'!B94</f>
        <v>2299.0620330541624</v>
      </c>
      <c r="C23" s="427">
        <f>'UA Optimizer'!C94</f>
        <v>2844.14768112882</v>
      </c>
      <c r="D23" s="380">
        <f ca="1">IF(ISNA(INDEX($B$71:$C$141,MATCH(B23,$B$71:$B$141,0),1)),TREND(OFFSET(INDEX($B$71:$C$141,MATCH(B23,$B$71:$B$141,-1),2),0,0,2,1),OFFSET(INDEX($B$71:$C$141,MATCH(B23,$B$71:$B$141,-1),1),0,0,2,1),B23),INDEX($B$71:$C$141,MATCH(B23,$B$71:$B$141,0),2))/12</f>
        <v>3236.650723897166</v>
      </c>
      <c r="E23" s="388">
        <f ca="1">IF(ISNA(INDEX($D$71:$E$141,MATCH(C23,$D$71:$D$141,0),1)),TREND(OFFSET(INDEX($D$71:$E$141,MATCH(C23,$D$71:$D$141,-1),2),0,0,2,1),OFFSET(INDEX($D$71:$E$141,MATCH(C23,$D$71:$D$141,-1),1),0,0,2,1),C23),INDEX($D$71:$E$141,MATCH(C23,$D$71:$D$141,0),2))/12</f>
        <v>4660.628309904387</v>
      </c>
      <c r="F23" s="380">
        <f>(SUMPRODUCT(D23:E23,'Cost-Effectiveness Level'!$I$4:$J$4))</f>
        <v>3670.9638876293684</v>
      </c>
      <c r="G23" s="424">
        <f t="shared" si="1"/>
        <v>1551.0298531965122</v>
      </c>
      <c r="H23" s="424">
        <f t="shared" si="1"/>
        <v>1679.5445144183104</v>
      </c>
      <c r="I23" s="380">
        <f>(SUMPRODUCT(G23:H23,'Cost-Effectiveness Level'!$I$4:$J$4))</f>
        <v>1590.2268248691607</v>
      </c>
      <c r="J23" s="431">
        <f>((0.0000000035*(B23^4)-0.0000415915*(B23^3)+0.1862109984*(B23^2)-389.0064546691*B23+337804.666261357)/12)</f>
        <v>1672.2801059983128</v>
      </c>
      <c r="K23" s="431">
        <f>((0.0000000024*(C23^4)-0.0000350666*(C23^3)+0.1910346026*(C23^2)-479.9123349253*C23+490916.342442459)/12)</f>
        <v>1796.6761966566992</v>
      </c>
      <c r="L23" s="431">
        <f>(SUMPRODUCT(J23:K23,'Cost-Effectiveness Level'!$I$4:$J$4))</f>
        <v>1710.2209136491206</v>
      </c>
      <c r="N23" s="261" t="s">
        <v>179</v>
      </c>
      <c r="O23" s="264">
        <v>5949.9768255950785</v>
      </c>
      <c r="P23" s="195">
        <v>4444.050892082459</v>
      </c>
      <c r="Q23" s="195">
        <v>1505.925933512619</v>
      </c>
      <c r="R23" s="158">
        <v>895.1328148265358</v>
      </c>
      <c r="S23"/>
      <c r="T23"/>
      <c r="U23"/>
      <c r="V23"/>
      <c r="W23"/>
      <c r="X23"/>
      <c r="Y23"/>
      <c r="Z23"/>
      <c r="AA23"/>
      <c r="AB23"/>
    </row>
    <row r="24" spans="1:28" ht="13.5" thickBot="1">
      <c r="A24" s="250" t="s">
        <v>254</v>
      </c>
      <c r="B24" s="428">
        <f>INDEX(B27:B38,MATCH(TRUE,C27:C38,0))</f>
        <v>1936</v>
      </c>
      <c r="C24" s="429">
        <f>INDEX(D27:D41,MATCH(TRUE,E27:E41,0))</f>
        <v>2421.6895999999997</v>
      </c>
      <c r="D24" s="304">
        <f ca="1">IF(ISNA(INDEX($B$71:$C$141,MATCH(B24,$B$71:$B$141,0),1)),TREND(OFFSET(INDEX($B$71:$C$141,MATCH(B24,$B$71:$B$141,-1),2),0,0,2,1),OFFSET(INDEX($B$71:$C$141,MATCH(B24,$B$71:$B$141,-1),1),0,0,2,1),B24),INDEX($B$71:$C$141,MATCH(B24,$B$71:$B$141,0),2))/12</f>
        <v>2255.347646254518</v>
      </c>
      <c r="E24" s="305">
        <f ca="1">IF(ISNA(INDEX($D$71:$E$141,MATCH(C24,$D$71:$D$141,0),1)),TREND(OFFSET(INDEX($D$71:$E$141,MATCH(C24,$D$71:$D$141,-1),2),0,0,2,1),OFFSET(INDEX($D$71:$E$141,MATCH(C24,$D$71:$D$141,-1),1),0,0,2,1),C24),INDEX($D$71:$E$141,MATCH(C24,$D$71:$D$141,0),2))/12</f>
        <v>3458.9850781756177</v>
      </c>
      <c r="F24" s="252">
        <f>(SUMPRODUCT(D24:E24,'Cost-Effectiveness Level'!$I$4:$J$4))</f>
        <v>2622.457062990454</v>
      </c>
      <c r="G24" s="251">
        <f t="shared" si="1"/>
        <v>981.3030776426476</v>
      </c>
      <c r="H24" s="251">
        <f t="shared" si="1"/>
        <v>1201.643231728769</v>
      </c>
      <c r="I24" s="252">
        <f>(SUMPRODUCT(G24:H24,'Cost-Effectiveness Level'!$I$4:$J$4))</f>
        <v>1048.5068246389146</v>
      </c>
      <c r="J24" s="431">
        <f>((0.0000000035*(B24^4)-0.0000415915*(B24^3)+0.1862109984*(B24^2)-389.0064546691*B24+337804.666261357)/12)</f>
        <v>2499.389435621493</v>
      </c>
      <c r="K24" s="431">
        <f>((0.0000000024*(C24^4)-0.0000350666*(C24^3)+0.1910346026*(C24^2)-479.9123349253*C24+490916.342442459)/12)</f>
        <v>2798.060681196332</v>
      </c>
      <c r="L24" s="431">
        <f>(SUMPRODUCT(J24:K24,'Cost-Effectiveness Level'!$I$4:$J$4))</f>
        <v>2590.484165521819</v>
      </c>
      <c r="N24" s="262" t="s">
        <v>214</v>
      </c>
      <c r="O24" s="264">
        <v>3670.9638876293684</v>
      </c>
      <c r="P24" s="195">
        <v>2622.457062990454</v>
      </c>
      <c r="Q24" s="195">
        <v>1048.5068246389146</v>
      </c>
      <c r="R24" s="158">
        <v>880.2632518726982</v>
      </c>
      <c r="S24"/>
      <c r="T24"/>
      <c r="U24"/>
      <c r="V24"/>
      <c r="W24"/>
      <c r="X24"/>
      <c r="Y24"/>
      <c r="Z24"/>
      <c r="AA24"/>
      <c r="AB24"/>
    </row>
    <row r="25" spans="2:28" ht="13.5" thickBot="1">
      <c r="B25" s="500">
        <v>10920</v>
      </c>
      <c r="C25" s="501"/>
      <c r="D25" s="493">
        <v>12492</v>
      </c>
      <c r="E25" s="494"/>
      <c r="F25" s="4"/>
      <c r="G25" s="470" t="s">
        <v>316</v>
      </c>
      <c r="H25" s="471"/>
      <c r="I25" s="472"/>
      <c r="J25" s="432">
        <f>J24-J23</f>
        <v>827.10932962318</v>
      </c>
      <c r="K25" s="433">
        <f>K24-K23</f>
        <v>1001.3844845396329</v>
      </c>
      <c r="L25" s="434">
        <f>(SUMPRODUCT(J25:K25,'Cost-Effectiveness Level'!$I$4:$J$4))</f>
        <v>880.2632518726982</v>
      </c>
      <c r="N25" s="262" t="s">
        <v>181</v>
      </c>
      <c r="O25" s="264">
        <v>2717.717661445615</v>
      </c>
      <c r="P25" s="195">
        <v>1876.9003403191768</v>
      </c>
      <c r="Q25" s="195">
        <v>840.8173211264377</v>
      </c>
      <c r="R25" s="158">
        <v>880.2632518726982</v>
      </c>
      <c r="S25"/>
      <c r="T25"/>
      <c r="U25"/>
      <c r="V25"/>
      <c r="W25"/>
      <c r="X25"/>
      <c r="Y25"/>
      <c r="Z25"/>
      <c r="AA25"/>
      <c r="AB25"/>
    </row>
    <row r="26" spans="2:28" ht="12.75">
      <c r="B26" s="308" t="s">
        <v>187</v>
      </c>
      <c r="C26" s="307" t="s">
        <v>190</v>
      </c>
      <c r="D26" s="306" t="s">
        <v>187</v>
      </c>
      <c r="E26" s="309" t="s">
        <v>190</v>
      </c>
      <c r="N26" s="262" t="s">
        <v>182</v>
      </c>
      <c r="O26" s="264">
        <v>3131.164981096742</v>
      </c>
      <c r="P26" s="195">
        <v>2178.6315101966948</v>
      </c>
      <c r="Q26" s="195">
        <v>952.5334709000474</v>
      </c>
      <c r="R26" s="158">
        <v>880.2632518726982</v>
      </c>
      <c r="S26"/>
      <c r="T26"/>
      <c r="U26"/>
      <c r="V26"/>
      <c r="W26"/>
      <c r="X26"/>
      <c r="Y26"/>
      <c r="Z26"/>
      <c r="AA26"/>
      <c r="AB26"/>
    </row>
    <row r="27" spans="2:28" ht="12.75">
      <c r="B27" s="247">
        <f>IF('10920 SF'!$AD37&gt;=1,'UA Optimizer'!$P43,'UA Optimizer'!$P42)</f>
        <v>3460.1082175018387</v>
      </c>
      <c r="C27" s="106" t="b">
        <f>AND(B27=B28,B28&gt;B29)</f>
        <v>0</v>
      </c>
      <c r="D27" s="113">
        <f>IF('12492 SF'!$AD43&gt;=1,'UA Optimizer'!$X43,'UA Optimizer'!$X42)</f>
        <v>4430.922196022102</v>
      </c>
      <c r="E27" s="248" t="b">
        <f>AND(D27=D28,D28&gt;D29)</f>
        <v>0</v>
      </c>
      <c r="N27" s="262" t="s">
        <v>225</v>
      </c>
      <c r="O27" s="264">
        <v>4203.168901141719</v>
      </c>
      <c r="P27" s="195">
        <v>3047.8635096528296</v>
      </c>
      <c r="Q27" s="195">
        <v>1155.3053914888897</v>
      </c>
      <c r="R27" s="158">
        <v>880.2632518726982</v>
      </c>
      <c r="S27"/>
      <c r="T27"/>
      <c r="U27"/>
      <c r="V27"/>
      <c r="W27"/>
      <c r="X27"/>
      <c r="Y27"/>
      <c r="Z27"/>
      <c r="AA27"/>
      <c r="AB27"/>
    </row>
    <row r="28" spans="2:28" ht="12.75">
      <c r="B28" s="247">
        <f>IF('10920 SF'!$AD38&gt;=1,'UA Optimizer'!$P44,'UA Optimizer'!$P43)</f>
        <v>3223.624533291312</v>
      </c>
      <c r="C28" s="106" t="b">
        <f aca="true" t="shared" si="2" ref="C28:C38">AND(B28=B29,B29&gt;B30)</f>
        <v>0</v>
      </c>
      <c r="D28" s="113">
        <f>IF('12492 SF'!$AD44&gt;=1,'UA Optimizer'!$X44,'UA Optimizer'!$X43)</f>
        <v>4209.678196022102</v>
      </c>
      <c r="E28" s="248" t="b">
        <f aca="true" t="shared" si="3" ref="E28:E41">AND(D28=D29,D29&gt;D30)</f>
        <v>0</v>
      </c>
      <c r="N28" s="262" t="s">
        <v>191</v>
      </c>
      <c r="O28" s="264">
        <v>5045.457695462837</v>
      </c>
      <c r="P28" s="195">
        <v>3730.8315092255125</v>
      </c>
      <c r="Q28" s="195">
        <v>1314.6261862373246</v>
      </c>
      <c r="R28" s="158">
        <v>880.2632518726982</v>
      </c>
      <c r="S28"/>
      <c r="T28"/>
      <c r="U28"/>
      <c r="V28"/>
      <c r="W28"/>
      <c r="X28"/>
      <c r="Y28"/>
      <c r="Z28"/>
      <c r="AA28"/>
      <c r="AB28"/>
    </row>
    <row r="29" spans="2:28" ht="13.5" thickBot="1">
      <c r="B29" s="247">
        <f>IF('10920 SF'!$AD39&gt;=1,'UA Optimizer'!$P45,'UA Optimizer'!$P44)</f>
        <v>2916.6951824817515</v>
      </c>
      <c r="C29" s="106" t="b">
        <f t="shared" si="2"/>
        <v>0</v>
      </c>
      <c r="D29" s="113">
        <f>IF('12492 SF'!$AD45&gt;=1,'UA Optimizer'!$X45,'UA Optimizer'!$X44)</f>
        <v>3962.799624593531</v>
      </c>
      <c r="E29" s="248" t="b">
        <f t="shared" si="3"/>
        <v>0</v>
      </c>
      <c r="N29" s="263" t="s">
        <v>184</v>
      </c>
      <c r="O29" s="264">
        <v>5949.9768255950785</v>
      </c>
      <c r="P29" s="195">
        <v>4444.050892082459</v>
      </c>
      <c r="Q29" s="195">
        <v>1505.925933512619</v>
      </c>
      <c r="R29" s="158">
        <v>895.1328148265358</v>
      </c>
      <c r="S29"/>
      <c r="T29"/>
      <c r="U29"/>
      <c r="V29"/>
      <c r="W29"/>
      <c r="X29"/>
      <c r="Y29"/>
      <c r="Z29"/>
      <c r="AA29"/>
      <c r="AB29"/>
    </row>
    <row r="30" spans="2:28" ht="13.5" thickBot="1">
      <c r="B30" s="247">
        <f>IF('10920 SF'!$AD40&gt;=1,'UA Optimizer'!$P46,'UA Optimizer'!$P45)</f>
        <v>2840.2551824817515</v>
      </c>
      <c r="C30" s="106" t="b">
        <f t="shared" si="2"/>
        <v>0</v>
      </c>
      <c r="D30" s="113">
        <f>IF('12492 SF'!$AD46&gt;=1,'UA Optimizer'!$X46,'UA Optimizer'!$X45)</f>
        <v>3453.7460671532845</v>
      </c>
      <c r="E30" s="248" t="b">
        <f t="shared" si="3"/>
        <v>0</v>
      </c>
      <c r="N30" s="437" t="str">
        <f>"CASE =&gt; "&amp;(INDEX($A$5:$A$13,$A$14,1))</f>
        <v>CASE =&gt; PNW Region</v>
      </c>
      <c r="O30" s="266">
        <f>F$23</f>
        <v>3670.9638876293684</v>
      </c>
      <c r="P30" s="259">
        <f>F$24</f>
        <v>2622.457062990454</v>
      </c>
      <c r="Q30" s="259">
        <f>I$24</f>
        <v>1048.5068246389146</v>
      </c>
      <c r="R30" s="260">
        <f>L$25</f>
        <v>880.2632518726982</v>
      </c>
      <c r="S30"/>
      <c r="T30"/>
      <c r="U30"/>
      <c r="V30"/>
      <c r="W30"/>
      <c r="X30"/>
      <c r="Y30"/>
      <c r="Z30"/>
      <c r="AA30"/>
      <c r="AB30"/>
    </row>
    <row r="31" spans="2:28" ht="13.5" thickBot="1">
      <c r="B31" s="247">
        <f>IF('10920 SF'!$AD41&gt;=1,'UA Optimizer'!$P47,'UA Optimizer'!$P46)</f>
        <v>2796.5751824817517</v>
      </c>
      <c r="C31" s="106" t="b">
        <f t="shared" si="2"/>
        <v>0</v>
      </c>
      <c r="D31" s="113">
        <f>IF('12492 SF'!$AD47&gt;=1,'UA Optimizer'!$X47,'UA Optimizer'!$X46)</f>
        <v>3408.6380671532843</v>
      </c>
      <c r="E31" s="248" t="b">
        <f t="shared" si="3"/>
        <v>0</v>
      </c>
      <c r="P31"/>
      <c r="Q31"/>
      <c r="R31"/>
      <c r="S31"/>
      <c r="T31"/>
      <c r="U31"/>
      <c r="V31"/>
      <c r="W31"/>
      <c r="X31"/>
      <c r="Y31"/>
      <c r="Z31"/>
      <c r="AA31"/>
      <c r="AB31"/>
    </row>
    <row r="32" spans="2:28" ht="12.75">
      <c r="B32" s="247">
        <f>IF('10920 SF'!$AD42&gt;=1,'UA Optimizer'!$P48,'UA Optimizer'!$P47)</f>
        <v>1936</v>
      </c>
      <c r="C32" s="106" t="b">
        <f t="shared" si="2"/>
        <v>1</v>
      </c>
      <c r="D32" s="113">
        <f>IF('12492 SF'!$AD48&gt;=1,'UA Optimizer'!$X48,'UA Optimizer'!$X47)</f>
        <v>3363.0380671532844</v>
      </c>
      <c r="E32" s="248" t="b">
        <f t="shared" si="3"/>
        <v>0</v>
      </c>
      <c r="N32" s="476" t="s">
        <v>311</v>
      </c>
      <c r="O32" s="477"/>
      <c r="P32" s="477"/>
      <c r="Q32" s="477"/>
      <c r="R32" s="478"/>
      <c r="S32"/>
      <c r="T32"/>
      <c r="U32"/>
      <c r="V32"/>
      <c r="W32"/>
      <c r="X32"/>
      <c r="Y32"/>
      <c r="Z32"/>
      <c r="AA32"/>
      <c r="AB32"/>
    </row>
    <row r="33" spans="2:28" ht="13.5" thickBot="1">
      <c r="B33" s="247">
        <f>IF('10920 SF'!$AD43&gt;=1,'UA Optimizer'!$P49,'UA Optimizer'!$P48)</f>
        <v>1936</v>
      </c>
      <c r="C33" s="106" t="b">
        <f t="shared" si="2"/>
        <v>0</v>
      </c>
      <c r="D33" s="113">
        <f>IF('12492 SF'!$AD49&gt;=1,'UA Optimizer'!$X49,'UA Optimizer'!$X48)</f>
        <v>2421.6895999999997</v>
      </c>
      <c r="E33" s="248" t="b">
        <f t="shared" si="3"/>
        <v>1</v>
      </c>
      <c r="G33" s="246"/>
      <c r="N33" s="479"/>
      <c r="O33" s="480"/>
      <c r="P33" s="480"/>
      <c r="Q33" s="480"/>
      <c r="R33" s="481"/>
      <c r="S33"/>
      <c r="T33"/>
      <c r="U33"/>
      <c r="V33"/>
      <c r="W33"/>
      <c r="X33"/>
      <c r="Y33"/>
      <c r="Z33"/>
      <c r="AA33"/>
      <c r="AB33"/>
    </row>
    <row r="34" spans="2:18" ht="39" thickBot="1">
      <c r="B34" s="247">
        <f>IF('10920 SF'!$AD44&gt;=1,'UA Optimizer'!$P50,'UA Optimizer'!$P49)</f>
        <v>1921.44</v>
      </c>
      <c r="C34" s="106" t="b">
        <f t="shared" si="2"/>
        <v>0</v>
      </c>
      <c r="D34" s="113">
        <f>IF('12492 SF'!$AD50&gt;=1,'UA Optimizer'!$X50,'UA Optimizer'!$X49)</f>
        <v>2421.6895999999997</v>
      </c>
      <c r="E34" s="248" t="b">
        <f t="shared" si="3"/>
        <v>0</v>
      </c>
      <c r="F34" s="114"/>
      <c r="N34" s="288" t="s">
        <v>118</v>
      </c>
      <c r="O34" s="288" t="s">
        <v>259</v>
      </c>
      <c r="P34" s="288" t="s">
        <v>260</v>
      </c>
      <c r="Q34" s="288" t="s">
        <v>261</v>
      </c>
      <c r="R34" s="288" t="s">
        <v>258</v>
      </c>
    </row>
    <row r="35" spans="2:18" ht="12.75">
      <c r="B35" s="247">
        <f>IF('10920 SF'!$AD45&gt;=1,'UA Optimizer'!$P51,'UA Optimizer'!$P50)</f>
        <v>1903.24</v>
      </c>
      <c r="C35" s="106" t="b">
        <f t="shared" si="2"/>
        <v>0</v>
      </c>
      <c r="D35" s="113">
        <f>IF('12492 SF'!$AD51&gt;=1,'UA Optimizer'!$X51,'UA Optimizer'!$X50)</f>
        <v>2406.4896</v>
      </c>
      <c r="E35" s="248" t="b">
        <f t="shared" si="3"/>
        <v>0</v>
      </c>
      <c r="F35" s="114"/>
      <c r="N35" s="285" t="s">
        <v>177</v>
      </c>
      <c r="O35" s="286">
        <f>P35+Q35</f>
        <v>3309.2719329874376</v>
      </c>
      <c r="P35" s="287">
        <f>P21</f>
        <v>2290.7690421000134</v>
      </c>
      <c r="Q35" s="287">
        <f>'UA Optimizer'!F111</f>
        <v>1018.5028908874243</v>
      </c>
      <c r="R35" s="156">
        <f>'UA Optimizer'!F$103</f>
        <v>592.7579418900344</v>
      </c>
    </row>
    <row r="36" spans="2:18" ht="12.75">
      <c r="B36" s="247">
        <f>IF('10920 SF'!$AD46&gt;=1,'UA Optimizer'!$P52,'UA Optimizer'!$P51)</f>
        <v>1732.888</v>
      </c>
      <c r="C36" s="106" t="b">
        <f t="shared" si="2"/>
        <v>0</v>
      </c>
      <c r="D36" s="113">
        <f>IF('12492 SF'!$AD52&gt;=1,'UA Optimizer'!$X52,'UA Optimizer'!$X51)</f>
        <v>2395.7496</v>
      </c>
      <c r="E36" s="248" t="b">
        <f t="shared" si="3"/>
        <v>0</v>
      </c>
      <c r="F36" s="114"/>
      <c r="N36" s="261" t="s">
        <v>178</v>
      </c>
      <c r="O36" s="286">
        <f>P36+Q36</f>
        <v>4973.177076709697</v>
      </c>
      <c r="P36" s="287">
        <f>P22</f>
        <v>3622.17750929348</v>
      </c>
      <c r="Q36" s="195">
        <f>'UA Optimizer'!F119</f>
        <v>1350.9995674162167</v>
      </c>
      <c r="R36" s="156">
        <f>'UA Optimizer'!F$103</f>
        <v>592.7579418900344</v>
      </c>
    </row>
    <row r="37" spans="2:18" ht="12.75">
      <c r="B37" s="247">
        <f>IF('10920 SF'!$AD47&gt;=1,'UA Optimizer'!$P53,'UA Optimizer'!$P52)</f>
        <v>1624.588</v>
      </c>
      <c r="C37" s="106" t="b">
        <f t="shared" si="2"/>
        <v>0</v>
      </c>
      <c r="D37" s="113">
        <f>IF('12492 SF'!$AD53&gt;=1,'UA Optimizer'!$X53,'UA Optimizer'!$X52)</f>
        <v>2215.8648000000003</v>
      </c>
      <c r="E37" s="248" t="b">
        <f t="shared" si="3"/>
        <v>0</v>
      </c>
      <c r="F37" s="114"/>
      <c r="N37" s="261" t="s">
        <v>179</v>
      </c>
      <c r="O37" s="286">
        <f>P37+Q37</f>
        <v>6032.703909251071</v>
      </c>
      <c r="P37" s="287">
        <f>P23</f>
        <v>4444.050892082459</v>
      </c>
      <c r="Q37" s="195">
        <f>'UA Optimizer'!F127</f>
        <v>1588.6530171686125</v>
      </c>
      <c r="R37" s="156">
        <f>'UA Optimizer'!F$103</f>
        <v>592.7579418900344</v>
      </c>
    </row>
    <row r="38" spans="2:18" ht="13.5" thickBot="1">
      <c r="B38" s="247">
        <f>IF('10920 SF'!$AD48&gt;=1,'UA Optimizer'!$P54,'UA Optimizer'!$P53)</f>
        <v>1590.988</v>
      </c>
      <c r="C38" s="106" t="b">
        <f t="shared" si="2"/>
        <v>0</v>
      </c>
      <c r="D38" s="113">
        <f>IF('12492 SF'!$AD54&gt;=1,'UA Optimizer'!$X54,'UA Optimizer'!$X53)</f>
        <v>2097.3998</v>
      </c>
      <c r="E38" s="248" t="b">
        <f t="shared" si="3"/>
        <v>0</v>
      </c>
      <c r="F38" s="4"/>
      <c r="N38" s="262" t="s">
        <v>214</v>
      </c>
      <c r="O38" s="286">
        <f>P38+Q38</f>
        <v>3738.2192664140957</v>
      </c>
      <c r="P38" s="287">
        <f>P24</f>
        <v>2622.457062990454</v>
      </c>
      <c r="Q38" s="195">
        <f>'UA Optimizer'!F135</f>
        <v>1115.7622034236422</v>
      </c>
      <c r="R38" s="156">
        <f>'UA Optimizer'!F$103</f>
        <v>592.7579418900344</v>
      </c>
    </row>
    <row r="39" spans="2:18" ht="13.5" thickBot="1">
      <c r="B39"/>
      <c r="C39"/>
      <c r="D39" s="113">
        <f>IF('12492 SF'!$AD55&gt;=1,'UA Optimizer'!$X55,'UA Optimizer'!$X54)</f>
        <v>2030.1998</v>
      </c>
      <c r="E39" s="248" t="b">
        <f t="shared" si="3"/>
        <v>0</v>
      </c>
      <c r="N39" s="265" t="str">
        <f>N30</f>
        <v>CASE =&gt; PNW Region</v>
      </c>
      <c r="O39" s="266">
        <f>P39+Q39</f>
        <v>3738.2192664140957</v>
      </c>
      <c r="P39" s="259">
        <f>P$30</f>
        <v>2622.457062990454</v>
      </c>
      <c r="Q39" s="259">
        <f>'UA Optimizer'!F$143</f>
        <v>1115.7622034236422</v>
      </c>
      <c r="R39" s="260">
        <f>'UA Optimizer'!F$103</f>
        <v>592.7579418900344</v>
      </c>
    </row>
    <row r="40" spans="2:5" ht="12.75">
      <c r="B40"/>
      <c r="C40"/>
      <c r="D40" s="113">
        <f>IF('12492 SF'!$AD56&gt;=1,'UA Optimizer'!$X56,'UA Optimizer'!$X55)</f>
        <v>2020.9448</v>
      </c>
      <c r="E40" s="248" t="b">
        <f t="shared" si="3"/>
        <v>0</v>
      </c>
    </row>
    <row r="41" spans="2:5" ht="12.75">
      <c r="B41"/>
      <c r="C41"/>
      <c r="D41" s="113">
        <f>IF('12492 SF'!$AD57&gt;=1,'UA Optimizer'!$X57,'UA Optimizer'!$X56)</f>
        <v>2015.3917999999999</v>
      </c>
      <c r="E41" s="248" t="b">
        <f t="shared" si="3"/>
        <v>0</v>
      </c>
    </row>
    <row r="42" spans="2:5" ht="12.75">
      <c r="B42"/>
      <c r="C42"/>
      <c r="D42"/>
      <c r="E42"/>
    </row>
    <row r="43" spans="2:5" ht="13.5" thickBot="1">
      <c r="B43"/>
      <c r="C43"/>
      <c r="D43"/>
      <c r="E43"/>
    </row>
    <row r="44" spans="1:6" ht="13.5" thickBot="1">
      <c r="A44" s="495" t="s">
        <v>255</v>
      </c>
      <c r="B44" s="496"/>
      <c r="C44" s="496"/>
      <c r="D44" s="496"/>
      <c r="E44" s="496"/>
      <c r="F44" s="497"/>
    </row>
    <row r="45" spans="1:6" ht="13.5" thickBot="1">
      <c r="A45" s="253" t="s">
        <v>193</v>
      </c>
      <c r="B45" s="498">
        <v>10920</v>
      </c>
      <c r="C45" s="499"/>
      <c r="D45" s="498">
        <v>12492</v>
      </c>
      <c r="E45" s="499"/>
      <c r="F45" s="254" t="s">
        <v>252</v>
      </c>
    </row>
    <row r="46" spans="1:6" ht="13.5" thickBot="1">
      <c r="A46" s="255" t="s">
        <v>300</v>
      </c>
      <c r="B46" s="313">
        <f>(INDEX(B$48:B$59,MATCH(TRUE,C$48:C$59,0))/12)</f>
        <v>2528.42</v>
      </c>
      <c r="C46" s="314"/>
      <c r="D46" s="315">
        <f>(INDEX(D47:D61,MATCH(TRUE,E47:E61,0))/12)</f>
        <v>2895.1975</v>
      </c>
      <c r="E46" s="316"/>
      <c r="F46" s="256">
        <f>(C$68*B46)+(E$68*D46)</f>
        <v>2640.2871375000004</v>
      </c>
    </row>
    <row r="47" spans="1:6" ht="13.5" thickBot="1">
      <c r="A47" s="255" t="s">
        <v>264</v>
      </c>
      <c r="B47" s="313">
        <f>(INDEX(B$48:B$59,MATCH(TRUE,C$48:C$59,0))/12)-((0.0000000035*('UA Optimizer'!$B$73^4)-0.0000415915*('UA Optimizer'!$B$73^3)+0.1862109984*('UA Optimizer'!$B$73^2)-389.0064546691*'UA Optimizer'!$B$73+337804.666261357)/12)</f>
        <v>1702.875060355831</v>
      </c>
      <c r="C47" s="314"/>
      <c r="D47" s="315">
        <f>(INDEX(D48:D62,MATCH(TRUE,E48:E62,0))/12)-((0.0000000024*('UA Optimizer'!$C$73^4)-0.0000350666*('UA Optimizer'!$C$73^3)+0.1910346026*('UA Optimizer'!$C$73^2)-479.9123349253*'UA Optimizer'!$C$73+490916.342442459)/12)</f>
        <v>2072.9064997456207</v>
      </c>
      <c r="E47" s="316"/>
      <c r="F47" s="256">
        <f>(C$68*B47)+(E$68*D47)</f>
        <v>1815.7346493697169</v>
      </c>
    </row>
    <row r="48" spans="2:5" ht="12.75">
      <c r="B48" s="317">
        <f>IF('10920 SF'!AD37&gt;=1,'UA Optimizer'!S43,'UA Optimizer'!S42)</f>
        <v>3130.4</v>
      </c>
      <c r="C48" s="389" t="b">
        <f>AND(B48=B49,B49&lt;B50)</f>
        <v>0</v>
      </c>
      <c r="D48" s="317">
        <f>IF('12492 SF'!AD43&gt;1,'UA Optimizer'!AA43,'UA Optimizer'!AA42)</f>
        <v>1591.86</v>
      </c>
      <c r="E48" s="318" t="b">
        <f>AND(D48=D49,D49&lt;D50)</f>
        <v>0</v>
      </c>
    </row>
    <row r="49" spans="2:5" ht="12.75">
      <c r="B49" s="319">
        <f>IF('10920 SF'!AD38&gt;=1,'UA Optimizer'!S44,'UA Optimizer'!S43)</f>
        <v>6042.4</v>
      </c>
      <c r="C49" s="390" t="b">
        <f aca="true" t="shared" si="4" ref="C49:C59">AND(B49=B50,B50&lt;B51)</f>
        <v>0</v>
      </c>
      <c r="D49" s="319">
        <f>IF('12492 SF'!AD44&gt;1,'UA Optimizer'!AA44,'UA Optimizer'!AA43)</f>
        <v>3439.14</v>
      </c>
      <c r="E49" s="248" t="b">
        <f aca="true" t="shared" si="5" ref="E49:E62">AND(D49=D50,D50&lt;D51)</f>
        <v>0</v>
      </c>
    </row>
    <row r="50" spans="2:5" ht="12.75">
      <c r="B50" s="319">
        <f>IF('10920 SF'!AD39&gt;=1,'UA Optimizer'!S45,'UA Optimizer'!S44)</f>
        <v>10160.439999999999</v>
      </c>
      <c r="C50" s="390" t="b">
        <f t="shared" si="4"/>
        <v>0</v>
      </c>
      <c r="D50" s="319">
        <f>IF('12492 SF'!AD45&gt;1,'UA Optimizer'!AA45,'UA Optimizer'!AA44)</f>
        <v>6479.139999999999</v>
      </c>
      <c r="E50" s="248" t="b">
        <f t="shared" si="5"/>
        <v>0</v>
      </c>
    </row>
    <row r="51" spans="2:5" ht="12.75">
      <c r="B51" s="319">
        <f>IF('10920 SF'!AD40&gt;=1,'UA Optimizer'!S46,'UA Optimizer'!S45)</f>
        <v>11361.64</v>
      </c>
      <c r="C51" s="390" t="b">
        <f t="shared" si="4"/>
        <v>0</v>
      </c>
      <c r="D51" s="319">
        <f>IF('12492 SF'!AD46&gt;1,'UA Optimizer'!AA46,'UA Optimizer'!AA45)</f>
        <v>13309.06</v>
      </c>
      <c r="E51" s="248" t="b">
        <f t="shared" si="5"/>
        <v>0</v>
      </c>
    </row>
    <row r="52" spans="2:5" ht="12.75">
      <c r="B52" s="319">
        <f>IF('10920 SF'!AD41&gt;=1,'UA Optimizer'!S47,'UA Optimizer'!S46)</f>
        <v>12089.64</v>
      </c>
      <c r="C52" s="390" t="b">
        <f t="shared" si="4"/>
        <v>0</v>
      </c>
      <c r="D52" s="319">
        <f>IF('12492 SF'!AD47&gt;1,'UA Optimizer'!AA47,'UA Optimizer'!AA46)</f>
        <v>14017.9</v>
      </c>
      <c r="E52" s="248" t="b">
        <f t="shared" si="5"/>
        <v>0</v>
      </c>
    </row>
    <row r="53" spans="2:5" ht="12.75">
      <c r="B53" s="319">
        <f>IF('10920 SF'!AD42&gt;=1,'UA Optimizer'!S48,'UA Optimizer'!S47)</f>
        <v>30341.04</v>
      </c>
      <c r="C53" s="390" t="b">
        <f t="shared" si="4"/>
        <v>1</v>
      </c>
      <c r="D53" s="319">
        <f>IF('12492 SF'!AD48&gt;1,'UA Optimizer'!AA48,'UA Optimizer'!AA47)</f>
        <v>14777.9</v>
      </c>
      <c r="E53" s="248" t="b">
        <f t="shared" si="5"/>
        <v>0</v>
      </c>
    </row>
    <row r="54" spans="2:5" ht="12.75">
      <c r="B54" s="319">
        <f>IF('10920 SF'!AD43&gt;=1,'UA Optimizer'!S49,'UA Optimizer'!S48)</f>
        <v>30341.04</v>
      </c>
      <c r="C54" s="390" t="b">
        <f t="shared" si="4"/>
        <v>0</v>
      </c>
      <c r="D54" s="319">
        <f>IF('12492 SF'!AD49&gt;1,'UA Optimizer'!AA49,'UA Optimizer'!AA48)</f>
        <v>34742.37</v>
      </c>
      <c r="E54" s="248" t="b">
        <f t="shared" si="5"/>
        <v>1</v>
      </c>
    </row>
    <row r="55" spans="2:5" ht="12.75">
      <c r="B55" s="319">
        <f>IF('10920 SF'!AD44&gt;=1,'UA Optimizer'!S50,'UA Optimizer'!S49)</f>
        <v>30814.24</v>
      </c>
      <c r="C55" s="390" t="b">
        <f t="shared" si="4"/>
        <v>0</v>
      </c>
      <c r="D55" s="319">
        <f>IF('12492 SF'!AD50&gt;1,'UA Optimizer'!AA50,'UA Optimizer'!AA49)</f>
        <v>34742.37</v>
      </c>
      <c r="E55" s="248" t="b">
        <f t="shared" si="5"/>
        <v>0</v>
      </c>
    </row>
    <row r="56" spans="2:5" ht="12.75">
      <c r="B56" s="319">
        <f>IF('10920 SF'!AD45&gt;=1,'UA Optimizer'!S51,'UA Optimizer'!S50)</f>
        <v>31469.440000000002</v>
      </c>
      <c r="C56" s="390" t="b">
        <f t="shared" si="4"/>
        <v>0</v>
      </c>
      <c r="D56" s="319">
        <f>IF('12492 SF'!AD51&gt;1,'UA Optimizer'!AA51,'UA Optimizer'!AA50)</f>
        <v>35236.37</v>
      </c>
      <c r="E56" s="248" t="b">
        <f t="shared" si="5"/>
        <v>0</v>
      </c>
    </row>
    <row r="57" spans="2:5" ht="12.75">
      <c r="B57" s="319">
        <f>IF('10920 SF'!AD46&gt;=1,'UA Optimizer'!S52,'UA Optimizer'!S51)</f>
        <v>38069.44</v>
      </c>
      <c r="C57" s="390" t="b">
        <f t="shared" si="4"/>
        <v>0</v>
      </c>
      <c r="D57" s="319">
        <f>IF('12492 SF'!AD52&gt;1,'UA Optimizer'!AA52,'UA Optimizer'!AA51)</f>
        <v>35623.01</v>
      </c>
      <c r="E57" s="248" t="b">
        <f t="shared" si="5"/>
        <v>0</v>
      </c>
    </row>
    <row r="58" spans="2:5" ht="12.75">
      <c r="B58" s="319">
        <f>IF('10920 SF'!AD47&gt;=1,'UA Optimizer'!S53,'UA Optimizer'!S52)</f>
        <v>43541.44</v>
      </c>
      <c r="C58" s="390" t="b">
        <f t="shared" si="4"/>
        <v>0</v>
      </c>
      <c r="D58" s="319">
        <f>IF('12492 SF'!AD53&gt;1,'UA Optimizer'!AA53,'UA Optimizer'!AA52)</f>
        <v>42223.01</v>
      </c>
      <c r="E58" s="248" t="b">
        <f t="shared" si="5"/>
        <v>0</v>
      </c>
    </row>
    <row r="59" spans="1:5" ht="12.75">
      <c r="A59"/>
      <c r="B59" s="319">
        <f>IF('10920 SF'!AD48&gt;=1,'UA Optimizer'!S54,'UA Optimizer'!S53)</f>
        <v>45342.64</v>
      </c>
      <c r="C59" s="390" t="b">
        <f t="shared" si="4"/>
        <v>0</v>
      </c>
      <c r="D59" s="319">
        <f>IF('12492 SF'!AD54&gt;1,'UA Optimizer'!AA54,'UA Optimizer'!AA53)</f>
        <v>48208.61</v>
      </c>
      <c r="E59" s="248" t="b">
        <f t="shared" si="5"/>
        <v>0</v>
      </c>
    </row>
    <row r="60" spans="1:5" ht="12.75">
      <c r="A60"/>
      <c r="B60" s="310"/>
      <c r="C60" s="391"/>
      <c r="D60" s="319">
        <f>IF('12492 SF'!AD55&gt;1,'UA Optimizer'!AA55,'UA Optimizer'!AA54)</f>
        <v>51811.01</v>
      </c>
      <c r="E60" s="248" t="b">
        <f t="shared" si="5"/>
        <v>0</v>
      </c>
    </row>
    <row r="61" spans="1:5" ht="12.75">
      <c r="A61"/>
      <c r="B61" s="310"/>
      <c r="C61" s="391"/>
      <c r="D61" s="319">
        <f>IF('12492 SF'!AD56&gt;1,'UA Optimizer'!AA56,'UA Optimizer'!AA55)</f>
        <v>52421.840000000004</v>
      </c>
      <c r="E61" s="248" t="b">
        <f>AND(D61=D62,D62&lt;D63)</f>
        <v>0</v>
      </c>
    </row>
    <row r="62" spans="2:5" ht="13.5" thickBot="1">
      <c r="B62" s="311"/>
      <c r="C62" s="392"/>
      <c r="D62" s="393">
        <f>IF('12492 SF'!AD57&gt;1,'UA Optimizer'!AA57,'UA Optimizer'!AA56)</f>
        <v>52829.060000000005</v>
      </c>
      <c r="E62" s="312" t="b">
        <f t="shared" si="5"/>
        <v>0</v>
      </c>
    </row>
    <row r="63" spans="2:5" ht="12.75">
      <c r="B63"/>
      <c r="C63"/>
      <c r="D63"/>
      <c r="E63"/>
    </row>
    <row r="64" spans="1:5" ht="12.75">
      <c r="A64"/>
      <c r="B64"/>
      <c r="C64"/>
      <c r="D64"/>
      <c r="E64"/>
    </row>
    <row r="65" spans="1:5" ht="12.75">
      <c r="A65"/>
      <c r="B65"/>
      <c r="C65"/>
      <c r="D65"/>
      <c r="E65"/>
    </row>
    <row r="66" spans="1:5" ht="12.75">
      <c r="A66" s="115"/>
      <c r="B66"/>
      <c r="C66"/>
      <c r="D66"/>
      <c r="E66"/>
    </row>
    <row r="67" spans="1:10" ht="13.5" thickBot="1">
      <c r="A67" s="115"/>
      <c r="J67" s="5"/>
    </row>
    <row r="68" spans="1:10" ht="13.5" thickBot="1">
      <c r="A68" s="243" t="s">
        <v>249</v>
      </c>
      <c r="B68" s="244"/>
      <c r="C68" s="242">
        <f>'Cost-Effectiveness Level'!I4</f>
        <v>0.695</v>
      </c>
      <c r="D68" s="245"/>
      <c r="E68" s="242">
        <f>'Cost-Effectiveness Level'!J4</f>
        <v>0.30500000000000005</v>
      </c>
      <c r="I68" s="5"/>
      <c r="J68" s="5"/>
    </row>
    <row r="69" spans="2:10" ht="13.5" thickBot="1">
      <c r="B69" s="488">
        <v>10920</v>
      </c>
      <c r="C69" s="489"/>
      <c r="D69" s="488">
        <v>12492</v>
      </c>
      <c r="E69" s="489"/>
      <c r="F69" s="490" t="s">
        <v>252</v>
      </c>
      <c r="G69" s="491"/>
      <c r="H69" s="492"/>
      <c r="I69" s="5"/>
      <c r="J69" s="5"/>
    </row>
    <row r="70" spans="2:10" ht="39" thickBot="1">
      <c r="B70" s="107" t="s">
        <v>187</v>
      </c>
      <c r="C70" s="108" t="s">
        <v>188</v>
      </c>
      <c r="D70" s="107" t="s">
        <v>187</v>
      </c>
      <c r="E70" s="108" t="s">
        <v>188</v>
      </c>
      <c r="F70" s="109" t="s">
        <v>187</v>
      </c>
      <c r="G70" s="110" t="s">
        <v>251</v>
      </c>
      <c r="H70" s="110" t="s">
        <v>189</v>
      </c>
      <c r="I70" s="5"/>
      <c r="J70" s="5"/>
    </row>
    <row r="71" spans="2:10" ht="12.75">
      <c r="B71" s="111">
        <f>'UA Optimizer'!AR4</f>
        <v>5000</v>
      </c>
      <c r="C71" s="233">
        <f>'UA Optimizer'!AS4</f>
        <v>138199.05361851744</v>
      </c>
      <c r="D71" s="111">
        <f>'UA Optimizer'!BA4</f>
        <v>5000</v>
      </c>
      <c r="E71" s="233">
        <f>'UA Optimizer'!BB4</f>
        <v>135924.28362144745</v>
      </c>
      <c r="F71" s="111">
        <f>B71</f>
        <v>5000</v>
      </c>
      <c r="G71" s="233">
        <f>SUMPRODUCT($C$68:$E$68,C71:E71)</f>
        <v>137505.2487694111</v>
      </c>
      <c r="H71" s="233">
        <f>G71/12</f>
        <v>11458.770730784257</v>
      </c>
      <c r="I71" s="5"/>
      <c r="J71" s="5"/>
    </row>
    <row r="72" spans="2:10" ht="12.75">
      <c r="B72" s="112">
        <f>'UA Optimizer'!AR5</f>
        <v>4950</v>
      </c>
      <c r="C72" s="233">
        <f>'UA Optimizer'!AS5</f>
        <v>136263.90711983593</v>
      </c>
      <c r="D72" s="112">
        <f>'UA Optimizer'!BA5</f>
        <v>4950</v>
      </c>
      <c r="E72" s="233">
        <f>'UA Optimizer'!BB5</f>
        <v>134000.47026076767</v>
      </c>
      <c r="F72" s="111">
        <f aca="true" t="shared" si="6" ref="F72:F135">B72</f>
        <v>4950</v>
      </c>
      <c r="G72" s="233">
        <f aca="true" t="shared" si="7" ref="G72:G135">SUMPRODUCT($C$68:$E$68,C72:E72)</f>
        <v>135573.5588778201</v>
      </c>
      <c r="H72" s="233">
        <f aca="true" t="shared" si="8" ref="H72:H135">G72/12</f>
        <v>11297.796573151674</v>
      </c>
      <c r="I72" s="5"/>
      <c r="J72" s="5"/>
    </row>
    <row r="73" spans="2:10" ht="12.75">
      <c r="B73" s="112">
        <f>'UA Optimizer'!AR6</f>
        <v>4900</v>
      </c>
      <c r="C73" s="233">
        <f>'UA Optimizer'!AS6</f>
        <v>134331.68766481103</v>
      </c>
      <c r="D73" s="112">
        <f>'UA Optimizer'!BA6</f>
        <v>4900</v>
      </c>
      <c r="E73" s="233">
        <f>'UA Optimizer'!BB6</f>
        <v>132079.67330794025</v>
      </c>
      <c r="F73" s="111">
        <f t="shared" si="6"/>
        <v>4900</v>
      </c>
      <c r="G73" s="233">
        <f t="shared" si="7"/>
        <v>133644.82328596545</v>
      </c>
      <c r="H73" s="233">
        <f t="shared" si="8"/>
        <v>11137.068607163788</v>
      </c>
      <c r="I73" s="5"/>
      <c r="J73" s="5"/>
    </row>
    <row r="74" spans="2:10" ht="12.75">
      <c r="B74" s="112">
        <f>'UA Optimizer'!AR7</f>
        <v>4850</v>
      </c>
      <c r="C74" s="233">
        <f>'UA Optimizer'!AS7</f>
        <v>132400.7354233812</v>
      </c>
      <c r="D74" s="112">
        <f>'UA Optimizer'!BA7</f>
        <v>4850</v>
      </c>
      <c r="E74" s="233">
        <f>'UA Optimizer'!BB7</f>
        <v>130161.68473483738</v>
      </c>
      <c r="F74" s="111">
        <f t="shared" si="6"/>
        <v>4850</v>
      </c>
      <c r="G74" s="233">
        <f t="shared" si="7"/>
        <v>131717.82496337534</v>
      </c>
      <c r="H74" s="233">
        <f t="shared" si="8"/>
        <v>10976.485413614611</v>
      </c>
      <c r="I74" s="5"/>
      <c r="J74" s="5"/>
    </row>
    <row r="75" spans="2:10" ht="12.75">
      <c r="B75" s="112">
        <f>'UA Optimizer'!AR8</f>
        <v>4800</v>
      </c>
      <c r="C75" s="233">
        <f>'UA Optimizer'!AS8</f>
        <v>130471.16173454438</v>
      </c>
      <c r="D75" s="112">
        <f>'UA Optimizer'!BA8</f>
        <v>4800</v>
      </c>
      <c r="E75" s="233">
        <f>'UA Optimizer'!BB8</f>
        <v>128245.6387342514</v>
      </c>
      <c r="F75" s="111">
        <f t="shared" si="6"/>
        <v>4800</v>
      </c>
      <c r="G75" s="233">
        <f t="shared" si="7"/>
        <v>129792.37721945503</v>
      </c>
      <c r="H75" s="233">
        <f t="shared" si="8"/>
        <v>10816.031434954586</v>
      </c>
      <c r="I75" s="5"/>
      <c r="J75" s="5"/>
    </row>
    <row r="76" spans="2:10" ht="12.75">
      <c r="B76" s="112">
        <f>'UA Optimizer'!AR9</f>
        <v>4750</v>
      </c>
      <c r="C76" s="233">
        <f>'UA Optimizer'!AS9</f>
        <v>128545.4541459127</v>
      </c>
      <c r="D76" s="112">
        <f>'UA Optimizer'!BA9</f>
        <v>4750</v>
      </c>
      <c r="E76" s="233">
        <f>'UA Optimizer'!BB9</f>
        <v>126329.95312042194</v>
      </c>
      <c r="F76" s="111">
        <f t="shared" si="6"/>
        <v>4750</v>
      </c>
      <c r="G76" s="233">
        <f t="shared" si="7"/>
        <v>127869.72633313804</v>
      </c>
      <c r="H76" s="233">
        <f t="shared" si="8"/>
        <v>10655.810527761503</v>
      </c>
      <c r="I76" s="5"/>
      <c r="J76" s="5"/>
    </row>
    <row r="77" spans="2:10" ht="12.75">
      <c r="B77" s="112">
        <f>'UA Optimizer'!AR10</f>
        <v>4700</v>
      </c>
      <c r="C77" s="233">
        <f>'UA Optimizer'!AS10</f>
        <v>126622.39671842955</v>
      </c>
      <c r="D77" s="112">
        <f>'UA Optimizer'!BA10</f>
        <v>4700</v>
      </c>
      <c r="E77" s="233">
        <f>'UA Optimizer'!BB10</f>
        <v>124416.44594198655</v>
      </c>
      <c r="F77" s="111">
        <f t="shared" si="6"/>
        <v>4700</v>
      </c>
      <c r="G77" s="233">
        <f t="shared" si="7"/>
        <v>125949.58173161444</v>
      </c>
      <c r="H77" s="233">
        <f t="shared" si="8"/>
        <v>10495.798477634537</v>
      </c>
      <c r="I77" s="5"/>
      <c r="J77" s="5"/>
    </row>
    <row r="78" spans="2:10" ht="12.75">
      <c r="B78" s="112">
        <f>'UA Optimizer'!AR11</f>
        <v>4650</v>
      </c>
      <c r="C78" s="233">
        <f>'UA Optimizer'!AS11</f>
        <v>124701.79460884852</v>
      </c>
      <c r="D78" s="112">
        <f>'UA Optimizer'!BA11</f>
        <v>4650</v>
      </c>
      <c r="E78" s="233">
        <f>'UA Optimizer'!BB11</f>
        <v>122504.47992968065</v>
      </c>
      <c r="F78" s="111">
        <f t="shared" si="6"/>
        <v>4650</v>
      </c>
      <c r="G78" s="233">
        <f t="shared" si="7"/>
        <v>124031.61363170232</v>
      </c>
      <c r="H78" s="233">
        <f t="shared" si="8"/>
        <v>10335.96780264186</v>
      </c>
      <c r="I78" s="5"/>
      <c r="J78" s="5"/>
    </row>
    <row r="79" spans="2:10" ht="12.75">
      <c r="B79" s="112">
        <f>'UA Optimizer'!AR12</f>
        <v>4600</v>
      </c>
      <c r="C79" s="233">
        <f>'UA Optimizer'!AS12</f>
        <v>122783.59800761794</v>
      </c>
      <c r="D79" s="112">
        <f>'UA Optimizer'!BA12</f>
        <v>4600</v>
      </c>
      <c r="E79" s="233">
        <f>'UA Optimizer'!BB12</f>
        <v>120594.17814239672</v>
      </c>
      <c r="F79" s="111">
        <f t="shared" si="6"/>
        <v>4600</v>
      </c>
      <c r="G79" s="233">
        <f t="shared" si="7"/>
        <v>122115.82494872547</v>
      </c>
      <c r="H79" s="233">
        <f t="shared" si="8"/>
        <v>10176.318745727121</v>
      </c>
      <c r="I79" s="5"/>
      <c r="J79" s="5"/>
    </row>
    <row r="80" spans="2:10" ht="12.75">
      <c r="B80" s="112">
        <f>'UA Optimizer'!AR13</f>
        <v>4550</v>
      </c>
      <c r="C80" s="233">
        <f>'UA Optimizer'!AS13</f>
        <v>120867.79079988282</v>
      </c>
      <c r="D80" s="112">
        <f>'UA Optimizer'!BA13</f>
        <v>4550</v>
      </c>
      <c r="E80" s="233">
        <f>'UA Optimizer'!BB13</f>
        <v>118686.82537357164</v>
      </c>
      <c r="F80" s="111">
        <f t="shared" si="6"/>
        <v>4550</v>
      </c>
      <c r="G80" s="233">
        <f t="shared" si="7"/>
        <v>120202.59634485791</v>
      </c>
      <c r="H80" s="233">
        <f t="shared" si="8"/>
        <v>10016.883028738159</v>
      </c>
      <c r="I80" s="5"/>
      <c r="J80" s="5"/>
    </row>
    <row r="81" spans="2:10" ht="12.75">
      <c r="B81" s="112">
        <f>'UA Optimizer'!AR14</f>
        <v>4500</v>
      </c>
      <c r="C81" s="233">
        <f>'UA Optimizer'!AS14</f>
        <v>118954.3202461178</v>
      </c>
      <c r="D81" s="112">
        <f>'UA Optimizer'!BA14</f>
        <v>4500</v>
      </c>
      <c r="E81" s="233">
        <f>'UA Optimizer'!BB14</f>
        <v>116781.91913272782</v>
      </c>
      <c r="F81" s="111">
        <f t="shared" si="6"/>
        <v>4500</v>
      </c>
      <c r="G81" s="233">
        <f t="shared" si="7"/>
        <v>118291.73790653386</v>
      </c>
      <c r="H81" s="233">
        <f t="shared" si="8"/>
        <v>9857.644825544488</v>
      </c>
      <c r="I81" s="5"/>
      <c r="J81" s="5"/>
    </row>
    <row r="82" spans="2:10" ht="12.75">
      <c r="B82" s="112">
        <f>'UA Optimizer'!AR15</f>
        <v>4450</v>
      </c>
      <c r="C82" s="233">
        <f>'UA Optimizer'!AS15</f>
        <v>117043.11749194258</v>
      </c>
      <c r="D82" s="112">
        <f>'UA Optimizer'!BA15</f>
        <v>4450</v>
      </c>
      <c r="E82" s="233">
        <f>'UA Optimizer'!BB15</f>
        <v>114879.27336653971</v>
      </c>
      <c r="F82" s="111">
        <f t="shared" si="6"/>
        <v>4450</v>
      </c>
      <c r="G82" s="233">
        <f t="shared" si="7"/>
        <v>116383.1450336947</v>
      </c>
      <c r="H82" s="233">
        <f t="shared" si="8"/>
        <v>9698.59541947456</v>
      </c>
      <c r="I82" s="5"/>
      <c r="J82" s="5"/>
    </row>
    <row r="83" spans="2:10" ht="12.75">
      <c r="B83" s="112">
        <f>'UA Optimizer'!AR16</f>
        <v>4400</v>
      </c>
      <c r="C83" s="233">
        <f>'UA Optimizer'!AS16</f>
        <v>115132.90360386757</v>
      </c>
      <c r="D83" s="112">
        <f>'UA Optimizer'!BA16</f>
        <v>4400</v>
      </c>
      <c r="E83" s="233">
        <f>'UA Optimizer'!BB16</f>
        <v>112978.25227072957</v>
      </c>
      <c r="F83" s="111">
        <f t="shared" si="6"/>
        <v>4400</v>
      </c>
      <c r="G83" s="233">
        <f t="shared" si="7"/>
        <v>114475.73494726048</v>
      </c>
      <c r="H83" s="233">
        <f t="shared" si="8"/>
        <v>9539.644578938374</v>
      </c>
      <c r="I83" s="5"/>
      <c r="J83" s="5"/>
    </row>
    <row r="84" spans="2:10" ht="12.75">
      <c r="B84" s="112">
        <f>'UA Optimizer'!AR17</f>
        <v>4350</v>
      </c>
      <c r="C84" s="233">
        <f>'UA Optimizer'!AS17</f>
        <v>113224.223556988</v>
      </c>
      <c r="D84" s="112">
        <f>'UA Optimizer'!BA17</f>
        <v>4350</v>
      </c>
      <c r="E84" s="233">
        <f>'UA Optimizer'!BB17</f>
        <v>111079.46088485204</v>
      </c>
      <c r="F84" s="111">
        <f t="shared" si="6"/>
        <v>4350</v>
      </c>
      <c r="G84" s="233">
        <f t="shared" si="7"/>
        <v>112570.07094198653</v>
      </c>
      <c r="H84" s="233">
        <f t="shared" si="8"/>
        <v>9380.839245165544</v>
      </c>
      <c r="I84" s="5"/>
      <c r="J84" s="5"/>
    </row>
    <row r="85" spans="2:10" ht="12.75">
      <c r="B85" s="112">
        <f>'UA Optimizer'!AR18</f>
        <v>4300</v>
      </c>
      <c r="C85" s="233">
        <f>'UA Optimizer'!AS18</f>
        <v>111317.55640199239</v>
      </c>
      <c r="D85" s="112">
        <f>'UA Optimizer'!BA18</f>
        <v>4300</v>
      </c>
      <c r="E85" s="233">
        <f>'UA Optimizer'!BB18</f>
        <v>109182.33079402286</v>
      </c>
      <c r="F85" s="111">
        <f t="shared" si="6"/>
        <v>4300</v>
      </c>
      <c r="G85" s="233">
        <f t="shared" si="7"/>
        <v>110666.31259156168</v>
      </c>
      <c r="H85" s="233">
        <f t="shared" si="8"/>
        <v>9222.192715963474</v>
      </c>
      <c r="I85" s="5"/>
      <c r="J85" s="5"/>
    </row>
    <row r="86" spans="2:10" ht="12.75">
      <c r="B86" s="112">
        <f>'UA Optimizer'!AR19</f>
        <v>4250</v>
      </c>
      <c r="C86" s="233">
        <f>'UA Optimizer'!AS19</f>
        <v>109413.07354233811</v>
      </c>
      <c r="D86" s="112">
        <f>'UA Optimizer'!BA19</f>
        <v>4250</v>
      </c>
      <c r="E86" s="233">
        <f>'UA Optimizer'!BB19</f>
        <v>107289.6601230589</v>
      </c>
      <c r="F86" s="111">
        <f t="shared" si="6"/>
        <v>4250</v>
      </c>
      <c r="G86" s="233">
        <f t="shared" si="7"/>
        <v>108765.43244945796</v>
      </c>
      <c r="H86" s="233">
        <f t="shared" si="8"/>
        <v>9063.78603745483</v>
      </c>
      <c r="I86" s="5"/>
      <c r="J86" s="5"/>
    </row>
    <row r="87" spans="2:10" ht="12.75">
      <c r="B87" s="112">
        <f>'UA Optimizer'!AR20</f>
        <v>4200</v>
      </c>
      <c r="C87" s="233">
        <f>'UA Optimizer'!AS20</f>
        <v>107512.70583064752</v>
      </c>
      <c r="D87" s="112">
        <f>'UA Optimizer'!BA20</f>
        <v>4200</v>
      </c>
      <c r="E87" s="233">
        <f>'UA Optimizer'!BB20</f>
        <v>105399.73044242602</v>
      </c>
      <c r="F87" s="111">
        <f t="shared" si="6"/>
        <v>4200</v>
      </c>
      <c r="G87" s="233">
        <f t="shared" si="7"/>
        <v>106868.24833723996</v>
      </c>
      <c r="H87" s="233">
        <f t="shared" si="8"/>
        <v>8905.687361436663</v>
      </c>
      <c r="I87" s="5"/>
      <c r="J87" s="5"/>
    </row>
    <row r="88" spans="2:10" ht="12.75">
      <c r="B88" s="112">
        <f>'UA Optimizer'!AR21</f>
        <v>4150</v>
      </c>
      <c r="C88" s="233">
        <f>'UA Optimizer'!AS21</f>
        <v>105615.15382361559</v>
      </c>
      <c r="D88" s="112">
        <f>'UA Optimizer'!BA21</f>
        <v>4150</v>
      </c>
      <c r="E88" s="233">
        <f>'UA Optimizer'!BB21</f>
        <v>103513.04277761502</v>
      </c>
      <c r="F88" s="111">
        <f t="shared" si="6"/>
        <v>4150</v>
      </c>
      <c r="G88" s="233">
        <f t="shared" si="7"/>
        <v>104974.00995458542</v>
      </c>
      <c r="H88" s="233">
        <f t="shared" si="8"/>
        <v>8747.834162882118</v>
      </c>
      <c r="I88" s="5"/>
      <c r="J88" s="5"/>
    </row>
    <row r="89" spans="2:10" ht="12.75">
      <c r="B89" s="112">
        <f>'UA Optimizer'!AR22</f>
        <v>4100</v>
      </c>
      <c r="C89" s="233">
        <f>'UA Optimizer'!AS22</f>
        <v>103719.71432757106</v>
      </c>
      <c r="D89" s="112">
        <f>'UA Optimizer'!BA22</f>
        <v>4100</v>
      </c>
      <c r="E89" s="233">
        <f>'UA Optimizer'!BB22</f>
        <v>101631.03428069147</v>
      </c>
      <c r="F89" s="111">
        <f t="shared" si="6"/>
        <v>4100</v>
      </c>
      <c r="G89" s="233">
        <f t="shared" si="7"/>
        <v>103082.66691327278</v>
      </c>
      <c r="H89" s="233">
        <f t="shared" si="8"/>
        <v>8590.222242772732</v>
      </c>
      <c r="I89" s="5"/>
      <c r="J89" s="5"/>
    </row>
    <row r="90" spans="2:10" ht="12.75">
      <c r="B90" s="112">
        <f>'UA Optimizer'!AR23</f>
        <v>4050</v>
      </c>
      <c r="C90" s="233">
        <f>'UA Optimizer'!AS23</f>
        <v>101825.8995019045</v>
      </c>
      <c r="D90" s="112">
        <f>'UA Optimizer'!BA23</f>
        <v>4050</v>
      </c>
      <c r="E90" s="233">
        <f>'UA Optimizer'!BB23</f>
        <v>99752.1886903018</v>
      </c>
      <c r="F90" s="111">
        <f t="shared" si="6"/>
        <v>4050</v>
      </c>
      <c r="G90" s="233">
        <f t="shared" si="7"/>
        <v>101193.41770436568</v>
      </c>
      <c r="H90" s="233">
        <f t="shared" si="8"/>
        <v>8432.78480869714</v>
      </c>
      <c r="I90" s="5"/>
      <c r="J90" s="5"/>
    </row>
    <row r="91" spans="2:10" ht="12.75">
      <c r="B91" s="112">
        <f>'UA Optimizer'!AR24</f>
        <v>4000</v>
      </c>
      <c r="C91" s="233">
        <f>'UA Optimizer'!AS24</f>
        <v>99934.5634339291</v>
      </c>
      <c r="D91" s="112">
        <f>'UA Optimizer'!BA24</f>
        <v>4000</v>
      </c>
      <c r="E91" s="233">
        <f>'UA Optimizer'!BB24</f>
        <v>97878.29915030766</v>
      </c>
      <c r="F91" s="111">
        <f t="shared" si="6"/>
        <v>4000</v>
      </c>
      <c r="G91" s="233">
        <f t="shared" si="7"/>
        <v>99307.40282742456</v>
      </c>
      <c r="H91" s="233">
        <f t="shared" si="8"/>
        <v>8275.616902285381</v>
      </c>
      <c r="I91" s="5"/>
      <c r="J91" s="5"/>
    </row>
    <row r="92" spans="2:10" ht="12.75">
      <c r="B92" s="112">
        <f>'UA Optimizer'!AR25</f>
        <v>3950</v>
      </c>
      <c r="C92" s="233">
        <f>'UA Optimizer'!AS25</f>
        <v>98048.07500732494</v>
      </c>
      <c r="D92" s="112">
        <f>'UA Optimizer'!BA25</f>
        <v>3950</v>
      </c>
      <c r="E92" s="233">
        <f>'UA Optimizer'!BB25</f>
        <v>96011.44594198652</v>
      </c>
      <c r="F92" s="111">
        <f t="shared" si="6"/>
        <v>3950</v>
      </c>
      <c r="G92" s="233">
        <f t="shared" si="7"/>
        <v>97426.90314239672</v>
      </c>
      <c r="H92" s="233">
        <f t="shared" si="8"/>
        <v>8118.908595199727</v>
      </c>
      <c r="I92" s="5"/>
      <c r="J92" s="5"/>
    </row>
    <row r="93" spans="2:10" ht="12.75">
      <c r="B93" s="112">
        <f>'UA Optimizer'!AR26</f>
        <v>3900</v>
      </c>
      <c r="C93" s="233">
        <f>'UA Optimizer'!AS26</f>
        <v>96164.36712569588</v>
      </c>
      <c r="D93" s="112">
        <f>'UA Optimizer'!BA26</f>
        <v>3900</v>
      </c>
      <c r="E93" s="233">
        <f>'UA Optimizer'!BB26</f>
        <v>94149.25432171111</v>
      </c>
      <c r="F93" s="111">
        <f t="shared" si="6"/>
        <v>3900</v>
      </c>
      <c r="G93" s="233">
        <f t="shared" si="7"/>
        <v>95549.75772048053</v>
      </c>
      <c r="H93" s="233">
        <f t="shared" si="8"/>
        <v>7962.479810040044</v>
      </c>
      <c r="I93" s="5"/>
      <c r="J93" s="5"/>
    </row>
    <row r="94" spans="2:10" ht="12.75">
      <c r="B94" s="112">
        <f>'UA Optimizer'!AR27</f>
        <v>3850</v>
      </c>
      <c r="C94" s="233">
        <f>'UA Optimizer'!AS27</f>
        <v>94284.60445355992</v>
      </c>
      <c r="D94" s="112">
        <f>'UA Optimizer'!BA27</f>
        <v>3850</v>
      </c>
      <c r="E94" s="233">
        <f>'UA Optimizer'!BB27</f>
        <v>92289.9619103428</v>
      </c>
      <c r="F94" s="111">
        <f t="shared" si="6"/>
        <v>3850</v>
      </c>
      <c r="G94" s="233">
        <f t="shared" si="7"/>
        <v>93676.2384778787</v>
      </c>
      <c r="H94" s="233">
        <f t="shared" si="8"/>
        <v>7806.353206489891</v>
      </c>
      <c r="I94" s="5"/>
      <c r="J94" s="5"/>
    </row>
    <row r="95" spans="2:10" ht="12.75">
      <c r="B95" s="112">
        <f>'UA Optimizer'!AR28</f>
        <v>3800</v>
      </c>
      <c r="C95" s="233">
        <f>'UA Optimizer'!AS28</f>
        <v>92409.34954585409</v>
      </c>
      <c r="D95" s="112">
        <f>'UA Optimizer'!BA28</f>
        <v>3800</v>
      </c>
      <c r="E95" s="233">
        <f>'UA Optimizer'!BB28</f>
        <v>90434.53120421915</v>
      </c>
      <c r="F95" s="111">
        <f t="shared" si="6"/>
        <v>3800</v>
      </c>
      <c r="G95" s="233">
        <f t="shared" si="7"/>
        <v>91807.02995165542</v>
      </c>
      <c r="H95" s="233">
        <f t="shared" si="8"/>
        <v>7650.5858293046185</v>
      </c>
      <c r="I95" s="5"/>
      <c r="J95" s="5"/>
    </row>
    <row r="96" spans="2:10" ht="12.75">
      <c r="B96" s="112">
        <f>'UA Optimizer'!AR29</f>
        <v>3750</v>
      </c>
      <c r="C96" s="233">
        <f>'UA Optimizer'!AS29</f>
        <v>90539.48432464107</v>
      </c>
      <c r="D96" s="112">
        <f>'UA Optimizer'!BA29</f>
        <v>3750</v>
      </c>
      <c r="E96" s="233">
        <f>'UA Optimizer'!BB29</f>
        <v>88585.55376501611</v>
      </c>
      <c r="F96" s="111">
        <f t="shared" si="6"/>
        <v>3750</v>
      </c>
      <c r="G96" s="233">
        <f t="shared" si="7"/>
        <v>89943.53550395547</v>
      </c>
      <c r="H96" s="233">
        <f t="shared" si="8"/>
        <v>7495.294625329622</v>
      </c>
      <c r="I96" s="5"/>
      <c r="J96" s="5"/>
    </row>
    <row r="97" spans="2:10" ht="12.75">
      <c r="B97" s="112">
        <f>'UA Optimizer'!AR30</f>
        <v>3700</v>
      </c>
      <c r="C97" s="233">
        <f>'UA Optimizer'!AS30</f>
        <v>88678.33870495166</v>
      </c>
      <c r="D97" s="112">
        <f>'UA Optimizer'!BA30</f>
        <v>3700</v>
      </c>
      <c r="E97" s="233">
        <f>'UA Optimizer'!BB30</f>
        <v>86739.19425725169</v>
      </c>
      <c r="F97" s="111">
        <f t="shared" si="6"/>
        <v>3700</v>
      </c>
      <c r="G97" s="233">
        <f t="shared" si="7"/>
        <v>88086.89964840317</v>
      </c>
      <c r="H97" s="233">
        <f t="shared" si="8"/>
        <v>7340.574970700264</v>
      </c>
      <c r="I97" s="5"/>
      <c r="J97" s="5"/>
    </row>
    <row r="98" spans="2:10" ht="12.75">
      <c r="B98" s="112">
        <f>'UA Optimizer'!AR31</f>
        <v>3650</v>
      </c>
      <c r="C98" s="233">
        <f>'UA Optimizer'!AS31</f>
        <v>86821.56167594492</v>
      </c>
      <c r="D98" s="112">
        <f>'UA Optimizer'!BA31</f>
        <v>3650</v>
      </c>
      <c r="E98" s="233">
        <f>'UA Optimizer'!BB31</f>
        <v>84897.52856724289</v>
      </c>
      <c r="F98" s="111">
        <f t="shared" si="6"/>
        <v>3650</v>
      </c>
      <c r="G98" s="233">
        <f t="shared" si="7"/>
        <v>86234.73157779081</v>
      </c>
      <c r="H98" s="233">
        <f t="shared" si="8"/>
        <v>7186.227631482568</v>
      </c>
      <c r="I98" s="5"/>
      <c r="J98" s="5"/>
    </row>
    <row r="99" spans="2:10" ht="12.75">
      <c r="B99" s="112">
        <f>'UA Optimizer'!AR32</f>
        <v>3600</v>
      </c>
      <c r="C99" s="233">
        <f>'UA Optimizer'!AS32</f>
        <v>84969.23381189571</v>
      </c>
      <c r="D99" s="112">
        <f>'UA Optimizer'!BA32</f>
        <v>3600</v>
      </c>
      <c r="E99" s="233">
        <f>'UA Optimizer'!BB32</f>
        <v>83059.59566363903</v>
      </c>
      <c r="F99" s="111">
        <f t="shared" si="6"/>
        <v>3600</v>
      </c>
      <c r="G99" s="233">
        <f t="shared" si="7"/>
        <v>84386.79417667742</v>
      </c>
      <c r="H99" s="233">
        <f t="shared" si="8"/>
        <v>7032.232848056451</v>
      </c>
      <c r="I99" s="5"/>
      <c r="J99" s="5"/>
    </row>
    <row r="100" spans="2:10" ht="12.75">
      <c r="B100" s="112">
        <f>'UA Optimizer'!AR33</f>
        <v>3550</v>
      </c>
      <c r="C100" s="233">
        <f>'UA Optimizer'!AS33</f>
        <v>83121.37415763258</v>
      </c>
      <c r="D100" s="112">
        <f>'UA Optimizer'!BA33</f>
        <v>3550</v>
      </c>
      <c r="E100" s="233">
        <f>'UA Optimizer'!BB33</f>
        <v>81226.4430120129</v>
      </c>
      <c r="F100" s="111">
        <f t="shared" si="6"/>
        <v>3550</v>
      </c>
      <c r="G100" s="233">
        <f t="shared" si="7"/>
        <v>82543.42015821858</v>
      </c>
      <c r="H100" s="233">
        <f t="shared" si="8"/>
        <v>6878.618346518215</v>
      </c>
      <c r="I100" s="5"/>
      <c r="J100" s="5"/>
    </row>
    <row r="101" spans="2:10" ht="12.75">
      <c r="B101" s="112">
        <f>'UA Optimizer'!AR34</f>
        <v>3500</v>
      </c>
      <c r="C101" s="233">
        <f>'UA Optimizer'!AS34</f>
        <v>81279.00673893935</v>
      </c>
      <c r="D101" s="112">
        <f>'UA Optimizer'!BA34</f>
        <v>3500</v>
      </c>
      <c r="E101" s="233">
        <f>'UA Optimizer'!BB34</f>
        <v>79400.57280984473</v>
      </c>
      <c r="F101" s="111">
        <f t="shared" si="6"/>
        <v>3500</v>
      </c>
      <c r="G101" s="233">
        <f t="shared" si="7"/>
        <v>80706.08439056549</v>
      </c>
      <c r="H101" s="233">
        <f t="shared" si="8"/>
        <v>6725.507032547124</v>
      </c>
      <c r="I101" s="5"/>
      <c r="J101" s="5"/>
    </row>
    <row r="102" spans="2:10" ht="12.75">
      <c r="B102" s="112">
        <f>'UA Optimizer'!AR35</f>
        <v>3450</v>
      </c>
      <c r="C102" s="233">
        <f>'UA Optimizer'!AS35</f>
        <v>79440.53325520072</v>
      </c>
      <c r="D102" s="112">
        <f>'UA Optimizer'!BA35</f>
        <v>3450</v>
      </c>
      <c r="E102" s="233">
        <f>'UA Optimizer'!BB35</f>
        <v>77582.25168473485</v>
      </c>
      <c r="F102" s="111">
        <f t="shared" si="6"/>
        <v>3450</v>
      </c>
      <c r="G102" s="233">
        <f t="shared" si="7"/>
        <v>78873.75737620862</v>
      </c>
      <c r="H102" s="233">
        <f t="shared" si="8"/>
        <v>6572.813114684052</v>
      </c>
      <c r="I102" s="5"/>
      <c r="J102" s="5"/>
    </row>
    <row r="103" spans="2:10" ht="12.75">
      <c r="B103" s="112">
        <f>'UA Optimizer'!AR36</f>
        <v>3400</v>
      </c>
      <c r="C103" s="233">
        <f>'UA Optimizer'!AS36</f>
        <v>77606.59390565485</v>
      </c>
      <c r="D103" s="112">
        <f>'UA Optimizer'!BA36</f>
        <v>3400</v>
      </c>
      <c r="E103" s="233">
        <f>'UA Optimizer'!BB36</f>
        <v>75768.77527102256</v>
      </c>
      <c r="F103" s="111">
        <f t="shared" si="6"/>
        <v>3400</v>
      </c>
      <c r="G103" s="233">
        <f t="shared" si="7"/>
        <v>77046.05922209201</v>
      </c>
      <c r="H103" s="233">
        <f t="shared" si="8"/>
        <v>6420.504935174334</v>
      </c>
      <c r="I103" s="5"/>
      <c r="J103" s="5"/>
    </row>
    <row r="104" spans="2:10" ht="12.75">
      <c r="B104" s="112">
        <f>'UA Optimizer'!AR37</f>
        <v>3350</v>
      </c>
      <c r="C104" s="233">
        <f>'UA Optimizer'!AS37</f>
        <v>75776.80779372987</v>
      </c>
      <c r="D104" s="112">
        <f>'UA Optimizer'!BA37</f>
        <v>3350</v>
      </c>
      <c r="E104" s="233">
        <f>'UA Optimizer'!BB37</f>
        <v>73955.50395546442</v>
      </c>
      <c r="F104" s="111">
        <f t="shared" si="6"/>
        <v>3350</v>
      </c>
      <c r="G104" s="233">
        <f t="shared" si="7"/>
        <v>75221.31012305891</v>
      </c>
      <c r="H104" s="233">
        <f t="shared" si="8"/>
        <v>6268.442510254909</v>
      </c>
      <c r="I104" s="5"/>
      <c r="J104" s="5"/>
    </row>
    <row r="105" spans="2:10" ht="12.75">
      <c r="B105" s="112">
        <f>'UA Optimizer'!AR38</f>
        <v>3300</v>
      </c>
      <c r="C105" s="233">
        <f>'UA Optimizer'!AS38</f>
        <v>73951.53237620862</v>
      </c>
      <c r="D105" s="112">
        <f>'UA Optimizer'!BA38</f>
        <v>3300</v>
      </c>
      <c r="E105" s="233">
        <f>'UA Optimizer'!BB38</f>
        <v>72148.19074128334</v>
      </c>
      <c r="F105" s="111">
        <f t="shared" si="6"/>
        <v>3300</v>
      </c>
      <c r="G105" s="233">
        <f t="shared" si="7"/>
        <v>73401.51317755641</v>
      </c>
      <c r="H105" s="233">
        <f t="shared" si="8"/>
        <v>6116.792764796367</v>
      </c>
      <c r="I105" s="5"/>
      <c r="J105" s="5"/>
    </row>
    <row r="106" spans="2:10" ht="12.75">
      <c r="B106" s="112">
        <f>'UA Optimizer'!AR39</f>
        <v>3250</v>
      </c>
      <c r="C106" s="233">
        <f>'UA Optimizer'!AS39</f>
        <v>72132.91971872254</v>
      </c>
      <c r="D106" s="112">
        <f>'UA Optimizer'!BA39</f>
        <v>3250</v>
      </c>
      <c r="E106" s="233">
        <f>'UA Optimizer'!BB39</f>
        <v>70348.93202461179</v>
      </c>
      <c r="F106" s="111">
        <f t="shared" si="6"/>
        <v>3250</v>
      </c>
      <c r="G106" s="233">
        <f t="shared" si="7"/>
        <v>71588.80347201876</v>
      </c>
      <c r="H106" s="233">
        <f t="shared" si="8"/>
        <v>5965.73362266823</v>
      </c>
      <c r="I106" s="5"/>
      <c r="J106" s="5"/>
    </row>
    <row r="107" spans="2:10" ht="12.75">
      <c r="B107" s="112">
        <f>'UA Optimizer'!AR40</f>
        <v>3200</v>
      </c>
      <c r="C107" s="233">
        <f>'UA Optimizer'!AS40</f>
        <v>70322.40550835044</v>
      </c>
      <c r="D107" s="112">
        <f>'UA Optimizer'!BA40</f>
        <v>3200</v>
      </c>
      <c r="E107" s="233">
        <f>'UA Optimizer'!BB40</f>
        <v>68554.7377673601</v>
      </c>
      <c r="F107" s="111">
        <f t="shared" si="6"/>
        <v>3200</v>
      </c>
      <c r="G107" s="233">
        <f t="shared" si="7"/>
        <v>69783.26684734838</v>
      </c>
      <c r="H107" s="233">
        <f t="shared" si="8"/>
        <v>5815.272237279031</v>
      </c>
      <c r="I107" s="5"/>
      <c r="J107" s="5"/>
    </row>
    <row r="108" spans="2:10" ht="12.75">
      <c r="B108" s="112">
        <f>'UA Optimizer'!AR41</f>
        <v>3150</v>
      </c>
      <c r="C108" s="233">
        <f>'UA Optimizer'!AS41</f>
        <v>68515.54937005567</v>
      </c>
      <c r="D108" s="112">
        <f>'UA Optimizer'!BA41</f>
        <v>3150</v>
      </c>
      <c r="E108" s="233">
        <f>'UA Optimizer'!BB41</f>
        <v>66764.52534427191</v>
      </c>
      <c r="F108" s="111">
        <f t="shared" si="6"/>
        <v>3150</v>
      </c>
      <c r="G108" s="233">
        <f t="shared" si="7"/>
        <v>67981.48704219163</v>
      </c>
      <c r="H108" s="233">
        <f t="shared" si="8"/>
        <v>5665.123920182636</v>
      </c>
      <c r="I108" s="5"/>
      <c r="J108" s="5"/>
    </row>
    <row r="109" spans="2:10" ht="12.75">
      <c r="B109" s="112">
        <f>'UA Optimizer'!AR42</f>
        <v>3100</v>
      </c>
      <c r="C109" s="233">
        <f>'UA Optimizer'!AS42</f>
        <v>66713.72253149722</v>
      </c>
      <c r="D109" s="112">
        <f>'UA Optimizer'!BA42</f>
        <v>3100</v>
      </c>
      <c r="E109" s="233">
        <f>'UA Optimizer'!BB42</f>
        <v>64979.38031057722</v>
      </c>
      <c r="F109" s="111">
        <f t="shared" si="6"/>
        <v>3100</v>
      </c>
      <c r="G109" s="233">
        <f t="shared" si="7"/>
        <v>66184.74815411662</v>
      </c>
      <c r="H109" s="233">
        <f t="shared" si="8"/>
        <v>5515.395679509718</v>
      </c>
      <c r="I109" s="5"/>
      <c r="J109" s="5"/>
    </row>
    <row r="110" spans="2:10" ht="12.75">
      <c r="B110" s="112">
        <f>'UA Optimizer'!AR43</f>
        <v>3050</v>
      </c>
      <c r="C110" s="233">
        <f>'UA Optimizer'!AS43</f>
        <v>64917.53589217697</v>
      </c>
      <c r="D110" s="112">
        <f>'UA Optimizer'!BA43</f>
        <v>3050</v>
      </c>
      <c r="E110" s="233">
        <f>'UA Optimizer'!BB43</f>
        <v>63198.518898329916</v>
      </c>
      <c r="F110" s="111">
        <f t="shared" si="6"/>
        <v>3050</v>
      </c>
      <c r="G110" s="233">
        <f t="shared" si="7"/>
        <v>64393.23570905362</v>
      </c>
      <c r="H110" s="233">
        <f t="shared" si="8"/>
        <v>5366.102975754468</v>
      </c>
      <c r="I110" s="5"/>
      <c r="J110" s="5"/>
    </row>
    <row r="111" spans="2:10" ht="12.75">
      <c r="B111" s="112">
        <f>'UA Optimizer'!AR44</f>
        <v>3000</v>
      </c>
      <c r="C111" s="233">
        <f>'UA Optimizer'!AS44</f>
        <v>63129.374450629955</v>
      </c>
      <c r="D111" s="112">
        <f>'UA Optimizer'!BA44</f>
        <v>3000</v>
      </c>
      <c r="E111" s="233">
        <f>'UA Optimizer'!BB44</f>
        <v>61422.03779665983</v>
      </c>
      <c r="F111" s="111">
        <f t="shared" si="6"/>
        <v>3000</v>
      </c>
      <c r="G111" s="233">
        <f t="shared" si="7"/>
        <v>62608.63677116907</v>
      </c>
      <c r="H111" s="233">
        <f t="shared" si="8"/>
        <v>5217.386397597423</v>
      </c>
      <c r="I111" s="5"/>
      <c r="J111" s="5"/>
    </row>
    <row r="112" spans="2:11" ht="12.75">
      <c r="B112" s="112">
        <f>'UA Optimizer'!AR45</f>
        <v>2950</v>
      </c>
      <c r="C112" s="233">
        <f>'UA Optimizer'!AS45</f>
        <v>61345.68268385585</v>
      </c>
      <c r="D112" s="112">
        <f>'UA Optimizer'!BA45</f>
        <v>2950</v>
      </c>
      <c r="E112" s="233">
        <f>'UA Optimizer'!BB45</f>
        <v>59653.904189862296</v>
      </c>
      <c r="F112" s="111">
        <f t="shared" si="6"/>
        <v>2950</v>
      </c>
      <c r="G112" s="233">
        <f t="shared" si="7"/>
        <v>60829.69024318781</v>
      </c>
      <c r="H112" s="233">
        <f t="shared" si="8"/>
        <v>5069.140853598984</v>
      </c>
      <c r="I112" s="5"/>
      <c r="J112" s="5"/>
      <c r="K112" s="115"/>
    </row>
    <row r="113" spans="2:11" ht="12.75">
      <c r="B113" s="112">
        <f>'UA Optimizer'!AR46</f>
        <v>2900</v>
      </c>
      <c r="C113" s="233">
        <f>'UA Optimizer'!AS46</f>
        <v>59569.00087899208</v>
      </c>
      <c r="D113" s="112">
        <f>'UA Optimizer'!BA46</f>
        <v>2900</v>
      </c>
      <c r="E113" s="233">
        <f>'UA Optimizer'!BB46</f>
        <v>57889.9707002637</v>
      </c>
      <c r="F113" s="111">
        <f t="shared" si="6"/>
        <v>2900</v>
      </c>
      <c r="G113" s="233">
        <f t="shared" si="7"/>
        <v>59056.896674479925</v>
      </c>
      <c r="H113" s="233">
        <f t="shared" si="8"/>
        <v>4921.40805620666</v>
      </c>
      <c r="I113" s="5"/>
      <c r="J113" s="5"/>
      <c r="K113" s="115"/>
    </row>
    <row r="114" spans="2:11" ht="12.75">
      <c r="B114" s="112">
        <f>'UA Optimizer'!AR47</f>
        <v>2850</v>
      </c>
      <c r="C114" s="233">
        <f>'UA Optimizer'!AS47</f>
        <v>57796.46791678876</v>
      </c>
      <c r="D114" s="112">
        <f>'UA Optimizer'!BA47</f>
        <v>2850</v>
      </c>
      <c r="E114" s="233">
        <f>'UA Optimizer'!BB47</f>
        <v>56131.78581892763</v>
      </c>
      <c r="F114" s="111">
        <f t="shared" si="6"/>
        <v>2850</v>
      </c>
      <c r="G114" s="233">
        <f t="shared" si="7"/>
        <v>57288.739876941116</v>
      </c>
      <c r="H114" s="233">
        <f t="shared" si="8"/>
        <v>4774.06165641176</v>
      </c>
      <c r="J114" s="5"/>
      <c r="K114" s="115"/>
    </row>
    <row r="115" spans="2:11" ht="12.75">
      <c r="B115" s="112">
        <f>'UA Optimizer'!AR48</f>
        <v>2800</v>
      </c>
      <c r="C115" s="233">
        <f>'UA Optimizer'!AS48</f>
        <v>56029.882801054795</v>
      </c>
      <c r="D115" s="112">
        <f>'UA Optimizer'!BA48</f>
        <v>2800</v>
      </c>
      <c r="E115" s="233">
        <f>'UA Optimizer'!BB48</f>
        <v>54386.78435394082</v>
      </c>
      <c r="F115" s="111">
        <f t="shared" si="6"/>
        <v>2800</v>
      </c>
      <c r="G115" s="233">
        <f t="shared" si="7"/>
        <v>55528.73777468503</v>
      </c>
      <c r="H115" s="233">
        <f t="shared" si="8"/>
        <v>4627.394814557086</v>
      </c>
      <c r="J115" s="5"/>
      <c r="K115" s="115"/>
    </row>
    <row r="116" spans="2:11" ht="12.75">
      <c r="B116" s="112">
        <f>'UA Optimizer'!AR49</f>
        <v>2750</v>
      </c>
      <c r="C116" s="233">
        <f>'UA Optimizer'!AS49</f>
        <v>54271.31409317317</v>
      </c>
      <c r="D116" s="112">
        <f>'UA Optimizer'!BA49</f>
        <v>2750</v>
      </c>
      <c r="E116" s="233">
        <f>'UA Optimizer'!BB49</f>
        <v>52650.87899208908</v>
      </c>
      <c r="F116" s="111">
        <f t="shared" si="6"/>
        <v>2750</v>
      </c>
      <c r="G116" s="233">
        <f t="shared" si="7"/>
        <v>53777.08138734252</v>
      </c>
      <c r="H116" s="233">
        <f t="shared" si="8"/>
        <v>4481.42344894521</v>
      </c>
      <c r="J116" s="5"/>
      <c r="K116" s="115"/>
    </row>
    <row r="117" spans="2:11" ht="12.75">
      <c r="B117" s="112">
        <f>'UA Optimizer'!AR50</f>
        <v>2700</v>
      </c>
      <c r="C117" s="233">
        <f>'UA Optimizer'!AS50</f>
        <v>52516.24377380604</v>
      </c>
      <c r="D117" s="112">
        <f>'UA Optimizer'!BA50</f>
        <v>2700</v>
      </c>
      <c r="E117" s="233">
        <f>'UA Optimizer'!BB50</f>
        <v>50926.04453559918</v>
      </c>
      <c r="F117" s="111">
        <f t="shared" si="6"/>
        <v>2700</v>
      </c>
      <c r="G117" s="233">
        <f t="shared" si="7"/>
        <v>52031.23300615295</v>
      </c>
      <c r="H117" s="233">
        <f t="shared" si="8"/>
        <v>4335.936083846079</v>
      </c>
      <c r="J117" s="5"/>
      <c r="K117" s="115"/>
    </row>
    <row r="118" spans="2:11" ht="12.75">
      <c r="B118" s="112">
        <f>'UA Optimizer'!AR51</f>
        <v>2650</v>
      </c>
      <c r="C118" s="233">
        <f>'UA Optimizer'!AS51</f>
        <v>50774.469674772925</v>
      </c>
      <c r="D118" s="112">
        <f>'UA Optimizer'!BA51</f>
        <v>2650</v>
      </c>
      <c r="E118" s="233">
        <f>'UA Optimizer'!BB51</f>
        <v>49210.36478171697</v>
      </c>
      <c r="F118" s="111">
        <f t="shared" si="6"/>
        <v>2650</v>
      </c>
      <c r="G118" s="233">
        <f t="shared" si="7"/>
        <v>50297.41768239086</v>
      </c>
      <c r="H118" s="233">
        <f t="shared" si="8"/>
        <v>4191.451473532571</v>
      </c>
      <c r="J118" s="5"/>
      <c r="K118" s="115"/>
    </row>
    <row r="119" spans="2:11" ht="12.75">
      <c r="B119" s="112">
        <f>'UA Optimizer'!AR52</f>
        <v>2600</v>
      </c>
      <c r="C119" s="233">
        <f>'UA Optimizer'!AS52</f>
        <v>49042.23556987987</v>
      </c>
      <c r="D119" s="112">
        <f>'UA Optimizer'!BA52</f>
        <v>2600</v>
      </c>
      <c r="E119" s="233">
        <f>'UA Optimizer'!BB52</f>
        <v>47504.2733665397</v>
      </c>
      <c r="F119" s="111">
        <f t="shared" si="6"/>
        <v>2600</v>
      </c>
      <c r="G119" s="233">
        <f t="shared" si="7"/>
        <v>48573.15709786112</v>
      </c>
      <c r="H119" s="233">
        <f t="shared" si="8"/>
        <v>4047.7630914884267</v>
      </c>
      <c r="J119" s="5"/>
      <c r="K119" s="115"/>
    </row>
    <row r="120" spans="2:10" ht="12.75">
      <c r="B120" s="112">
        <f>'UA Optimizer'!AR53</f>
        <v>2550</v>
      </c>
      <c r="C120" s="233">
        <f>'UA Optimizer'!AS53</f>
        <v>47317.858189276296</v>
      </c>
      <c r="D120" s="112">
        <f>'UA Optimizer'!BA53</f>
        <v>2550</v>
      </c>
      <c r="E120" s="233">
        <f>'UA Optimizer'!BB53</f>
        <v>45811.500146498685</v>
      </c>
      <c r="F120" s="111">
        <f t="shared" si="6"/>
        <v>2550</v>
      </c>
      <c r="G120" s="233">
        <f t="shared" si="7"/>
        <v>46858.418986229124</v>
      </c>
      <c r="H120" s="233">
        <f t="shared" si="8"/>
        <v>3904.868248852427</v>
      </c>
      <c r="J120" s="5"/>
    </row>
    <row r="121" spans="2:10" ht="12.75">
      <c r="B121" s="112">
        <f>'UA Optimizer'!AR54</f>
        <v>2500</v>
      </c>
      <c r="C121" s="233">
        <f>'UA Optimizer'!AS54</f>
        <v>45602.18429534134</v>
      </c>
      <c r="D121" s="112">
        <f>'UA Optimizer'!BA54</f>
        <v>2500</v>
      </c>
      <c r="E121" s="233">
        <f>'UA Optimizer'!BB54</f>
        <v>44127.38499853502</v>
      </c>
      <c r="F121" s="111">
        <f t="shared" si="6"/>
        <v>2500</v>
      </c>
      <c r="G121" s="233">
        <f t="shared" si="7"/>
        <v>45152.37050981542</v>
      </c>
      <c r="H121" s="233">
        <f t="shared" si="8"/>
        <v>3762.697542484618</v>
      </c>
      <c r="J121" s="115"/>
    </row>
    <row r="122" spans="2:10" ht="12.75">
      <c r="B122" s="112">
        <f>'UA Optimizer'!AR55</f>
        <v>2450</v>
      </c>
      <c r="C122" s="233">
        <f>'UA Optimizer'!AS55</f>
        <v>43902.28537943159</v>
      </c>
      <c r="D122" s="112">
        <f>'UA Optimizer'!BA55</f>
        <v>2450</v>
      </c>
      <c r="E122" s="233">
        <f>'UA Optimizer'!BB55</f>
        <v>42450.89071198359</v>
      </c>
      <c r="F122" s="111">
        <f t="shared" si="6"/>
        <v>2450</v>
      </c>
      <c r="G122" s="233">
        <f t="shared" si="7"/>
        <v>43459.61000585995</v>
      </c>
      <c r="H122" s="233">
        <f t="shared" si="8"/>
        <v>3621.634167154996</v>
      </c>
      <c r="I122" s="5"/>
      <c r="J122" s="115"/>
    </row>
    <row r="123" spans="2:10" ht="12.75">
      <c r="B123" s="112">
        <f>'UA Optimizer'!AR56</f>
        <v>2400</v>
      </c>
      <c r="C123" s="233">
        <f>'UA Optimizer'!AS56</f>
        <v>42215.87899208908</v>
      </c>
      <c r="D123" s="112">
        <f>'UA Optimizer'!BA56</f>
        <v>2400</v>
      </c>
      <c r="E123" s="233">
        <f>'UA Optimizer'!BB56</f>
        <v>40785.30178728392</v>
      </c>
      <c r="F123" s="111">
        <f t="shared" si="6"/>
        <v>2400</v>
      </c>
      <c r="G123" s="233">
        <f t="shared" si="7"/>
        <v>41779.55294462351</v>
      </c>
      <c r="H123" s="233">
        <f t="shared" si="8"/>
        <v>3481.629412051959</v>
      </c>
      <c r="I123" s="5"/>
      <c r="J123" s="115"/>
    </row>
    <row r="124" spans="2:10" ht="12.75">
      <c r="B124" s="112">
        <f>'UA Optimizer'!AR57</f>
        <v>2350</v>
      </c>
      <c r="C124" s="233">
        <f>'UA Optimizer'!AS57</f>
        <v>40539.545854087315</v>
      </c>
      <c r="D124" s="112">
        <f>'UA Optimizer'!BA57</f>
        <v>2350</v>
      </c>
      <c r="E124" s="233">
        <f>'UA Optimizer'!BB57</f>
        <v>39131.731614415476</v>
      </c>
      <c r="F124" s="111">
        <f t="shared" si="6"/>
        <v>2350</v>
      </c>
      <c r="G124" s="233">
        <f t="shared" si="7"/>
        <v>40110.1625109874</v>
      </c>
      <c r="H124" s="233">
        <f t="shared" si="8"/>
        <v>3342.513542582283</v>
      </c>
      <c r="I124" s="5"/>
      <c r="J124" s="115"/>
    </row>
    <row r="125" spans="2:10" ht="12.75">
      <c r="B125" s="112">
        <f>'UA Optimizer'!AR58</f>
        <v>2300</v>
      </c>
      <c r="C125" s="233">
        <f>'UA Optimizer'!AS58</f>
        <v>38870.918546733075</v>
      </c>
      <c r="D125" s="112">
        <f>'UA Optimizer'!BA58</f>
        <v>2300</v>
      </c>
      <c r="E125" s="233">
        <f>'UA Optimizer'!BB58</f>
        <v>37489.34222092002</v>
      </c>
      <c r="F125" s="111">
        <f t="shared" si="6"/>
        <v>2300</v>
      </c>
      <c r="G125" s="233">
        <f t="shared" si="7"/>
        <v>38449.537767360096</v>
      </c>
      <c r="H125" s="233">
        <f t="shared" si="8"/>
        <v>3204.128147280008</v>
      </c>
      <c r="I125" s="5"/>
      <c r="J125" s="115"/>
    </row>
    <row r="126" spans="2:10" ht="12.75">
      <c r="B126" s="112">
        <f>'UA Optimizer'!AR59</f>
        <v>2250</v>
      </c>
      <c r="C126" s="233">
        <f>'UA Optimizer'!AS59</f>
        <v>37212.55200703194</v>
      </c>
      <c r="D126" s="112">
        <f>'UA Optimizer'!BA59</f>
        <v>2250</v>
      </c>
      <c r="E126" s="233">
        <f>'UA Optimizer'!BB59</f>
        <v>35855.49663053033</v>
      </c>
      <c r="F126" s="111">
        <f t="shared" si="6"/>
        <v>2250</v>
      </c>
      <c r="G126" s="233">
        <f t="shared" si="7"/>
        <v>36798.65011719895</v>
      </c>
      <c r="H126" s="233">
        <f t="shared" si="8"/>
        <v>3066.554176433246</v>
      </c>
      <c r="I126" s="5"/>
      <c r="J126" s="115"/>
    </row>
    <row r="127" spans="2:10" ht="12.75">
      <c r="B127" s="112">
        <f>'UA Optimizer'!AR60</f>
        <v>2200</v>
      </c>
      <c r="C127" s="233">
        <f>'UA Optimizer'!AS60</f>
        <v>35568.79724582479</v>
      </c>
      <c r="D127" s="112">
        <f>'UA Optimizer'!BA60</f>
        <v>2200</v>
      </c>
      <c r="E127" s="233">
        <f>'UA Optimizer'!BB60</f>
        <v>34234.54731907413</v>
      </c>
      <c r="F127" s="111">
        <f t="shared" si="6"/>
        <v>2200</v>
      </c>
      <c r="G127" s="233">
        <f t="shared" si="7"/>
        <v>35161.851018165835</v>
      </c>
      <c r="H127" s="233">
        <f t="shared" si="8"/>
        <v>2930.1542515138194</v>
      </c>
      <c r="I127" s="5"/>
      <c r="J127" s="115"/>
    </row>
    <row r="128" spans="2:10" ht="12.75">
      <c r="B128" s="112">
        <f>'UA Optimizer'!AR61</f>
        <v>2150</v>
      </c>
      <c r="C128" s="233">
        <f>'UA Optimizer'!AS61</f>
        <v>33936.40492235571</v>
      </c>
      <c r="D128" s="112">
        <f>'UA Optimizer'!BA61</f>
        <v>2150</v>
      </c>
      <c r="E128" s="233">
        <f>'UA Optimizer'!BB61</f>
        <v>32621.155874597127</v>
      </c>
      <c r="F128" s="111">
        <f t="shared" si="6"/>
        <v>2150</v>
      </c>
      <c r="G128" s="233">
        <f t="shared" si="7"/>
        <v>33535.25396278934</v>
      </c>
      <c r="H128" s="233">
        <f t="shared" si="8"/>
        <v>2794.604496899112</v>
      </c>
      <c r="I128" s="5"/>
      <c r="J128" s="115"/>
    </row>
    <row r="129" spans="2:10" ht="12.75">
      <c r="B129" s="112">
        <f>'UA Optimizer'!AR62</f>
        <v>2100</v>
      </c>
      <c r="C129" s="233">
        <f>'UA Optimizer'!AS62</f>
        <v>32312.327864049224</v>
      </c>
      <c r="D129" s="112">
        <f>'UA Optimizer'!BA62</f>
        <v>2100</v>
      </c>
      <c r="E129" s="233">
        <f>'UA Optimizer'!BB62</f>
        <v>31010.804277761497</v>
      </c>
      <c r="F129" s="111">
        <f t="shared" si="6"/>
        <v>2100</v>
      </c>
      <c r="G129" s="233">
        <f t="shared" si="7"/>
        <v>31915.363170231467</v>
      </c>
      <c r="H129" s="233">
        <f t="shared" si="8"/>
        <v>2659.6135975192888</v>
      </c>
      <c r="I129" s="5"/>
      <c r="J129" s="115"/>
    </row>
    <row r="130" spans="2:10" ht="12.75">
      <c r="B130" s="112">
        <f>'UA Optimizer'!AR63</f>
        <v>2050</v>
      </c>
      <c r="C130" s="233">
        <f>'UA Optimizer'!AS63</f>
        <v>30703.873425139176</v>
      </c>
      <c r="D130" s="112">
        <f>'UA Optimizer'!BA63</f>
        <v>2050</v>
      </c>
      <c r="E130" s="233">
        <f>'UA Optimizer'!BB63</f>
        <v>29412.73513038383</v>
      </c>
      <c r="F130" s="111">
        <f t="shared" si="6"/>
        <v>2050</v>
      </c>
      <c r="G130" s="233">
        <f t="shared" si="7"/>
        <v>30310.076245238793</v>
      </c>
      <c r="H130" s="233">
        <f t="shared" si="8"/>
        <v>2525.839687103233</v>
      </c>
      <c r="I130" s="5"/>
      <c r="J130" s="115"/>
    </row>
    <row r="131" spans="2:10" ht="12.75">
      <c r="B131" s="112">
        <f>'UA Optimizer'!AR64</f>
        <v>2000</v>
      </c>
      <c r="C131" s="233">
        <f>'UA Optimizer'!AS64</f>
        <v>29100.348666862003</v>
      </c>
      <c r="D131" s="112">
        <f>'UA Optimizer'!BA64</f>
        <v>2000</v>
      </c>
      <c r="E131" s="233">
        <f>'UA Optimizer'!BB64</f>
        <v>27833.155581599767</v>
      </c>
      <c r="F131" s="111">
        <f t="shared" si="6"/>
        <v>2000</v>
      </c>
      <c r="G131" s="233">
        <f t="shared" si="7"/>
        <v>28713.85477585702</v>
      </c>
      <c r="H131" s="233">
        <f t="shared" si="8"/>
        <v>2392.8212313214185</v>
      </c>
      <c r="I131" s="5"/>
      <c r="J131" s="5"/>
    </row>
    <row r="132" spans="2:10" ht="12.75">
      <c r="B132" s="112">
        <f>'UA Optimizer'!AR65</f>
        <v>1950</v>
      </c>
      <c r="C132" s="233">
        <f>'UA Optimizer'!AS65</f>
        <v>27506.450336946968</v>
      </c>
      <c r="D132" s="112">
        <f>'UA Optimizer'!BA65</f>
        <v>1950</v>
      </c>
      <c r="E132" s="233">
        <f>'UA Optimizer'!BB65</f>
        <v>26270.63873425139</v>
      </c>
      <c r="F132" s="111">
        <f t="shared" si="6"/>
        <v>1950</v>
      </c>
      <c r="G132" s="233">
        <f t="shared" si="7"/>
        <v>27129.52779812482</v>
      </c>
      <c r="H132" s="233">
        <f t="shared" si="8"/>
        <v>2260.793983177068</v>
      </c>
      <c r="I132" s="5"/>
      <c r="J132" s="5"/>
    </row>
    <row r="133" spans="2:10" ht="12.75">
      <c r="B133" s="112">
        <f>'UA Optimizer'!AR66</f>
        <v>1900</v>
      </c>
      <c r="C133" s="233">
        <f>'UA Optimizer'!AS66</f>
        <v>25926.88397304424</v>
      </c>
      <c r="D133" s="112">
        <f>'UA Optimizer'!BA66</f>
        <v>1900</v>
      </c>
      <c r="E133" s="233">
        <f>'UA Optimizer'!BB66</f>
        <v>24724.211837093466</v>
      </c>
      <c r="F133" s="111">
        <f t="shared" si="6"/>
        <v>1900</v>
      </c>
      <c r="G133" s="233">
        <f t="shared" si="7"/>
        <v>25560.068971579254</v>
      </c>
      <c r="H133" s="233">
        <f t="shared" si="8"/>
        <v>2130.0057476316047</v>
      </c>
      <c r="I133" s="5"/>
      <c r="J133" s="5"/>
    </row>
    <row r="134" spans="2:10" ht="12.75">
      <c r="B134" s="112">
        <f>'UA Optimizer'!AR67</f>
        <v>1850</v>
      </c>
      <c r="C134" s="233">
        <f>'UA Optimizer'!AS67</f>
        <v>24368.38558452974</v>
      </c>
      <c r="D134" s="112">
        <f>'UA Optimizer'!BA67</f>
        <v>1850</v>
      </c>
      <c r="E134" s="233">
        <f>'UA Optimizer'!BB67</f>
        <v>23204.298271315558</v>
      </c>
      <c r="F134" s="111">
        <f t="shared" si="6"/>
        <v>1850</v>
      </c>
      <c r="G134" s="233">
        <f t="shared" si="7"/>
        <v>24013.338953999413</v>
      </c>
      <c r="H134" s="233">
        <f t="shared" si="8"/>
        <v>2001.1115794999512</v>
      </c>
      <c r="I134" s="5"/>
      <c r="J134" s="5"/>
    </row>
    <row r="135" spans="2:10" ht="12.75">
      <c r="B135" s="112">
        <f>'UA Optimizer'!AR68</f>
        <v>1800</v>
      </c>
      <c r="C135" s="233">
        <f>'UA Optimizer'!AS68</f>
        <v>22827.628186346323</v>
      </c>
      <c r="D135" s="112">
        <f>'UA Optimizer'!BA68</f>
        <v>1800</v>
      </c>
      <c r="E135" s="233">
        <f>'UA Optimizer'!BB68</f>
        <v>21704.005273952534</v>
      </c>
      <c r="F135" s="111">
        <f t="shared" si="6"/>
        <v>1800</v>
      </c>
      <c r="G135" s="233">
        <f t="shared" si="7"/>
        <v>22484.923198066215</v>
      </c>
      <c r="H135" s="233">
        <f t="shared" si="8"/>
        <v>1873.7435998388512</v>
      </c>
      <c r="I135" s="5"/>
      <c r="J135" s="5"/>
    </row>
    <row r="136" spans="2:10" ht="12.75">
      <c r="B136" s="112">
        <f>'UA Optimizer'!AR69</f>
        <v>1750</v>
      </c>
      <c r="C136" s="233">
        <f>'UA Optimizer'!AS69</f>
        <v>21313.91590975681</v>
      </c>
      <c r="D136" s="112">
        <f>'UA Optimizer'!BA69</f>
        <v>1750</v>
      </c>
      <c r="E136" s="233">
        <f>'UA Optimizer'!BB69</f>
        <v>20225.174333431</v>
      </c>
      <c r="F136" s="111">
        <f aca="true" t="shared" si="9" ref="F136:F141">B136</f>
        <v>1750</v>
      </c>
      <c r="G136" s="233">
        <f aca="true" t="shared" si="10" ref="G136:G141">SUMPRODUCT($C$68:$E$68,C136:E136)</f>
        <v>20981.84972897744</v>
      </c>
      <c r="H136" s="233">
        <f aca="true" t="shared" si="11" ref="H136:H141">G136/12</f>
        <v>1748.4874774147866</v>
      </c>
      <c r="I136" s="5"/>
      <c r="J136" s="5"/>
    </row>
    <row r="137" spans="2:10" ht="12.75">
      <c r="B137" s="112">
        <f>'UA Optimizer'!AR70</f>
        <v>1700</v>
      </c>
      <c r="C137" s="233">
        <f>'UA Optimizer'!AS70</f>
        <v>19826.760914151775</v>
      </c>
      <c r="D137" s="112">
        <f>'UA Optimizer'!BA70</f>
        <v>1700</v>
      </c>
      <c r="E137" s="233">
        <f>'UA Optimizer'!BB70</f>
        <v>18769.56196894228</v>
      </c>
      <c r="F137" s="111">
        <f t="shared" si="9"/>
        <v>1700</v>
      </c>
      <c r="G137" s="233">
        <f t="shared" si="10"/>
        <v>19504.31523586288</v>
      </c>
      <c r="H137" s="233">
        <f t="shared" si="11"/>
        <v>1625.3596029885732</v>
      </c>
      <c r="I137" s="5"/>
      <c r="J137" s="5"/>
    </row>
    <row r="138" spans="2:10" ht="12.75">
      <c r="B138" s="112">
        <f>'UA Optimizer'!AR71</f>
        <v>1650</v>
      </c>
      <c r="C138" s="233">
        <f>'UA Optimizer'!AS71</f>
        <v>18360.035159683564</v>
      </c>
      <c r="D138" s="112">
        <f>'UA Optimizer'!BA71</f>
        <v>1650</v>
      </c>
      <c r="E138" s="233">
        <f>'UA Optimizer'!BB71</f>
        <v>17345.194843246412</v>
      </c>
      <c r="F138" s="111">
        <f t="shared" si="9"/>
        <v>1650</v>
      </c>
      <c r="G138" s="233">
        <f t="shared" si="10"/>
        <v>18050.508863170235</v>
      </c>
      <c r="H138" s="233">
        <f t="shared" si="11"/>
        <v>1504.2090719308528</v>
      </c>
      <c r="I138" s="5"/>
      <c r="J138" s="5"/>
    </row>
    <row r="139" spans="2:10" ht="12.75">
      <c r="B139" s="112">
        <f>'UA Optimizer'!AR72</f>
        <v>1600</v>
      </c>
      <c r="C139" s="233">
        <f>'UA Optimizer'!AS72</f>
        <v>16920.106944037503</v>
      </c>
      <c r="D139" s="112">
        <f>'UA Optimizer'!BA72</f>
        <v>1600</v>
      </c>
      <c r="E139" s="233">
        <f>'UA Optimizer'!BB72</f>
        <v>15956.864928215648</v>
      </c>
      <c r="F139" s="111">
        <f t="shared" si="9"/>
        <v>1600</v>
      </c>
      <c r="G139" s="233">
        <f t="shared" si="10"/>
        <v>16626.318129211835</v>
      </c>
      <c r="H139" s="233">
        <f t="shared" si="11"/>
        <v>1385.526510767653</v>
      </c>
      <c r="I139" s="5"/>
      <c r="J139" s="5"/>
    </row>
    <row r="140" spans="2:10" ht="12.75">
      <c r="B140" s="112">
        <f>'UA Optimizer'!AR73</f>
        <v>1550</v>
      </c>
      <c r="C140" s="233">
        <f>'UA Optimizer'!AS73</f>
        <v>15514.49897450923</v>
      </c>
      <c r="D140" s="112">
        <f>'UA Optimizer'!BA73</f>
        <v>1550</v>
      </c>
      <c r="E140" s="233">
        <f>'UA Optimizer'!BB73</f>
        <v>14609.755347201877</v>
      </c>
      <c r="F140" s="111">
        <f t="shared" si="9"/>
        <v>1550</v>
      </c>
      <c r="G140" s="233">
        <f t="shared" si="10"/>
        <v>15238.552168180486</v>
      </c>
      <c r="H140" s="233">
        <f t="shared" si="11"/>
        <v>1269.8793473483738</v>
      </c>
      <c r="I140" s="5"/>
      <c r="J140" s="5"/>
    </row>
    <row r="141" spans="2:10" ht="12.75">
      <c r="B141" s="112">
        <f>'UA Optimizer'!AR74</f>
        <v>1500</v>
      </c>
      <c r="C141" s="233">
        <f>'UA Optimizer'!AS74</f>
        <v>14148.18195136244</v>
      </c>
      <c r="D141" s="112">
        <f>'UA Optimizer'!BA74</f>
        <v>1500</v>
      </c>
      <c r="E141" s="233">
        <f>'UA Optimizer'!BB74</f>
        <v>13301.046000585997</v>
      </c>
      <c r="F141" s="111">
        <f t="shared" si="9"/>
        <v>1500</v>
      </c>
      <c r="G141" s="233">
        <f t="shared" si="10"/>
        <v>13889.805486375624</v>
      </c>
      <c r="H141" s="233">
        <f t="shared" si="11"/>
        <v>1157.483790531302</v>
      </c>
      <c r="I141" s="5"/>
      <c r="J141" s="5"/>
    </row>
    <row r="142" spans="2:10" ht="12.75">
      <c r="B142"/>
      <c r="C142"/>
      <c r="I142" s="5"/>
      <c r="J142" s="5"/>
    </row>
    <row r="143" spans="9:10" ht="12.75">
      <c r="I143" s="5"/>
      <c r="J143" s="5"/>
    </row>
    <row r="144" spans="9:10" ht="12.75">
      <c r="I144" s="5"/>
      <c r="J144" s="5"/>
    </row>
    <row r="145" spans="9:10" ht="12.75">
      <c r="I145" s="5"/>
      <c r="J145" s="5"/>
    </row>
    <row r="146" spans="9:10" ht="12.75">
      <c r="I146" s="5"/>
      <c r="J146" s="5"/>
    </row>
    <row r="147" spans="9:10" ht="12.75">
      <c r="I147" s="5"/>
      <c r="J147" s="5"/>
    </row>
    <row r="148" spans="9:10" ht="12.75">
      <c r="I148" s="5"/>
      <c r="J148" s="5"/>
    </row>
    <row r="149" spans="9:10" ht="12.75">
      <c r="I149" s="5"/>
      <c r="J149" s="5"/>
    </row>
    <row r="150" spans="9:10" ht="12.75">
      <c r="I150" s="5"/>
      <c r="J150" s="5"/>
    </row>
    <row r="151" spans="9:10" ht="12.75">
      <c r="I151" s="5"/>
      <c r="J151" s="5"/>
    </row>
    <row r="152" spans="9:10" ht="12.75">
      <c r="I152" s="5"/>
      <c r="J152" s="5"/>
    </row>
    <row r="153" spans="9:10" ht="12.75">
      <c r="I153" s="5"/>
      <c r="J153" s="5"/>
    </row>
    <row r="154" spans="9:10" ht="12.75">
      <c r="I154" s="5"/>
      <c r="J154" s="5"/>
    </row>
    <row r="155" spans="9:10" ht="12.75">
      <c r="I155" s="5"/>
      <c r="J155" s="5"/>
    </row>
    <row r="156" spans="9:10" ht="12.75">
      <c r="I156" s="5"/>
      <c r="J156" s="5"/>
    </row>
    <row r="157" spans="9:10" ht="12.75">
      <c r="I157" s="5"/>
      <c r="J157" s="5"/>
    </row>
    <row r="158" spans="9:10" ht="12.75">
      <c r="I158" s="5"/>
      <c r="J158" s="5"/>
    </row>
    <row r="159" spans="9:10" ht="12.75">
      <c r="I159" s="5"/>
      <c r="J159" s="5"/>
    </row>
    <row r="160" spans="9:10" ht="12.75">
      <c r="I160" s="5"/>
      <c r="J160" s="5"/>
    </row>
    <row r="161" spans="9:10" ht="12.75">
      <c r="I161" s="5"/>
      <c r="J161" s="5"/>
    </row>
    <row r="162" spans="9:10" ht="12.75">
      <c r="I162" s="5"/>
      <c r="J162" s="5"/>
    </row>
    <row r="163" spans="9:10" ht="12.75">
      <c r="I163" s="5"/>
      <c r="J163" s="5"/>
    </row>
    <row r="164" spans="9:10" ht="12.75">
      <c r="I164" s="5"/>
      <c r="J164" s="5"/>
    </row>
    <row r="165" spans="9:10" ht="12.75">
      <c r="I165" s="5"/>
      <c r="J165" s="5"/>
    </row>
    <row r="166" spans="9:10" ht="12.75">
      <c r="I166" s="5"/>
      <c r="J166" s="5"/>
    </row>
    <row r="167" spans="9:10" ht="12.75">
      <c r="I167" s="5"/>
      <c r="J167" s="5"/>
    </row>
    <row r="168" spans="9:10" ht="12.75">
      <c r="I168" s="5"/>
      <c r="J168" s="5"/>
    </row>
    <row r="169" spans="9:10" ht="12.75">
      <c r="I169" s="5"/>
      <c r="J169" s="5"/>
    </row>
    <row r="170" spans="9:10" ht="12.75">
      <c r="I170" s="5"/>
      <c r="J170" s="5"/>
    </row>
    <row r="171" spans="9:10" ht="12.75">
      <c r="I171" s="5"/>
      <c r="J171" s="5"/>
    </row>
    <row r="172" ht="12.75">
      <c r="I172" s="5"/>
    </row>
  </sheetData>
  <mergeCells count="22">
    <mergeCell ref="B25:C25"/>
    <mergeCell ref="B1:C1"/>
    <mergeCell ref="A16:F16"/>
    <mergeCell ref="B19:C19"/>
    <mergeCell ref="A18:G18"/>
    <mergeCell ref="G19:I19"/>
    <mergeCell ref="D19:F19"/>
    <mergeCell ref="G21:I21"/>
    <mergeCell ref="N32:R33"/>
    <mergeCell ref="T20:AD20"/>
    <mergeCell ref="N13:Q13"/>
    <mergeCell ref="B69:C69"/>
    <mergeCell ref="D69:E69"/>
    <mergeCell ref="F69:H69"/>
    <mergeCell ref="D25:E25"/>
    <mergeCell ref="A44:F44"/>
    <mergeCell ref="B45:C45"/>
    <mergeCell ref="D45:E45"/>
    <mergeCell ref="J19:L19"/>
    <mergeCell ref="J21:L21"/>
    <mergeCell ref="G25:I25"/>
    <mergeCell ref="N19:R19"/>
  </mergeCells>
  <printOptions gridLines="1"/>
  <pageMargins left="0.75" right="0.75" top="1" bottom="1" header="0.5" footer="0.5"/>
  <pageSetup horizontalDpi="600" verticalDpi="600" orientation="landscape" r:id="rId3"/>
  <headerFooter alignWithMargins="0">
    <oddHeader>&amp;C&amp;A</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Sheet6"/>
  <dimension ref="A3:D7"/>
  <sheetViews>
    <sheetView zoomScale="75" zoomScaleNormal="75" workbookViewId="0" topLeftCell="B1">
      <selection activeCell="D8" sqref="D8"/>
    </sheetView>
  </sheetViews>
  <sheetFormatPr defaultColWidth="9.140625" defaultRowHeight="12.75"/>
  <cols>
    <col min="1" max="1" width="48.00390625" style="0" customWidth="1"/>
    <col min="2" max="2" width="71.7109375" style="0" customWidth="1"/>
    <col min="3" max="3" width="64.57421875" style="0" customWidth="1"/>
    <col min="4" max="4" width="30.8515625" style="0" customWidth="1"/>
  </cols>
  <sheetData>
    <row r="3" spans="1:4" ht="12.75">
      <c r="A3" s="117" t="s">
        <v>115</v>
      </c>
      <c r="B3" s="117" t="s">
        <v>116</v>
      </c>
      <c r="C3" s="117" t="s">
        <v>117</v>
      </c>
      <c r="D3" s="117" t="s">
        <v>118</v>
      </c>
    </row>
    <row r="4" spans="1:4" ht="12.75">
      <c r="A4" s="116" t="s">
        <v>265</v>
      </c>
      <c r="B4" s="116" t="s">
        <v>270</v>
      </c>
      <c r="C4" s="116" t="s">
        <v>215</v>
      </c>
      <c r="D4" s="116" t="s">
        <v>177</v>
      </c>
    </row>
    <row r="5" spans="1:4" ht="12.75">
      <c r="A5" s="116" t="s">
        <v>266</v>
      </c>
      <c r="B5" s="116" t="s">
        <v>270</v>
      </c>
      <c r="C5" s="116" t="s">
        <v>215</v>
      </c>
      <c r="D5" s="116" t="s">
        <v>178</v>
      </c>
    </row>
    <row r="6" spans="1:4" ht="12.75">
      <c r="A6" s="116" t="s">
        <v>267</v>
      </c>
      <c r="B6" s="116" t="s">
        <v>270</v>
      </c>
      <c r="C6" s="116" t="s">
        <v>215</v>
      </c>
      <c r="D6" s="116" t="s">
        <v>179</v>
      </c>
    </row>
    <row r="7" spans="1:4" ht="12.75">
      <c r="A7" s="116" t="s">
        <v>268</v>
      </c>
      <c r="B7" s="116" t="s">
        <v>270</v>
      </c>
      <c r="C7" s="116" t="s">
        <v>215</v>
      </c>
      <c r="D7" s="116" t="s">
        <v>271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C7"/>
  <sheetViews>
    <sheetView workbookViewId="0" topLeftCell="A1">
      <selection activeCell="A2" sqref="A2:IV2"/>
    </sheetView>
  </sheetViews>
  <sheetFormatPr defaultColWidth="9.140625" defaultRowHeight="12.75"/>
  <cols>
    <col min="3" max="3" width="96.421875" style="0" customWidth="1"/>
  </cols>
  <sheetData>
    <row r="1" spans="1:3" ht="51">
      <c r="A1" s="333" t="s">
        <v>281</v>
      </c>
      <c r="B1" s="333" t="s">
        <v>280</v>
      </c>
      <c r="C1" s="334" t="s">
        <v>274</v>
      </c>
    </row>
    <row r="2" spans="1:3" ht="12.75">
      <c r="A2" s="320">
        <v>23529.2</v>
      </c>
      <c r="B2" s="335">
        <f aca="true" t="shared" si="0" ref="B2:B7">A2/A$7</f>
        <v>0.28041430745560353</v>
      </c>
      <c r="C2" s="116" t="s">
        <v>278</v>
      </c>
    </row>
    <row r="3" spans="1:3" ht="12.75">
      <c r="A3" s="320">
        <v>17747.5</v>
      </c>
      <c r="B3" s="335">
        <f t="shared" si="0"/>
        <v>0.21150965275352854</v>
      </c>
      <c r="C3" s="116" t="s">
        <v>275</v>
      </c>
    </row>
    <row r="4" spans="1:3" ht="12.75">
      <c r="A4" s="320">
        <v>11578</v>
      </c>
      <c r="B4" s="335">
        <f t="shared" si="0"/>
        <v>0.13798330804791398</v>
      </c>
      <c r="C4" s="116" t="s">
        <v>276</v>
      </c>
    </row>
    <row r="5" spans="1:3" ht="12.75">
      <c r="A5" s="320">
        <v>10488</v>
      </c>
      <c r="B5" s="335">
        <f t="shared" si="0"/>
        <v>0.12499299834224581</v>
      </c>
      <c r="C5" s="116" t="s">
        <v>277</v>
      </c>
    </row>
    <row r="6" spans="1:3" ht="12.75">
      <c r="A6" s="320">
        <v>20566</v>
      </c>
      <c r="B6" s="335">
        <f t="shared" si="0"/>
        <v>0.24509973340070815</v>
      </c>
      <c r="C6" s="116" t="s">
        <v>279</v>
      </c>
    </row>
    <row r="7" spans="1:3" ht="12.75">
      <c r="A7" s="336">
        <f>SUM(A2:A6)</f>
        <v>83908.7</v>
      </c>
      <c r="B7" s="335">
        <f t="shared" si="0"/>
        <v>1</v>
      </c>
      <c r="C7" s="11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Weatherization - Multifamily Dwellings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2003-01-17T19:47:47Z</dcterms:modified>
  <cp:category/>
  <cp:version/>
  <cp:contentType/>
  <cp:contentStatus/>
</cp:coreProperties>
</file>