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ResDHW" sheetId="3" r:id="rId3"/>
    <sheet name="Input Assumptions" sheetId="4" r:id="rId4"/>
    <sheet name="Federal Standards" sheetId="5" r:id="rId5"/>
    <sheet name="Space Conditioning Interaction" sheetId="6" r:id="rId6"/>
    <sheet name="EWEB Prices" sheetId="7" r:id="rId7"/>
    <sheet name="OOE and FDTech Alert Data" sheetId="8" r:id="rId8"/>
    <sheet name="PDX DHW Prices" sheetId="9" r:id="rId9"/>
    <sheet name="Lookup Table" sheetId="10" r:id="rId10"/>
    <sheet name="DHW - Annual Hourly Profile" sheetId="11" r:id="rId11"/>
    <sheet name="DHW - Summer Day Profile" sheetId="12" r:id="rId12"/>
    <sheet name="DHW - Winter Day Load Profile" sheetId="13" r:id="rId13"/>
    <sheet name="DHW - Daily Load Profiles" sheetId="14" r:id="rId14"/>
    <sheet name="DHW - Monthly Load Profile" sheetId="15" r:id="rId15"/>
    <sheet name="DHW Annual &amp; Monthly Load Chr" sheetId="16" r:id="rId16"/>
  </sheets>
  <externalReferences>
    <externalReference r:id="rId19"/>
    <externalReference r:id="rId20"/>
  </externalReferences>
  <definedNames>
    <definedName name="_Key1" hidden="1">#REF!</definedName>
    <definedName name="_Order1" hidden="1">255</definedName>
    <definedName name="_Sort" hidden="1">#REF!</definedName>
    <definedName name="AdminRate">'ProData'!$B$19</definedName>
    <definedName name="Alloc_File">#REF!</definedName>
    <definedName name="APP" localSheetId="7">'OOE and FDTech Alert Data'!#REF!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ATABASE">'Federal Standards'!$A$1:$B$15</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_File">#REF!</definedName>
    <definedName name="MCSSDataFile">'ProData'!$B$21</definedName>
    <definedName name="OMShr1">'ProData'!$B$11</definedName>
    <definedName name="PC_Main" localSheetId="13">'DHW - Daily Load Profiles'!PC_Main</definedName>
    <definedName name="PC_Main" localSheetId="5">'Space Conditioning Interaction'!PC_Main</definedName>
    <definedName name="PC_Main">[0]!PC_Main</definedName>
    <definedName name="_xlnm.Print_Area" localSheetId="6">'EWEB Prices'!$A$1:$H$43</definedName>
    <definedName name="_xlnm.Print_Area" localSheetId="3">'Input Assumptions'!$A$12:$H$40</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3">'Input Assumptions'!$A$4:$D$8</definedName>
    <definedName name="TABLE" localSheetId="7">'OOE and FDTech Alert Data'!$A$1:$E$7</definedName>
    <definedName name="TABLE_2" localSheetId="3">'Input Assumptions'!$A$4:$D$8</definedName>
    <definedName name="TABLE_2" localSheetId="7">'OOE and FDTech Alert Data'!$A$1:$E$7</definedName>
    <definedName name="TABLE_3" localSheetId="7">'OOE and FDTech Alert Data'!$A$11:$J$28</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3.xml><?xml version="1.0" encoding="utf-8"?>
<comments xmlns="http://schemas.openxmlformats.org/spreadsheetml/2006/main">
  <authors>
    <author>Tom Eckman</author>
  </authors>
  <commentList>
    <comment ref="F8" authorId="0">
      <text>
        <r>
          <rPr>
            <b/>
            <sz val="8"/>
            <rFont val="Tahoma"/>
            <family val="0"/>
          </rPr>
          <t>Tom Eckman:</t>
        </r>
        <r>
          <rPr>
            <sz val="8"/>
            <rFont val="Tahoma"/>
            <family val="0"/>
          </rPr>
          <t xml:space="preserve">
Federal Technology Alert estimate based on 2 hrs/yr. @ $15 hour.</t>
        </r>
      </text>
    </comment>
  </commentList>
</comments>
</file>

<file path=xl/comments4.xml><?xml version="1.0" encoding="utf-8"?>
<comments xmlns="http://schemas.openxmlformats.org/spreadsheetml/2006/main">
  <authors>
    <author>Tom Eckman</author>
  </authors>
  <commentList>
    <comment ref="H25" authorId="0">
      <text>
        <r>
          <rPr>
            <b/>
            <sz val="10"/>
            <rFont val="Tahoma"/>
            <family val="2"/>
          </rPr>
          <t>Tom Eckman:</t>
        </r>
        <r>
          <rPr>
            <sz val="10"/>
            <rFont val="Tahoma"/>
            <family val="2"/>
          </rPr>
          <t xml:space="preserve">
HPWH savings are based on higher recovery efficiency and not standby loss reduction  However, Space conditioning interaction is assuimed to be equivalent since if the unit is inside the heated space some heat recvery will increase space heating requirements.</t>
        </r>
      </text>
    </comment>
    <comment ref="H34" authorId="0">
      <text>
        <r>
          <rPr>
            <b/>
            <sz val="10"/>
            <rFont val="Tahoma"/>
            <family val="2"/>
          </rPr>
          <t>Tom Eckman:</t>
        </r>
        <r>
          <rPr>
            <sz val="10"/>
            <rFont val="Tahoma"/>
            <family val="2"/>
          </rPr>
          <t xml:space="preserve">
HPWH savings are based on higher recovery efficiency and not standby loss reduction  However, Space conditioning interaction is assuimed to be equivalent since if the unit is inside the heated space some heat recvery will increase space heating requirements.</t>
        </r>
      </text>
    </comment>
  </commentList>
</comments>
</file>

<file path=xl/comments6.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Stock Average HSPF in 2025 Assumed to Equal 2007 Federal Standard (7.7) adjusted for PNW Climates and duct system efficiency</t>
        </r>
      </text>
    </comment>
    <comment ref="A10" authorId="0">
      <text>
        <r>
          <rPr>
            <b/>
            <sz val="8"/>
            <rFont val="Tahoma"/>
            <family val="0"/>
          </rPr>
          <t>Tom Eckman:</t>
        </r>
        <r>
          <rPr>
            <sz val="8"/>
            <rFont val="Tahoma"/>
            <family val="0"/>
          </rPr>
          <t xml:space="preserve">
Stock Average cooling SEER in 2025 assumed to be equal to 2007 federal standard (12) adjusted for PNW climates and duct system efficiency</t>
        </r>
      </text>
    </comment>
  </commentList>
</comments>
</file>

<file path=xl/sharedStrings.xml><?xml version="1.0" encoding="utf-8"?>
<sst xmlns="http://schemas.openxmlformats.org/spreadsheetml/2006/main" count="1101" uniqueCount="554">
  <si>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</si>
  <si>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</si>
  <si>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</si>
  <si>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</si>
  <si>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</si>
  <si>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</si>
  <si>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</si>
  <si>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</si>
  <si>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</si>
  <si>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</si>
  <si>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</si>
  <si>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</si>
  <si>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</si>
  <si>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</si>
  <si>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</si>
  <si>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</si>
  <si>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</si>
  <si>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</si>
  <si>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</si>
  <si>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</si>
  <si>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</si>
  <si>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</si>
  <si>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</si>
  <si>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</si>
  <si>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</si>
  <si>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</si>
  <si>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</si>
  <si>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</si>
  <si>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</si>
  <si>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</si>
  <si>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</si>
  <si>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</si>
  <si>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</si>
  <si>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</si>
  <si>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</si>
  <si>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</si>
  <si>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</si>
  <si>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</si>
  <si>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</si>
  <si>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</si>
  <si>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</si>
  <si>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</si>
  <si>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</si>
  <si>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</si>
  <si>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</si>
  <si>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</si>
  <si>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</si>
  <si>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</si>
  <si>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</si>
  <si>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</si>
  <si>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</si>
  <si>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</si>
  <si>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</si>
  <si>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</si>
  <si>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</si>
  <si>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</si>
  <si>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</si>
  <si>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</si>
  <si>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</si>
  <si>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</si>
  <si>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</si>
  <si>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</si>
  <si>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</si>
  <si>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</si>
  <si>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</si>
  <si>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</si>
  <si>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</si>
  <si>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</si>
  <si>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</si>
  <si>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</si>
  <si>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</si>
  <si>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</si>
  <si>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</si>
  <si>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</si>
  <si>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</si>
  <si>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</si>
  <si>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</si>
  <si>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</si>
  <si>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</si>
  <si>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</si>
  <si>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</si>
  <si>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</si>
  <si>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</si>
  <si>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</si>
  <si>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</si>
  <si>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</si>
  <si>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</si>
  <si>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</si>
  <si>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</si>
  <si>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</si>
  <si>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</si>
  <si>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</si>
  <si>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</si>
  <si>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</si>
  <si>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</si>
  <si>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</si>
  <si>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</si>
  <si>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</si>
  <si>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</si>
  <si>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</si>
  <si>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</si>
  <si>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</si>
  <si>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</si>
  <si>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</si>
  <si>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</si>
  <si>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</si>
  <si>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</si>
  <si>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</si>
  <si>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</si>
  <si>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</si>
  <si>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</si>
  <si>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</si>
  <si>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</si>
  <si>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</si>
  <si>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</si>
  <si>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</si>
  <si>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</si>
  <si>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</si>
  <si>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</si>
  <si>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</si>
  <si>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</si>
  <si>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</si>
  <si>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</si>
  <si>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</si>
  <si>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</si>
  <si>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</si>
  <si>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</si>
  <si>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</si>
  <si>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</si>
  <si>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</si>
  <si>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</si>
  <si>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</si>
  <si>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</si>
  <si>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</si>
  <si>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</si>
  <si>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</si>
  <si>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</si>
  <si>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</si>
  <si>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</si>
  <si>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</si>
  <si>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</si>
  <si>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</si>
  <si>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</si>
  <si>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</si>
  <si>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</si>
  <si>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</si>
  <si>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</si>
  <si>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</si>
  <si>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</si>
  <si>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</si>
  <si>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</si>
  <si>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</si>
  <si>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</si>
  <si>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</si>
  <si>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</si>
  <si>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</si>
  <si>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</si>
  <si>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</si>
  <si>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</si>
  <si>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Conservation Load Shapes</t>
  </si>
  <si>
    <t>Residence w/Electric Water Heat</t>
  </si>
  <si>
    <t>Deemed</t>
  </si>
  <si>
    <t xml:space="preserve">The US Department of Energy has revised its efficiency standards for domestic water heaters. The revised standards will be take effect in January of 2004. </t>
  </si>
  <si>
    <t>Efficient Water Heaters</t>
  </si>
  <si>
    <t>ResDHW</t>
  </si>
  <si>
    <t>Energy Efficient Water Heating Retail Price &amp; Performance Data Base</t>
  </si>
  <si>
    <t>Brand</t>
  </si>
  <si>
    <t>ANNUAL USE (kWh)</t>
  </si>
  <si>
    <t>THERMA-STOR PRODUCTS</t>
  </si>
  <si>
    <t>TX-VHP-80</t>
  </si>
  <si>
    <t>TS-VHP-80</t>
  </si>
  <si>
    <t> TS-HP-120-18-30</t>
  </si>
  <si>
    <t>TS-HP-120-18-30</t>
  </si>
  <si>
    <r>
      <t>CRISPAIRE/E-TECH</t>
    </r>
    <r>
      <rPr>
        <sz val="8"/>
        <color indexed="47"/>
        <rFont val="Arial"/>
        <family val="0"/>
      </rPr>
      <t> </t>
    </r>
  </si>
  <si>
    <t>WH-6B</t>
  </si>
  <si>
    <t>Tank Size</t>
  </si>
  <si>
    <t>Measure Description</t>
  </si>
  <si>
    <t>Energy Factor</t>
  </si>
  <si>
    <t>Retail Cost</t>
  </si>
  <si>
    <t>Incremental Retail Cost</t>
  </si>
  <si>
    <t>Annual Electrical Energy Use (kWh)</t>
  </si>
  <si>
    <t>*Source: Baseline  DHW Energy use taken from Table 25, p.37 of "Evaluation of Portland General Electric's 1993-1994 Water Heater Program" adjusted for an EF-86 tank.</t>
  </si>
  <si>
    <t>Prepared for PGE by Barakat &amp; Chamberlin, Inc. June 12, 1997.</t>
  </si>
  <si>
    <t>EWEB Efficient Water Heater Retail Price Data</t>
  </si>
  <si>
    <t>Year</t>
  </si>
  <si>
    <t>Units</t>
  </si>
  <si>
    <t>Average Cost (Nominal$)</t>
  </si>
  <si>
    <t>1998$</t>
  </si>
  <si>
    <t>GDP Deflator</t>
  </si>
  <si>
    <t>Sales Tax</t>
  </si>
  <si>
    <t>Retail Price w/Tax</t>
  </si>
  <si>
    <t>Data Source: EWEB Conservation Tracking System</t>
  </si>
  <si>
    <t>Capacity</t>
  </si>
  <si>
    <t>EF - 91</t>
  </si>
  <si>
    <t>EF-92</t>
  </si>
  <si>
    <t>EF-93</t>
  </si>
  <si>
    <t>EF-94</t>
  </si>
  <si>
    <t>EF-95</t>
  </si>
  <si>
    <t>Count</t>
  </si>
  <si>
    <t>Average Retail Price</t>
  </si>
  <si>
    <t>Minimum Retail Price</t>
  </si>
  <si>
    <t>Maximum Retail Price</t>
  </si>
  <si>
    <t>1993   (N=79)</t>
  </si>
  <si>
    <t>1994 (N=966)</t>
  </si>
  <si>
    <t>1995 (N=770)</t>
  </si>
  <si>
    <t>1996 (N=898)</t>
  </si>
  <si>
    <t>1997 (N=1094)</t>
  </si>
  <si>
    <t>1998 (N=1553)</t>
  </si>
  <si>
    <t>Manufacturer</t>
  </si>
  <si>
    <t>MODEL#</t>
  </si>
  <si>
    <t> TYPE </t>
  </si>
  <si>
    <t>Retail Price</t>
  </si>
  <si>
    <t>Installation Cost</t>
  </si>
  <si>
    <t>Total Installed Cost</t>
  </si>
  <si>
    <t>WHE1</t>
  </si>
  <si>
    <t>WHE2</t>
  </si>
  <si>
    <t>Source: Oregon Office of Energy(http://www.energy.state.or.us/res/tax/appheat.htm) 4/14/00</t>
  </si>
  <si>
    <t>Company</t>
  </si>
  <si>
    <t>Model</t>
  </si>
  <si>
    <t>Water Heating Capacity (Btu/hr)</t>
  </si>
  <si>
    <t>Cooling Capacity (Btu/hr)</t>
  </si>
  <si>
    <t>Water Heating COP, nominal</t>
  </si>
  <si>
    <t>First Hour Rating (Gallons)</t>
  </si>
  <si>
    <t>Electrical Power Input (kW)</t>
  </si>
  <si>
    <t>Tank Size (Gal)</t>
  </si>
  <si>
    <t>Price</t>
  </si>
  <si>
    <t>Ambient Air HPWHs</t>
  </si>
  <si>
    <t>E-Tech/Crispaire</t>
  </si>
  <si>
    <t>WH-6</t>
  </si>
  <si>
    <t>N.A.</t>
  </si>
  <si>
    <t>NA</t>
  </si>
  <si>
    <t>DEC-Therma-Stor</t>
  </si>
  <si>
    <t>HP-80</t>
  </si>
  <si>
    <t>TS-HP-120-18 -30</t>
  </si>
  <si>
    <t>HP-120-27</t>
  </si>
  <si>
    <t>Quantum/Energy Plus International</t>
  </si>
  <si>
    <t>270 L</t>
  </si>
  <si>
    <t>3.5 at 65</t>
  </si>
  <si>
    <t>Exhaust Air HPWHs</t>
  </si>
  <si>
    <t>DEC Therma-Vent</t>
  </si>
  <si>
    <t>HP-VAC-80</t>
  </si>
  <si>
    <t>HP-VAC-120</t>
  </si>
  <si>
    <t>VHP-80</t>
  </si>
  <si>
    <t>(a) Energy Factor Ratings from Product literature or from California Energy Commission Database on Residential Water Heater Performance.</t>
  </si>
  <si>
    <t>(b) COP calculated based on GAMA (Gas Appliance Manufacturers Association) energy factor test procedure.</t>
  </si>
  <si>
    <t>(c)Measured at ambient conditions of 75 F, 38% RH</t>
  </si>
  <si>
    <t>(d) If exhaust air is ducted back into the residence.</t>
  </si>
  <si>
    <t>Source: Federal Technology Alert (http://www.pnl.gov/fta/3_res.htm) 4/14/00</t>
  </si>
  <si>
    <t>Retail Water Heater Pricing  -  Portland, OR Metro Area    December, 1998</t>
  </si>
  <si>
    <t>Large Plumbing Retailer/Wholesaler</t>
  </si>
  <si>
    <t>Price, by Warranty Period (Tank)</t>
  </si>
  <si>
    <t>Model #</t>
  </si>
  <si>
    <t>Nominal Tank Capacity (gal)</t>
  </si>
  <si>
    <t>EF</t>
  </si>
  <si>
    <t>5</t>
  </si>
  <si>
    <t>6</t>
  </si>
  <si>
    <t>8</t>
  </si>
  <si>
    <t>10</t>
  </si>
  <si>
    <t>Lifetime</t>
  </si>
  <si>
    <t>EF Increment</t>
  </si>
  <si>
    <t>Warranty Increment (5/6 to 8/10)</t>
  </si>
  <si>
    <t>Notes</t>
  </si>
  <si>
    <t>Electric</t>
  </si>
  <si>
    <t>American Mor Flo</t>
  </si>
  <si>
    <t>E51-50L-000D</t>
  </si>
  <si>
    <t>.87</t>
  </si>
  <si>
    <t>E53-50H-000D</t>
  </si>
  <si>
    <t>.93</t>
  </si>
  <si>
    <t>OR utility program tank</t>
  </si>
  <si>
    <t>E103-50H-000D</t>
  </si>
  <si>
    <t>Bradford-White</t>
  </si>
  <si>
    <t>M-I-50T6**D</t>
  </si>
  <si>
    <t>.86</t>
  </si>
  <si>
    <t>M-III-50T6**D</t>
  </si>
  <si>
    <t>M-III-50T10*D</t>
  </si>
  <si>
    <t>Natural Gas</t>
  </si>
  <si>
    <t>G61-40T34-3N</t>
  </si>
  <si>
    <t>.57</t>
  </si>
  <si>
    <t>G62-40T34-3N</t>
  </si>
  <si>
    <t>.62</t>
  </si>
  <si>
    <t>SCG101-40T38-3N</t>
  </si>
  <si>
    <t>.56</t>
  </si>
  <si>
    <t>Nautilus II, w/burner upgrade</t>
  </si>
  <si>
    <t>M-I-403T6LN</t>
  </si>
  <si>
    <t>M-II-404T6LN</t>
  </si>
  <si>
    <t>.58</t>
  </si>
  <si>
    <t>M-I-403T10LN</t>
  </si>
  <si>
    <t>Medium-sized Plumbing &amp; Electric Retailer</t>
  </si>
  <si>
    <t>U.S. Craftmaster</t>
  </si>
  <si>
    <t>E2F50RD045V</t>
  </si>
  <si>
    <t>$299 installed</t>
  </si>
  <si>
    <t>E2F50HD045V</t>
  </si>
  <si>
    <t>$329 installed</t>
  </si>
  <si>
    <t>E3F50RD045HV</t>
  </si>
  <si>
    <t>$339 installed</t>
  </si>
  <si>
    <t>E3F50HD045HV</t>
  </si>
  <si>
    <t>E3J50RD045V</t>
  </si>
  <si>
    <t>$379 installed</t>
  </si>
  <si>
    <t>E3J50HD0945HV</t>
  </si>
  <si>
    <t>E52-65H-045D</t>
  </si>
  <si>
    <t>65</t>
  </si>
  <si>
    <t>.85</t>
  </si>
  <si>
    <t>$569 installed</t>
  </si>
  <si>
    <t>E2F80HD045V</t>
  </si>
  <si>
    <t>80</t>
  </si>
  <si>
    <t>$609 installed</t>
  </si>
  <si>
    <t>G51-30T33-3NV</t>
  </si>
  <si>
    <t>30</t>
  </si>
  <si>
    <t>?</t>
  </si>
  <si>
    <t>G81-30T33-3NX</t>
  </si>
  <si>
    <t>G1E4033S3NV</t>
  </si>
  <si>
    <t>40</t>
  </si>
  <si>
    <t>$347 installed</t>
  </si>
  <si>
    <t>G1E4034T3NV</t>
  </si>
  <si>
    <t>$369 installed</t>
  </si>
  <si>
    <t>G2E4034T3N</t>
  </si>
  <si>
    <t>G1E5040T3P</t>
  </si>
  <si>
    <t>50</t>
  </si>
  <si>
    <t>.55</t>
  </si>
  <si>
    <t>$469 installed</t>
  </si>
  <si>
    <t>G2E5035T3N</t>
  </si>
  <si>
    <t>.60</t>
  </si>
  <si>
    <t>$429 installed</t>
  </si>
  <si>
    <t>G2F7575T4NV</t>
  </si>
  <si>
    <t>75</t>
  </si>
  <si>
    <t>.51</t>
  </si>
  <si>
    <t>$799 installed</t>
  </si>
  <si>
    <t>G52-75T75-4NV</t>
  </si>
  <si>
    <t>Big Box Home Improvement Retailer</t>
  </si>
  <si>
    <t>Reliance</t>
  </si>
  <si>
    <t>5 52 2ORS</t>
  </si>
  <si>
    <t>5 52 2ORT</t>
  </si>
  <si>
    <t>.88</t>
  </si>
  <si>
    <t>8 52 2KRT W95</t>
  </si>
  <si>
    <t>10 52 2ARS</t>
  </si>
  <si>
    <t>10 52 2ART</t>
  </si>
  <si>
    <t>5 66 2ORT</t>
  </si>
  <si>
    <t>10 66 2ART</t>
  </si>
  <si>
    <t>5 82 2ORT</t>
  </si>
  <si>
    <t>5 30 NORT</t>
  </si>
  <si>
    <t>..57</t>
  </si>
  <si>
    <t>5 40 NORT</t>
  </si>
  <si>
    <t>8 40 NKRT</t>
  </si>
  <si>
    <t>8 40 NART0</t>
  </si>
  <si>
    <t>10 40 NART</t>
  </si>
  <si>
    <t>5 50 NORT</t>
  </si>
  <si>
    <t>8 50 NKRT</t>
  </si>
  <si>
    <t>10 50 NART</t>
  </si>
  <si>
    <t>PVG62-50T63-3NV</t>
  </si>
  <si>
    <t>.61</t>
  </si>
  <si>
    <t>Richmond</t>
  </si>
  <si>
    <t>8V40-2</t>
  </si>
  <si>
    <t>8MV50-2</t>
  </si>
  <si>
    <t>RMEVR50-2TI</t>
  </si>
  <si>
    <t>CA Title 24 tank</t>
  </si>
  <si>
    <t>RMEKR50-2TI</t>
  </si>
  <si>
    <t>.89</t>
  </si>
  <si>
    <t>RMEXR50-2TI</t>
  </si>
  <si>
    <t>RMEMXR50-2TI</t>
  </si>
  <si>
    <t>8V65-2</t>
  </si>
  <si>
    <t>.84</t>
  </si>
  <si>
    <t>RMEXR65-2TI</t>
  </si>
  <si>
    <t>.91</t>
  </si>
  <si>
    <t>8V80-2</t>
  </si>
  <si>
    <t>.82</t>
  </si>
  <si>
    <t>LT 52 2LRT973W</t>
  </si>
  <si>
    <t>5 66 2ORT973W93</t>
  </si>
  <si>
    <t>5V40-7</t>
  </si>
  <si>
    <t>5V50-2</t>
  </si>
  <si>
    <t>RMGVR50-40TI</t>
  </si>
  <si>
    <t>RMGXR50-40TI</t>
  </si>
  <si>
    <t>National Retailer</t>
  </si>
  <si>
    <t>Kenmore</t>
  </si>
  <si>
    <t>30S</t>
  </si>
  <si>
    <t>316250</t>
  </si>
  <si>
    <t>40S</t>
  </si>
  <si>
    <t>316450</t>
  </si>
  <si>
    <t>316550</t>
  </si>
  <si>
    <t>316650</t>
  </si>
  <si>
    <t>50M</t>
  </si>
  <si>
    <t>328260</t>
  </si>
  <si>
    <t>328360</t>
  </si>
  <si>
    <t>328460</t>
  </si>
  <si>
    <t>.90</t>
  </si>
  <si>
    <t>328560</t>
  </si>
  <si>
    <t>328660</t>
  </si>
  <si>
    <t>328860</t>
  </si>
  <si>
    <t>320450</t>
  </si>
  <si>
    <t>320550</t>
  </si>
  <si>
    <t>320650</t>
  </si>
  <si>
    <t>320850</t>
  </si>
  <si>
    <t>330450</t>
  </si>
  <si>
    <t>.63</t>
  </si>
  <si>
    <t>330550</t>
  </si>
  <si>
    <t>330750</t>
  </si>
  <si>
    <t>.52</t>
  </si>
  <si>
    <t>336150</t>
  </si>
  <si>
    <t>336250</t>
  </si>
  <si>
    <t>336350</t>
  </si>
  <si>
    <t>336450</t>
  </si>
  <si>
    <t>336550</t>
  </si>
  <si>
    <r>
      <t>MODEL#</t>
    </r>
    <r>
      <rPr>
        <b/>
        <sz val="10"/>
        <rFont val="Arial"/>
        <family val="2"/>
      </rPr>
      <t> </t>
    </r>
  </si>
  <si>
    <r>
      <t> </t>
    </r>
    <r>
      <rPr>
        <b/>
        <sz val="10"/>
        <color indexed="18"/>
        <rFont val="Arial"/>
        <family val="2"/>
      </rPr>
      <t>EF</t>
    </r>
  </si>
  <si>
    <r>
      <t>CRISPAIRE/E-TECH</t>
    </r>
    <r>
      <rPr>
        <sz val="10"/>
        <color indexed="47"/>
        <rFont val="Arial"/>
        <family val="2"/>
      </rPr>
      <t> </t>
    </r>
  </si>
  <si>
    <r>
      <t> </t>
    </r>
    <r>
      <rPr>
        <b/>
        <sz val="8"/>
        <color indexed="18"/>
        <rFont val="Arial"/>
        <family val="0"/>
      </rPr>
      <t>EF</t>
    </r>
  </si>
  <si>
    <r>
      <t>Energy Factor Rating</t>
    </r>
    <r>
      <rPr>
        <b/>
        <vertAlign val="superscript"/>
        <sz val="10"/>
        <rFont val="Arial"/>
        <family val="0"/>
      </rPr>
      <t>(a)</t>
    </r>
  </si>
  <si>
    <r>
      <t>3.7</t>
    </r>
    <r>
      <rPr>
        <vertAlign val="superscript"/>
        <sz val="10"/>
        <rFont val="Arial"/>
        <family val="0"/>
      </rPr>
      <t>(b)</t>
    </r>
  </si>
  <si>
    <r>
      <t>3.0</t>
    </r>
    <r>
      <rPr>
        <vertAlign val="superscript"/>
        <sz val="10"/>
        <rFont val="Arial"/>
        <family val="0"/>
      </rPr>
      <t>(b)</t>
    </r>
  </si>
  <si>
    <r>
      <t>6,000</t>
    </r>
    <r>
      <rPr>
        <vertAlign val="superscript"/>
        <sz val="10"/>
        <rFont val="Arial"/>
        <family val="0"/>
      </rPr>
      <t>(d)</t>
    </r>
  </si>
  <si>
    <t>Input Assumptions</t>
  </si>
  <si>
    <t>EWEB Prices</t>
  </si>
  <si>
    <t>OOE and FDTech Alert Data</t>
  </si>
  <si>
    <t>PDX DHW Prices</t>
  </si>
  <si>
    <t>Lookup Table</t>
  </si>
  <si>
    <t>User Inputs</t>
  </si>
  <si>
    <t>Calculated</t>
  </si>
  <si>
    <t>Space Conditioning Interaction Assumptions</t>
  </si>
  <si>
    <t>FAF</t>
  </si>
  <si>
    <t xml:space="preserve">Zonal </t>
  </si>
  <si>
    <t>Heat Pump</t>
  </si>
  <si>
    <t>Sales Weighted Average</t>
  </si>
  <si>
    <t>Heating System Efficiency</t>
  </si>
  <si>
    <t>Central Cooling System Efficiency***</t>
  </si>
  <si>
    <t>Central Cooling Market Share</t>
  </si>
  <si>
    <t>Parameter</t>
  </si>
  <si>
    <t>% ElecSpHt Share**</t>
  </si>
  <si>
    <t>% ElecSpCoolShare</t>
  </si>
  <si>
    <t>%SpCoolInteraction****</t>
  </si>
  <si>
    <t>SpHtInteraction (debit)</t>
  </si>
  <si>
    <t>SpCoolInteraction (credit)</t>
  </si>
  <si>
    <t>Weighted Average Interaction</t>
  </si>
  <si>
    <t xml:space="preserve">Space Conditioning Interaction Adjustment for DHW Standby Loss Savings </t>
  </si>
  <si>
    <t>Space Conditioning Interaction Calculation</t>
  </si>
  <si>
    <t>Value</t>
  </si>
  <si>
    <t>% Electric Water heat</t>
  </si>
  <si>
    <t>% Inside Heated Space</t>
  </si>
  <si>
    <t>JAN</t>
  </si>
  <si>
    <t>FEB</t>
  </si>
  <si>
    <t>MAR</t>
  </si>
  <si>
    <t>APR</t>
  </si>
  <si>
    <t>MAY</t>
  </si>
  <si>
    <t>JUN</t>
  </si>
  <si>
    <t>JUL</t>
  </si>
  <si>
    <t>AUG</t>
  </si>
  <si>
    <t>SEP</t>
  </si>
  <si>
    <t>OCT</t>
  </si>
  <si>
    <t>NOV</t>
  </si>
  <si>
    <t>DEC</t>
  </si>
  <si>
    <t>MONTHLY DHW ENERGY (KWH)</t>
  </si>
  <si>
    <t>Standby Energy Savings during Cooling Season =&gt;</t>
  </si>
  <si>
    <t>% of Total Standby Loss Savings</t>
  </si>
  <si>
    <t>Heat Recovery Ventilating Heat Pump Water Heater (Tankless) w/Minimum 10 year warranty</t>
  </si>
  <si>
    <t>Heat Recovery Ventilating Heat Pump Water Heater with Integral Tank and minimum 10 year warranty</t>
  </si>
  <si>
    <t>Heat Traps + Increased Insulation (3 1/2" foam) + Insulated Tank Bottom &amp; Plastic Tank w/minimum 20 yr warranty</t>
  </si>
  <si>
    <t>EF- 0.93 Domestic Water Heater w/50 gallon rated capacity and minimum 10 year warranty</t>
  </si>
  <si>
    <t xml:space="preserve">Manufacturer, Dealer or Consumer Rebate. Water heaters must be warranted for parts and labor for the minimum period specified. </t>
  </si>
  <si>
    <t>Space Conditioning Interaction</t>
  </si>
  <si>
    <t>Heat Traps + Increased Insulation (3" foam) + Insulated Tank Bottom w/minimum 10 year Warranty</t>
  </si>
  <si>
    <t>Rated Volume</t>
  </si>
  <si>
    <t>Federal Minium Energy Factor -1991</t>
  </si>
  <si>
    <t>Federal Minium Energy Factor -2004</t>
  </si>
  <si>
    <t>C&amp;R Discount Minimum</t>
  </si>
  <si>
    <t>Pre-2004 Baseline</t>
  </si>
  <si>
    <t>Post-2004 Baseline</t>
  </si>
  <si>
    <t>Incremental Annual Electrical Energy Savings (kWh)</t>
  </si>
  <si>
    <t>Incremental Annual Electrical Energy Savings Adjusted for Space Heating Interaction (kWh)</t>
  </si>
  <si>
    <t>EF- 2.3 Domestic Heat Pump Water Heater w/50 gallon rated capacity and minimum 20 year warranty</t>
  </si>
  <si>
    <t>Heat Traps + Increased Insulation (3 1/2" foam) + Insulated Tank Bottom &amp; Plastic Tank w/minimum 10 yr warranty</t>
  </si>
  <si>
    <t>5th Plan Draft 092802</t>
  </si>
  <si>
    <t xml:space="preserve"> From ResSectorSupplyCurveUnits</t>
  </si>
  <si>
    <t xml:space="preserve"> From PGE Evaluation</t>
  </si>
  <si>
    <t>2025 Electric Heating Market Share**</t>
  </si>
  <si>
    <t>Electric Heating Market Share in 2000*</t>
  </si>
  <si>
    <t>*Source: 2000 Census</t>
  </si>
  <si>
    <t xml:space="preserve">**Forecast electric space heating market share. </t>
  </si>
  <si>
    <t>***Stock average CAC SEER/3.413*100*.65*.75</t>
  </si>
  <si>
    <t>Stock average CAC SEER in 2025 assumption based on 2007 Federal Standard (SEER 12)</t>
  </si>
  <si>
    <t>Monthly CAC Energy (%)</t>
  </si>
  <si>
    <t>Monthly DHW Energy (%)</t>
  </si>
  <si>
    <t>Monthly Standby Loss Savings</t>
  </si>
  <si>
    <t>****Assumes that during cooling months that 50% of standby losses contribute to space cooling.</t>
  </si>
  <si>
    <t>% Space Heating Interaction</t>
  </si>
  <si>
    <t>R:\TE\New Plan\Residential Resource Assessment\MC_AND_LOADSHAPE.XLS</t>
  </si>
  <si>
    <t>HOUR</t>
  </si>
  <si>
    <t>N=</t>
  </si>
  <si>
    <t>_x001A_</t>
  </si>
  <si>
    <t>MONTH</t>
  </si>
  <si>
    <t>N</t>
  </si>
  <si>
    <t>ANNUAL AND MONTHLY LOAD CHARACTERISTICS</t>
  </si>
  <si>
    <t>ANNUAL LOAD CHARACTERISTICS</t>
  </si>
  <si>
    <t>AVERAGE ANNUAL ENERGY</t>
  </si>
  <si>
    <t>KWH</t>
  </si>
  <si>
    <t>SITE NON-COINCIDENT PEAK DEMAND</t>
  </si>
  <si>
    <t>KW</t>
  </si>
  <si>
    <t>NUMBER OF SITES</t>
  </si>
  <si>
    <t>MAXIMUM DEMAND</t>
  </si>
  <si>
    <t>LF</t>
  </si>
  <si>
    <t>CF</t>
  </si>
  <si>
    <t>GROUP DIVERSIFIED PEAK</t>
  </si>
  <si>
    <t>MONTHLY LOAD CHARACTERISTICS</t>
  </si>
  <si>
    <t>MONTHLY ENERGY (KWH)</t>
  </si>
  <si>
    <t>LOAD FACTOR AT BPA PEAK (%)</t>
  </si>
  <si>
    <t>LOAD FACTOR AT GROUP PEAK (%)</t>
  </si>
  <si>
    <t>WEEKDAY (KW/HR)</t>
  </si>
  <si>
    <t>WEEKEND (KW/HR)</t>
  </si>
  <si>
    <t>Annual Average Hourly Load Profile</t>
  </si>
  <si>
    <t>PEAKDAY (KW/HR)</t>
  </si>
  <si>
    <t>Summer Day Average Hourly Load Profile</t>
  </si>
  <si>
    <t>EXTREME PEAKDAY (KW/HR)</t>
  </si>
  <si>
    <t>Winter Day Average Hourly Load Profile</t>
  </si>
  <si>
    <t>Average Monthly Load Profile</t>
  </si>
  <si>
    <t>Jan</t>
  </si>
  <si>
    <t>Feb</t>
  </si>
  <si>
    <t>Mar</t>
  </si>
  <si>
    <t>Apr</t>
  </si>
  <si>
    <t>May</t>
  </si>
  <si>
    <t>Jun</t>
  </si>
  <si>
    <t>Jul</t>
  </si>
  <si>
    <t>Aug</t>
  </si>
  <si>
    <t>Sep</t>
  </si>
  <si>
    <t>Oct</t>
  </si>
  <si>
    <t>Nov</t>
  </si>
  <si>
    <t>Dec</t>
  </si>
  <si>
    <t>Domestic Hot Water</t>
  </si>
  <si>
    <t>GROUP DIVERSIFIED PEAK DEMAND (KW)</t>
  </si>
  <si>
    <t>BPA COINCIDENT PEAK DEMAND (KW)</t>
  </si>
  <si>
    <t>SITE NON-COINCIDENT PEAK DEMAND (KW)</t>
  </si>
  <si>
    <t>BPA EXTREME WINTER PEAK (7 coldest days 1989-91)</t>
  </si>
  <si>
    <t>BPA WINTER PEAK ( Next 11 coldest days 1989-91)</t>
  </si>
  <si>
    <t>BPA SUMMER PEAK (Highest peak hour load 1986-91)</t>
  </si>
  <si>
    <t>Hours/Month</t>
  </si>
  <si>
    <t>AVERAGE HOURLY LOAD (KW)</t>
  </si>
  <si>
    <t>COINCIDENCE FACTOR AT BPA PEAK (%)</t>
  </si>
  <si>
    <t>Daily Average Hourly Load Profile</t>
  </si>
  <si>
    <t>Winter WEEKDAY (KW/HR)</t>
  </si>
  <si>
    <t>Winter WEEKEND (KW/HR)</t>
  </si>
  <si>
    <t>Summer WEEKDAY (KW/HR)</t>
  </si>
  <si>
    <t>Summer WEEKEND (KW/HR)</t>
  </si>
  <si>
    <t>Ann LF &amp; CF:</t>
  </si>
  <si>
    <t>Segment</t>
  </si>
  <si>
    <t>Water Heating</t>
  </si>
  <si>
    <t>MONTHLY ENERGY (KWH) - BASE</t>
  </si>
  <si>
    <t>MONTHLY ENERGY (KWH) - MCS</t>
  </si>
  <si>
    <t>Monthly HPWH Savings</t>
  </si>
  <si>
    <t>Monthly Space Heating Energy - Base</t>
  </si>
  <si>
    <t>Monthly Space Heating Energy - MCS</t>
  </si>
  <si>
    <t>Monthly HPWH Increase in Space Heat Use - MCS</t>
  </si>
  <si>
    <t>Monthly HPWH Increase in Space Heat Use - Base</t>
  </si>
  <si>
    <t>Monthly HPWH Savings Adj. For Space Heating-Base</t>
  </si>
  <si>
    <t>Monthly HPWH Savings Adj. For Space Heating-MCS</t>
  </si>
  <si>
    <t>Monthly HPWH Savings Adj. For Space Heating - New Construction</t>
  </si>
  <si>
    <t>Monthly HPWH Savings Adj. For Space Heating - Existing Homes</t>
  </si>
  <si>
    <t>ProCost Results, Version 1.70a: JPH 03/07/01, 10:31 AM 1/17/2003</t>
  </si>
  <si>
    <t>EF- 0.95 Domestic Water Heater w/50 gallon rated capacity and minimum 10 year warranty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</si>
</sst>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0.0000"/>
    <numFmt numFmtId="178" formatCode="_(* #,##0.0_);_(* \(#,##0.0\);_(* &quot;-&quot;??_);_(@_)"/>
    <numFmt numFmtId="179" formatCode="0.000000000000000%"/>
    <numFmt numFmtId="180" formatCode="#,##0.0"/>
    <numFmt numFmtId="181" formatCode="0.00000"/>
    <numFmt numFmtId="182" formatCode="0.00000000"/>
    <numFmt numFmtId="183" formatCode="0.0000000"/>
    <numFmt numFmtId="184" formatCode="0.000000"/>
    <numFmt numFmtId="185" formatCode="0.000%"/>
    <numFmt numFmtId="186" formatCode="0.0000%"/>
    <numFmt numFmtId="187" formatCode="_(* #,##0.0_);_(* \(#,##0.0\);_(* &quot;-&quot;?_);_(@_)"/>
  </numFmts>
  <fonts count="38">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b/>
      <i/>
      <sz val="10"/>
      <name val="Arial"/>
      <family val="2"/>
    </font>
    <font>
      <b/>
      <sz val="10"/>
      <color indexed="18"/>
      <name val="Arial"/>
      <family val="2"/>
    </font>
    <font>
      <sz val="10"/>
      <color indexed="47"/>
      <name val="Arial"/>
      <family val="2"/>
    </font>
    <font>
      <b/>
      <sz val="12"/>
      <name val="Times New Roman"/>
      <family val="0"/>
    </font>
    <font>
      <sz val="12"/>
      <name val="Times New Roman"/>
      <family val="1"/>
    </font>
    <font>
      <b/>
      <sz val="8"/>
      <color indexed="18"/>
      <name val="Arial"/>
      <family val="0"/>
    </font>
    <font>
      <sz val="8"/>
      <color indexed="47"/>
      <name val="Arial"/>
      <family val="0"/>
    </font>
    <font>
      <sz val="8"/>
      <color indexed="8"/>
      <name val="Arial"/>
      <family val="0"/>
    </font>
    <font>
      <b/>
      <vertAlign val="superscript"/>
      <sz val="10"/>
      <name val="Arial"/>
      <family val="0"/>
    </font>
    <font>
      <vertAlign val="superscript"/>
      <sz val="10"/>
      <name val="Arial"/>
      <family val="0"/>
    </font>
    <font>
      <b/>
      <sz val="14"/>
      <name val="Arial"/>
      <family val="2"/>
    </font>
    <font>
      <sz val="12"/>
      <name val="Arial"/>
      <family val="0"/>
    </font>
    <font>
      <sz val="10.5"/>
      <name val="Arial"/>
      <family val="0"/>
    </font>
    <font>
      <b/>
      <sz val="10.5"/>
      <name val="Arial"/>
      <family val="0"/>
    </font>
    <font>
      <b/>
      <sz val="12"/>
      <name val="Arial"/>
      <family val="0"/>
    </font>
  </fonts>
  <fills count="1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44">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medium"/>
      <bottom>
        <color indexed="63"/>
      </bottom>
    </border>
    <border>
      <left style="thin"/>
      <right>
        <color indexed="63"/>
      </right>
      <top style="medium"/>
      <bottom style="medium"/>
    </border>
    <border>
      <left>
        <color indexed="63"/>
      </left>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2">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2" fontId="11" fillId="0" borderId="0" xfId="0" applyNumberFormat="1" applyFont="1" applyAlignment="1">
      <alignment/>
    </xf>
    <xf numFmtId="165" fontId="0" fillId="0" borderId="0" xfId="0" applyNumberFormat="1" applyAlignment="1">
      <alignment/>
    </xf>
    <xf numFmtId="0" fontId="14" fillId="6" borderId="5" xfId="0" applyFont="1" applyFill="1" applyBorder="1" applyAlignment="1">
      <alignment horizontal="centerContinuous" wrapText="1"/>
    </xf>
    <xf numFmtId="0" fontId="14" fillId="6" borderId="6" xfId="0" applyFont="1" applyFill="1" applyBorder="1" applyAlignment="1">
      <alignment horizontal="centerContinuous" wrapText="1"/>
    </xf>
    <xf numFmtId="0" fontId="12" fillId="7" borderId="7" xfId="0" applyFont="1" applyFill="1" applyBorder="1" applyAlignment="1">
      <alignment horizontal="centerContinuous" wrapText="1"/>
    </xf>
    <xf numFmtId="0" fontId="12" fillId="7" borderId="6" xfId="0" applyFont="1" applyFill="1" applyBorder="1" applyAlignment="1">
      <alignment horizontal="centerContinuous" wrapText="1"/>
    </xf>
    <xf numFmtId="165" fontId="12" fillId="7" borderId="7" xfId="0" applyNumberFormat="1" applyFont="1" applyFill="1" applyBorder="1" applyAlignment="1">
      <alignment horizontal="centerContinuous" wrapText="1"/>
    </xf>
    <xf numFmtId="165" fontId="12" fillId="7" borderId="6" xfId="0" applyNumberFormat="1" applyFont="1" applyFill="1" applyBorder="1" applyAlignment="1">
      <alignment horizontal="centerContinuous" wrapText="1"/>
    </xf>
    <xf numFmtId="165" fontId="12" fillId="7" borderId="5"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8" xfId="0" applyFont="1" applyFill="1" applyBorder="1" applyAlignment="1">
      <alignment horizontal="center" wrapText="1"/>
    </xf>
    <xf numFmtId="165" fontId="12" fillId="3" borderId="8"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8" borderId="7" xfId="0" applyFont="1" applyFill="1" applyBorder="1" applyAlignment="1">
      <alignment horizontal="centerContinuous" wrapText="1"/>
    </xf>
    <xf numFmtId="165" fontId="12" fillId="8" borderId="5" xfId="0" applyNumberFormat="1" applyFont="1" applyFill="1" applyBorder="1" applyAlignment="1">
      <alignment horizontal="centerContinuous" wrapText="1"/>
    </xf>
    <xf numFmtId="165" fontId="12" fillId="8" borderId="6" xfId="0" applyNumberFormat="1" applyFont="1" applyFill="1" applyBorder="1" applyAlignment="1">
      <alignment horizontal="centerContinuous" wrapText="1"/>
    </xf>
    <xf numFmtId="0" fontId="12" fillId="2" borderId="7" xfId="0" applyFont="1" applyFill="1" applyBorder="1" applyAlignment="1">
      <alignment horizontal="centerContinuous" wrapText="1"/>
    </xf>
    <xf numFmtId="0" fontId="12" fillId="2" borderId="5" xfId="0" applyFont="1" applyFill="1" applyBorder="1" applyAlignment="1">
      <alignment horizontal="centerContinuous" wrapText="1"/>
    </xf>
    <xf numFmtId="165" fontId="12" fillId="2" borderId="5" xfId="0" applyNumberFormat="1" applyFont="1" applyFill="1" applyBorder="1" applyAlignment="1">
      <alignment horizontal="centerContinuous" wrapText="1"/>
    </xf>
    <xf numFmtId="165" fontId="12" fillId="2" borderId="6"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8" borderId="6" xfId="0" applyFont="1" applyFill="1" applyBorder="1" applyAlignment="1">
      <alignment horizontal="centerContinuous" wrapText="1"/>
    </xf>
    <xf numFmtId="165" fontId="12" fillId="8" borderId="7" xfId="0" applyNumberFormat="1" applyFont="1" applyFill="1" applyBorder="1" applyAlignment="1">
      <alignment horizontal="centerContinuous" wrapText="1"/>
    </xf>
    <xf numFmtId="165" fontId="12" fillId="8" borderId="9" xfId="0" applyNumberFormat="1" applyFont="1" applyFill="1" applyBorder="1" applyAlignment="1">
      <alignment horizontal="centerContinuous" wrapText="1"/>
    </xf>
    <xf numFmtId="0" fontId="5" fillId="9" borderId="10" xfId="0" applyFont="1" applyFill="1" applyBorder="1" applyAlignment="1">
      <alignment vertical="justify"/>
    </xf>
    <xf numFmtId="0" fontId="5" fillId="9" borderId="11" xfId="0" applyFont="1" applyFill="1" applyBorder="1" applyAlignment="1">
      <alignment vertical="justify"/>
    </xf>
    <xf numFmtId="0" fontId="5" fillId="0" borderId="0" xfId="0" applyFont="1" applyAlignment="1">
      <alignment vertical="justify"/>
    </xf>
    <xf numFmtId="0" fontId="19" fillId="9" borderId="12" xfId="0" applyFont="1" applyFill="1" applyBorder="1" applyAlignment="1">
      <alignment horizontal="left" wrapText="1"/>
    </xf>
    <xf numFmtId="0" fontId="19" fillId="9" borderId="13" xfId="0" applyFont="1" applyFill="1" applyBorder="1" applyAlignment="1">
      <alignment horizontal="left" wrapText="1"/>
    </xf>
    <xf numFmtId="0" fontId="19" fillId="9" borderId="5" xfId="0" applyFont="1" applyFill="1" applyBorder="1" applyAlignment="1">
      <alignment horizontal="left" wrapText="1"/>
    </xf>
    <xf numFmtId="0" fontId="17" fillId="0" borderId="0" xfId="0" applyFont="1" applyAlignment="1">
      <alignment/>
    </xf>
    <xf numFmtId="175" fontId="20" fillId="0" borderId="14" xfId="0" applyNumberFormat="1" applyFont="1" applyBorder="1" applyAlignment="1">
      <alignment horizontal="left" vertical="top" wrapText="1"/>
    </xf>
    <xf numFmtId="168" fontId="20" fillId="0" borderId="14" xfId="17" applyNumberFormat="1" applyFont="1" applyBorder="1" applyAlignment="1">
      <alignment horizontal="center" vertical="top" wrapText="1"/>
    </xf>
    <xf numFmtId="1" fontId="20" fillId="0" borderId="14" xfId="0" applyNumberFormat="1" applyFont="1" applyBorder="1" applyAlignment="1">
      <alignment horizontal="center" vertical="top" wrapText="1"/>
    </xf>
    <xf numFmtId="44" fontId="20" fillId="0" borderId="14" xfId="17" applyFont="1" applyBorder="1" applyAlignment="1">
      <alignment horizontal="left" vertical="top" wrapText="1"/>
    </xf>
    <xf numFmtId="2" fontId="20" fillId="0" borderId="14" xfId="0" applyNumberFormat="1" applyFont="1" applyBorder="1" applyAlignment="1">
      <alignment horizontal="center" vertical="top" wrapText="1"/>
    </xf>
    <xf numFmtId="0" fontId="14" fillId="6" borderId="7" xfId="0" applyFont="1" applyFill="1" applyBorder="1" applyAlignment="1">
      <alignment horizontal="left" wrapText="1"/>
    </xf>
    <xf numFmtId="0" fontId="0" fillId="3" borderId="3" xfId="20" applyFont="1" applyBorder="1" applyAlignment="1">
      <alignment/>
      <protection/>
    </xf>
    <xf numFmtId="175" fontId="19" fillId="0" borderId="15" xfId="0" applyNumberFormat="1" applyFont="1" applyBorder="1" applyAlignment="1">
      <alignment horizontal="left" vertical="top" wrapText="1"/>
    </xf>
    <xf numFmtId="44" fontId="20" fillId="0" borderId="14" xfId="17" applyNumberFormat="1" applyFont="1" applyBorder="1" applyAlignment="1">
      <alignment horizontal="left" vertical="top" wrapText="1"/>
    </xf>
    <xf numFmtId="165" fontId="20" fillId="0" borderId="14" xfId="0" applyNumberFormat="1" applyFont="1" applyBorder="1" applyAlignment="1">
      <alignment horizontal="center" vertical="top" wrapText="1"/>
    </xf>
    <xf numFmtId="0" fontId="20" fillId="0" borderId="14"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9" borderId="16" xfId="0" applyFont="1" applyFill="1" applyBorder="1" applyAlignment="1">
      <alignment horizontal="center" wrapText="1"/>
    </xf>
    <xf numFmtId="169" fontId="20" fillId="0" borderId="14" xfId="15" applyNumberFormat="1" applyFont="1" applyBorder="1" applyAlignment="1">
      <alignment horizontal="center" vertical="top" wrapText="1"/>
    </xf>
    <xf numFmtId="0" fontId="20" fillId="0" borderId="3" xfId="0" applyFont="1" applyBorder="1" applyAlignment="1">
      <alignment wrapText="1"/>
    </xf>
    <xf numFmtId="0" fontId="0" fillId="0" borderId="3" xfId="0" applyBorder="1" applyAlignment="1">
      <alignment/>
    </xf>
    <xf numFmtId="0" fontId="23" fillId="0" borderId="0" xfId="23" applyFont="1">
      <alignment/>
      <protection/>
    </xf>
    <xf numFmtId="0" fontId="0" fillId="0" borderId="0" xfId="23" applyFont="1">
      <alignment/>
      <protection/>
    </xf>
    <xf numFmtId="5" fontId="0" fillId="0" borderId="0" xfId="23" applyNumberFormat="1" applyFont="1" applyAlignment="1">
      <alignment horizontal="right"/>
      <protection/>
    </xf>
    <xf numFmtId="165" fontId="0" fillId="0" borderId="0" xfId="23" applyNumberFormat="1" applyFont="1">
      <alignment/>
      <protection/>
    </xf>
    <xf numFmtId="0" fontId="0" fillId="0" borderId="0" xfId="23" applyFont="1" applyAlignment="1">
      <alignment horizontal="left"/>
      <protection/>
    </xf>
    <xf numFmtId="0" fontId="6" fillId="4" borderId="17" xfId="23" applyFont="1" applyFill="1" applyBorder="1" applyAlignment="1">
      <alignment horizontal="centerContinuous"/>
      <protection/>
    </xf>
    <xf numFmtId="0" fontId="11" fillId="4" borderId="18" xfId="23" applyFont="1" applyFill="1" applyBorder="1" applyAlignment="1">
      <alignment/>
      <protection/>
    </xf>
    <xf numFmtId="0" fontId="11" fillId="4" borderId="18" xfId="23" applyFont="1" applyFill="1" applyBorder="1" applyAlignment="1">
      <alignment horizontal="centerContinuous"/>
      <protection/>
    </xf>
    <xf numFmtId="0" fontId="11" fillId="4" borderId="8" xfId="23" applyFont="1" applyFill="1" applyBorder="1" applyAlignment="1">
      <alignment horizontal="centerContinuous"/>
      <protection/>
    </xf>
    <xf numFmtId="0" fontId="12" fillId="10" borderId="3" xfId="23" applyFont="1" applyFill="1" applyBorder="1" applyAlignment="1">
      <alignment horizontal="centerContinuous"/>
      <protection/>
    </xf>
    <xf numFmtId="0" fontId="13" fillId="10" borderId="3" xfId="23" applyFont="1" applyFill="1" applyBorder="1" applyAlignment="1">
      <alignment horizontal="centerContinuous"/>
      <protection/>
    </xf>
    <xf numFmtId="0" fontId="12" fillId="11" borderId="19" xfId="23" applyFont="1" applyFill="1" applyBorder="1" applyAlignment="1">
      <alignment horizontal="center" wrapText="1"/>
      <protection/>
    </xf>
    <xf numFmtId="0" fontId="12" fillId="11" borderId="15" xfId="23" applyFont="1" applyFill="1" applyBorder="1" applyAlignment="1">
      <alignment horizontal="center" wrapText="1"/>
      <protection/>
    </xf>
    <xf numFmtId="1" fontId="0" fillId="0" borderId="0" xfId="0" applyNumberFormat="1" applyAlignment="1">
      <alignment/>
    </xf>
    <xf numFmtId="0" fontId="0" fillId="3" borderId="4" xfId="0" applyFont="1" applyFill="1" applyBorder="1" applyAlignment="1">
      <alignment vertical="top" wrapText="1"/>
    </xf>
    <xf numFmtId="0" fontId="24" fillId="0" borderId="4" xfId="0" applyFont="1" applyBorder="1" applyAlignment="1">
      <alignment horizontal="right" vertical="top" wrapText="1"/>
    </xf>
    <xf numFmtId="0" fontId="17" fillId="0" borderId="4" xfId="0" applyFont="1" applyBorder="1" applyAlignment="1">
      <alignment horizontal="right" vertical="top" wrapText="1"/>
    </xf>
    <xf numFmtId="0" fontId="0" fillId="0" borderId="4" xfId="0" applyFont="1" applyBorder="1" applyAlignment="1">
      <alignment horizontal="left" wrapText="1"/>
    </xf>
    <xf numFmtId="0" fontId="0" fillId="0" borderId="4" xfId="0" applyFont="1" applyBorder="1" applyAlignment="1">
      <alignment horizontal="right" wrapText="1"/>
    </xf>
    <xf numFmtId="3" fontId="0" fillId="0" borderId="4" xfId="0" applyNumberFormat="1" applyFont="1" applyBorder="1" applyAlignment="1">
      <alignment horizontal="right" wrapText="1"/>
    </xf>
    <xf numFmtId="0" fontId="0" fillId="0" borderId="3" xfId="0" applyFont="1" applyBorder="1" applyAlignment="1">
      <alignment horizontal="left" wrapText="1"/>
    </xf>
    <xf numFmtId="0" fontId="0" fillId="0" borderId="3" xfId="0" applyFont="1" applyBorder="1" applyAlignment="1">
      <alignment wrapText="1"/>
    </xf>
    <xf numFmtId="3" fontId="0" fillId="0" borderId="3" xfId="0" applyNumberFormat="1" applyFont="1" applyBorder="1" applyAlignment="1">
      <alignment wrapText="1"/>
    </xf>
    <xf numFmtId="0" fontId="12" fillId="3" borderId="3" xfId="0" applyFont="1" applyFill="1" applyBorder="1" applyAlignment="1">
      <alignment vertical="top" wrapText="1"/>
    </xf>
    <xf numFmtId="3" fontId="0" fillId="0" borderId="0" xfId="0" applyNumberFormat="1" applyFont="1" applyAlignment="1">
      <alignment/>
    </xf>
    <xf numFmtId="0" fontId="27" fillId="12" borderId="3" xfId="0" applyFont="1" applyFill="1" applyBorder="1" applyAlignment="1">
      <alignment horizontal="center"/>
    </xf>
    <xf numFmtId="0" fontId="27" fillId="12" borderId="3" xfId="0" applyFont="1" applyFill="1" applyBorder="1" applyAlignment="1">
      <alignment horizontal="left" wrapText="1"/>
    </xf>
    <xf numFmtId="2" fontId="27" fillId="12" borderId="3" xfId="0" applyNumberFormat="1" applyFont="1" applyFill="1" applyBorder="1" applyAlignment="1">
      <alignment/>
    </xf>
    <xf numFmtId="5" fontId="27" fillId="12" borderId="3" xfId="17" applyNumberFormat="1" applyFont="1" applyFill="1" applyBorder="1" applyAlignment="1">
      <alignment/>
    </xf>
    <xf numFmtId="3" fontId="27" fillId="12" borderId="3" xfId="0" applyNumberFormat="1" applyFont="1" applyFill="1" applyBorder="1" applyAlignment="1">
      <alignment horizontal="center"/>
    </xf>
    <xf numFmtId="0" fontId="27" fillId="3" borderId="3" xfId="0" applyFont="1" applyFill="1" applyBorder="1" applyAlignment="1">
      <alignment horizontal="center"/>
    </xf>
    <xf numFmtId="0" fontId="27" fillId="3" borderId="3" xfId="0" applyFont="1" applyFill="1" applyBorder="1" applyAlignment="1">
      <alignment horizontal="left" wrapText="1"/>
    </xf>
    <xf numFmtId="2" fontId="27" fillId="3" borderId="3" xfId="0" applyNumberFormat="1" applyFont="1" applyFill="1" applyBorder="1" applyAlignment="1">
      <alignment/>
    </xf>
    <xf numFmtId="5" fontId="27" fillId="3" borderId="3" xfId="17" applyNumberFormat="1" applyFont="1" applyFill="1" applyBorder="1" applyAlignment="1">
      <alignment/>
    </xf>
    <xf numFmtId="1" fontId="27" fillId="3" borderId="3" xfId="0" applyNumberFormat="1" applyFont="1" applyFill="1" applyBorder="1" applyAlignment="1">
      <alignment horizontal="center"/>
    </xf>
    <xf numFmtId="3" fontId="27" fillId="3" borderId="3" xfId="0" applyNumberFormat="1" applyFont="1" applyFill="1" applyBorder="1" applyAlignment="1">
      <alignment horizontal="center"/>
    </xf>
    <xf numFmtId="1" fontId="27" fillId="12" borderId="3" xfId="0" applyNumberFormat="1" applyFont="1" applyFill="1" applyBorder="1" applyAlignment="1">
      <alignment horizontal="center"/>
    </xf>
    <xf numFmtId="0" fontId="17" fillId="0" borderId="0" xfId="0" applyFont="1" applyAlignment="1">
      <alignment/>
    </xf>
    <xf numFmtId="0" fontId="0" fillId="0" borderId="0" xfId="0" applyAlignment="1">
      <alignment wrapText="1"/>
    </xf>
    <xf numFmtId="170" fontId="0" fillId="0" borderId="0" xfId="0" applyNumberFormat="1" applyAlignment="1">
      <alignment/>
    </xf>
    <xf numFmtId="10" fontId="0" fillId="0" borderId="0" xfId="0" applyNumberFormat="1" applyAlignment="1">
      <alignment/>
    </xf>
    <xf numFmtId="0" fontId="0" fillId="0" borderId="3" xfId="0" applyNumberFormat="1" applyBorder="1" applyAlignment="1">
      <alignment/>
    </xf>
    <xf numFmtId="170" fontId="0" fillId="0" borderId="3" xfId="0" applyNumberFormat="1" applyBorder="1" applyAlignment="1">
      <alignment/>
    </xf>
    <xf numFmtId="168" fontId="0" fillId="0" borderId="3" xfId="17" applyNumberFormat="1" applyBorder="1" applyAlignment="1">
      <alignment/>
    </xf>
    <xf numFmtId="0" fontId="0" fillId="0" borderId="15" xfId="0" applyBorder="1" applyAlignment="1">
      <alignment wrapText="1"/>
    </xf>
    <xf numFmtId="0" fontId="28" fillId="0" borderId="4" xfId="0" applyFont="1" applyBorder="1" applyAlignment="1">
      <alignment horizontal="right" vertical="top" wrapText="1"/>
    </xf>
    <xf numFmtId="0" fontId="17" fillId="0" borderId="20" xfId="0" applyFont="1" applyBorder="1" applyAlignment="1">
      <alignment horizontal="right" vertical="top" wrapText="1"/>
    </xf>
    <xf numFmtId="0" fontId="30" fillId="3" borderId="4" xfId="0" applyFont="1" applyFill="1" applyBorder="1" applyAlignment="1">
      <alignment vertical="top" wrapText="1"/>
    </xf>
    <xf numFmtId="0" fontId="20" fillId="0" borderId="4" xfId="0" applyFont="1" applyBorder="1" applyAlignment="1">
      <alignment horizontal="center" wrapText="1"/>
    </xf>
    <xf numFmtId="3" fontId="20" fillId="0" borderId="4" xfId="0" applyNumberFormat="1" applyFont="1" applyBorder="1" applyAlignment="1">
      <alignment horizontal="center" wrapText="1"/>
    </xf>
    <xf numFmtId="6" fontId="0" fillId="0" borderId="3" xfId="0" applyNumberFormat="1" applyBorder="1" applyAlignment="1">
      <alignment/>
    </xf>
    <xf numFmtId="0" fontId="20" fillId="0" borderId="3" xfId="0" applyFont="1" applyBorder="1" applyAlignment="1">
      <alignment horizontal="center" wrapText="1"/>
    </xf>
    <xf numFmtId="0" fontId="28" fillId="0" borderId="4" xfId="0" applyFont="1" applyBorder="1" applyAlignment="1">
      <alignment horizontal="center" vertical="top" wrapText="1"/>
    </xf>
    <xf numFmtId="0" fontId="17" fillId="0" borderId="3" xfId="0" applyFont="1" applyBorder="1" applyAlignment="1">
      <alignment horizontal="center" vertical="top" wrapText="1"/>
    </xf>
    <xf numFmtId="3" fontId="20" fillId="0" borderId="3" xfId="0" applyNumberFormat="1" applyFont="1" applyBorder="1" applyAlignment="1">
      <alignment horizontal="center" wrapText="1"/>
    </xf>
    <xf numFmtId="0" fontId="17" fillId="0" borderId="3" xfId="0" applyFont="1" applyBorder="1" applyAlignment="1">
      <alignment horizontal="center" wrapText="1"/>
    </xf>
    <xf numFmtId="0" fontId="17" fillId="0" borderId="8" xfId="0" applyFont="1" applyBorder="1" applyAlignment="1">
      <alignment horizontal="center" wrapText="1"/>
    </xf>
    <xf numFmtId="0" fontId="17" fillId="0" borderId="1" xfId="0" applyFont="1" applyBorder="1" applyAlignment="1">
      <alignment horizontal="left" wrapText="1"/>
    </xf>
    <xf numFmtId="0" fontId="0" fillId="0" borderId="21" xfId="0" applyBorder="1" applyAlignment="1">
      <alignment/>
    </xf>
    <xf numFmtId="0" fontId="0" fillId="0" borderId="14" xfId="0" applyBorder="1" applyAlignment="1">
      <alignment/>
    </xf>
    <xf numFmtId="0" fontId="0" fillId="0" borderId="17" xfId="0" applyBorder="1" applyAlignment="1">
      <alignment horizontal="left" wrapText="1"/>
    </xf>
    <xf numFmtId="0" fontId="0" fillId="0" borderId="3" xfId="0" applyBorder="1" applyAlignment="1">
      <alignment horizontal="left" wrapText="1"/>
    </xf>
    <xf numFmtId="3" fontId="0" fillId="0" borderId="14" xfId="0" applyNumberFormat="1" applyBorder="1" applyAlignment="1">
      <alignment horizontal="left" wrapText="1"/>
    </xf>
    <xf numFmtId="0" fontId="0" fillId="0" borderId="14" xfId="0" applyBorder="1" applyAlignment="1">
      <alignment horizontal="left" wrapText="1"/>
    </xf>
    <xf numFmtId="6" fontId="0" fillId="0" borderId="14" xfId="0" applyNumberFormat="1" applyBorder="1" applyAlignment="1">
      <alignment horizontal="left" wrapText="1"/>
    </xf>
    <xf numFmtId="0" fontId="0" fillId="0" borderId="18" xfId="0" applyBorder="1" applyAlignment="1">
      <alignment/>
    </xf>
    <xf numFmtId="0" fontId="0" fillId="0" borderId="8" xfId="0" applyBorder="1" applyAlignment="1">
      <alignment/>
    </xf>
    <xf numFmtId="3" fontId="0" fillId="0" borderId="20" xfId="0" applyNumberFormat="1" applyBorder="1" applyAlignment="1">
      <alignment horizontal="left" wrapText="1"/>
    </xf>
    <xf numFmtId="0" fontId="0" fillId="0" borderId="20" xfId="0" applyBorder="1" applyAlignment="1">
      <alignment horizontal="left" wrapText="1"/>
    </xf>
    <xf numFmtId="6" fontId="0" fillId="0" borderId="3" xfId="0" applyNumberFormat="1" applyBorder="1" applyAlignment="1">
      <alignment horizontal="left" wrapText="1"/>
    </xf>
    <xf numFmtId="3" fontId="0" fillId="0" borderId="8" xfId="0" applyNumberFormat="1" applyBorder="1" applyAlignment="1">
      <alignment horizontal="left" wrapText="1"/>
    </xf>
    <xf numFmtId="3" fontId="0" fillId="0" borderId="3" xfId="0" applyNumberFormat="1" applyBorder="1" applyAlignment="1">
      <alignment horizontal="left" wrapText="1"/>
    </xf>
    <xf numFmtId="0" fontId="0" fillId="0" borderId="1" xfId="0" applyBorder="1" applyAlignment="1">
      <alignment horizontal="left" wrapText="1"/>
    </xf>
    <xf numFmtId="0" fontId="0" fillId="0" borderId="4" xfId="0" applyBorder="1" applyAlignment="1">
      <alignment horizontal="left" wrapText="1"/>
    </xf>
    <xf numFmtId="3" fontId="0" fillId="0" borderId="4" xfId="0" applyNumberFormat="1" applyBorder="1" applyAlignment="1">
      <alignment horizontal="left" wrapText="1"/>
    </xf>
    <xf numFmtId="6" fontId="0" fillId="0" borderId="4" xfId="0" applyNumberFormat="1" applyBorder="1" applyAlignment="1">
      <alignment horizontal="left" wrapText="1"/>
    </xf>
    <xf numFmtId="0" fontId="0" fillId="0" borderId="19" xfId="0" applyBorder="1" applyAlignment="1">
      <alignment horizontal="left" wrapText="1"/>
    </xf>
    <xf numFmtId="0" fontId="33" fillId="0" borderId="0" xfId="0" applyFont="1" applyAlignment="1">
      <alignment/>
    </xf>
    <xf numFmtId="0" fontId="17" fillId="0" borderId="0" xfId="0" applyFont="1" applyAlignment="1">
      <alignment horizontal="centerContinuous" vertical="center"/>
    </xf>
    <xf numFmtId="49" fontId="17" fillId="0" borderId="0" xfId="0" applyNumberFormat="1" applyFont="1" applyAlignment="1">
      <alignment horizontal="center" vertical="center"/>
    </xf>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5" fontId="0" fillId="0" borderId="0" xfId="0" applyNumberFormat="1" applyAlignment="1">
      <alignment horizontal="center" vertical="center"/>
    </xf>
    <xf numFmtId="0" fontId="0" fillId="0" borderId="0" xfId="0" applyAlignment="1">
      <alignment horizontal="left" vertical="center"/>
    </xf>
    <xf numFmtId="49" fontId="17" fillId="0" borderId="0" xfId="0" applyNumberFormat="1" applyFont="1" applyAlignment="1">
      <alignment horizontal="left" vertical="center"/>
    </xf>
    <xf numFmtId="49" fontId="0" fillId="0" borderId="0" xfId="0" applyNumberFormat="1" applyAlignment="1">
      <alignment horizontal="left" vertical="center"/>
    </xf>
    <xf numFmtId="2" fontId="0" fillId="0" borderId="3" xfId="0" applyNumberFormat="1" applyBorder="1" applyAlignment="1">
      <alignment/>
    </xf>
    <xf numFmtId="169" fontId="27" fillId="3" borderId="3" xfId="15" applyNumberFormat="1" applyFont="1" applyFill="1" applyBorder="1" applyAlignment="1">
      <alignment horizontal="center"/>
    </xf>
    <xf numFmtId="169" fontId="27" fillId="12" borderId="3" xfId="15" applyNumberFormat="1" applyFont="1" applyFill="1" applyBorder="1" applyAlignment="1">
      <alignment horizontal="center"/>
    </xf>
    <xf numFmtId="43" fontId="0" fillId="0" borderId="0" xfId="0" applyNumberFormat="1" applyAlignment="1">
      <alignment/>
    </xf>
    <xf numFmtId="0" fontId="19" fillId="9" borderId="22" xfId="0" applyFont="1" applyFill="1" applyBorder="1" applyAlignment="1">
      <alignment horizontal="left" wrapText="1"/>
    </xf>
    <xf numFmtId="0" fontId="20" fillId="0" borderId="3" xfId="0" applyFont="1" applyBorder="1" applyAlignment="1">
      <alignment/>
    </xf>
    <xf numFmtId="169" fontId="0" fillId="0" borderId="0" xfId="0" applyNumberFormat="1" applyAlignment="1">
      <alignment/>
    </xf>
    <xf numFmtId="9" fontId="0" fillId="0" borderId="0" xfId="24" applyAlignment="1">
      <alignment/>
    </xf>
    <xf numFmtId="0" fontId="17" fillId="0" borderId="23" xfId="0" applyFont="1" applyBorder="1" applyAlignment="1">
      <alignment/>
    </xf>
    <xf numFmtId="0" fontId="0" fillId="9" borderId="24" xfId="0" applyFill="1" applyBorder="1" applyAlignment="1">
      <alignment/>
    </xf>
    <xf numFmtId="0" fontId="17" fillId="0" borderId="25" xfId="0" applyFont="1" applyBorder="1" applyAlignment="1">
      <alignment/>
    </xf>
    <xf numFmtId="0" fontId="0" fillId="13" borderId="26" xfId="0" applyFill="1" applyBorder="1" applyAlignment="1">
      <alignment/>
    </xf>
    <xf numFmtId="0" fontId="17" fillId="12" borderId="12" xfId="0" applyFont="1" applyFill="1" applyBorder="1" applyAlignment="1">
      <alignment/>
    </xf>
    <xf numFmtId="0" fontId="17" fillId="12" borderId="27" xfId="0" applyFont="1" applyFill="1" applyBorder="1" applyAlignment="1">
      <alignment/>
    </xf>
    <xf numFmtId="0" fontId="17" fillId="12" borderId="28" xfId="0" applyFont="1" applyFill="1" applyBorder="1" applyAlignment="1">
      <alignment wrapText="1"/>
    </xf>
    <xf numFmtId="0" fontId="0" fillId="0" borderId="29" xfId="0" applyBorder="1" applyAlignment="1">
      <alignment/>
    </xf>
    <xf numFmtId="9" fontId="0" fillId="9" borderId="15" xfId="24" applyFill="1" applyBorder="1" applyAlignment="1">
      <alignment/>
    </xf>
    <xf numFmtId="9" fontId="0" fillId="13" borderId="30" xfId="0" applyNumberFormat="1" applyFill="1" applyBorder="1" applyAlignment="1">
      <alignment/>
    </xf>
    <xf numFmtId="0" fontId="0" fillId="0" borderId="31" xfId="0" applyBorder="1" applyAlignment="1">
      <alignment/>
    </xf>
    <xf numFmtId="9" fontId="0" fillId="9" borderId="3" xfId="24" applyFill="1" applyBorder="1" applyAlignment="1">
      <alignment/>
    </xf>
    <xf numFmtId="9" fontId="0" fillId="13" borderId="32" xfId="24" applyFill="1" applyBorder="1" applyAlignment="1">
      <alignment/>
    </xf>
    <xf numFmtId="9" fontId="0" fillId="9" borderId="3" xfId="0" applyNumberFormat="1" applyFill="1" applyBorder="1" applyAlignment="1">
      <alignment/>
    </xf>
    <xf numFmtId="9" fontId="0" fillId="13" borderId="32" xfId="0" applyNumberFormat="1" applyFill="1" applyBorder="1" applyAlignment="1">
      <alignment/>
    </xf>
    <xf numFmtId="9" fontId="0" fillId="9" borderId="32" xfId="24" applyFill="1" applyBorder="1" applyAlignment="1">
      <alignment/>
    </xf>
    <xf numFmtId="0" fontId="0" fillId="0" borderId="32" xfId="0" applyBorder="1" applyAlignment="1">
      <alignment/>
    </xf>
    <xf numFmtId="0" fontId="0" fillId="0" borderId="25" xfId="0" applyBorder="1" applyAlignment="1">
      <alignment/>
    </xf>
    <xf numFmtId="9" fontId="0" fillId="9" borderId="33" xfId="0" applyNumberFormat="1" applyFill="1" applyBorder="1" applyAlignment="1">
      <alignment/>
    </xf>
    <xf numFmtId="9" fontId="0" fillId="13" borderId="26" xfId="24" applyFill="1" applyBorder="1" applyAlignment="1">
      <alignment/>
    </xf>
    <xf numFmtId="9" fontId="0" fillId="0" borderId="0" xfId="24" applyBorder="1" applyAlignment="1">
      <alignment/>
    </xf>
    <xf numFmtId="0" fontId="0" fillId="0" borderId="34" xfId="0" applyFill="1" applyBorder="1" applyAlignment="1">
      <alignment/>
    </xf>
    <xf numFmtId="0" fontId="0" fillId="0" borderId="0" xfId="0" applyFill="1" applyBorder="1" applyAlignment="1">
      <alignment/>
    </xf>
    <xf numFmtId="0" fontId="0" fillId="12" borderId="12" xfId="0" applyFill="1" applyBorder="1" applyAlignment="1">
      <alignment wrapText="1"/>
    </xf>
    <xf numFmtId="9" fontId="0" fillId="13" borderId="3" xfId="24" applyFill="1" applyBorder="1" applyAlignment="1">
      <alignment/>
    </xf>
    <xf numFmtId="9" fontId="0" fillId="13" borderId="3" xfId="0" applyNumberFormat="1" applyFill="1" applyBorder="1" applyAlignment="1">
      <alignment/>
    </xf>
    <xf numFmtId="0" fontId="0" fillId="0" borderId="25" xfId="0" applyFill="1" applyBorder="1" applyAlignment="1">
      <alignment/>
    </xf>
    <xf numFmtId="9" fontId="0" fillId="13" borderId="33" xfId="0" applyNumberFormat="1" applyFill="1" applyBorder="1" applyAlignment="1">
      <alignment/>
    </xf>
    <xf numFmtId="0" fontId="0" fillId="12" borderId="35" xfId="0" applyFill="1" applyBorder="1" applyAlignment="1">
      <alignment wrapText="1"/>
    </xf>
    <xf numFmtId="0" fontId="0" fillId="0" borderId="3" xfId="0" applyFont="1" applyBorder="1" applyAlignment="1">
      <alignment/>
    </xf>
    <xf numFmtId="164" fontId="0" fillId="13" borderId="3" xfId="0" applyNumberFormat="1" applyFill="1" applyBorder="1" applyAlignment="1">
      <alignment/>
    </xf>
    <xf numFmtId="0" fontId="27" fillId="3" borderId="3" xfId="0" applyFont="1" applyFill="1" applyBorder="1" applyAlignment="1">
      <alignment horizontal="center" wrapText="1"/>
    </xf>
    <xf numFmtId="0" fontId="27" fillId="12" borderId="15" xfId="0" applyFont="1" applyFill="1" applyBorder="1" applyAlignment="1">
      <alignment horizontal="center"/>
    </xf>
    <xf numFmtId="0" fontId="27" fillId="12" borderId="15" xfId="0" applyFont="1" applyFill="1" applyBorder="1" applyAlignment="1">
      <alignment horizontal="left" wrapText="1"/>
    </xf>
    <xf numFmtId="5" fontId="27" fillId="12" borderId="15" xfId="17" applyNumberFormat="1" applyFont="1" applyFill="1" applyBorder="1" applyAlignment="1">
      <alignment/>
    </xf>
    <xf numFmtId="7" fontId="27" fillId="12" borderId="15" xfId="17" applyNumberFormat="1" applyFont="1" applyFill="1" applyBorder="1" applyAlignment="1">
      <alignment/>
    </xf>
    <xf numFmtId="169" fontId="27" fillId="12" borderId="15" xfId="15" applyNumberFormat="1" applyFont="1" applyFill="1" applyBorder="1" applyAlignment="1">
      <alignment horizontal="center"/>
    </xf>
    <xf numFmtId="3" fontId="27" fillId="12" borderId="15" xfId="0" applyNumberFormat="1" applyFont="1" applyFill="1" applyBorder="1" applyAlignment="1">
      <alignment horizontal="center"/>
    </xf>
    <xf numFmtId="0" fontId="26" fillId="14" borderId="12" xfId="0" applyFont="1" applyFill="1" applyBorder="1" applyAlignment="1">
      <alignment horizontal="center"/>
    </xf>
    <xf numFmtId="0" fontId="26" fillId="14" borderId="27" xfId="0" applyFont="1" applyFill="1" applyBorder="1" applyAlignment="1">
      <alignment horizontal="left"/>
    </xf>
    <xf numFmtId="165" fontId="26" fillId="14" borderId="27" xfId="0" applyNumberFormat="1" applyFont="1" applyFill="1" applyBorder="1" applyAlignment="1">
      <alignment horizontal="center" wrapText="1"/>
    </xf>
    <xf numFmtId="0" fontId="26" fillId="14" borderId="27" xfId="0" applyFont="1" applyFill="1" applyBorder="1" applyAlignment="1">
      <alignment horizontal="center" wrapText="1"/>
    </xf>
    <xf numFmtId="165" fontId="26" fillId="14" borderId="28" xfId="0" applyNumberFormat="1" applyFont="1" applyFill="1" applyBorder="1" applyAlignment="1">
      <alignment horizontal="left" wrapText="1"/>
    </xf>
    <xf numFmtId="165" fontId="0" fillId="3" borderId="3" xfId="0" applyNumberFormat="1" applyFill="1" applyBorder="1" applyAlignment="1">
      <alignment wrapText="1"/>
    </xf>
    <xf numFmtId="2" fontId="0" fillId="3" borderId="3" xfId="0" applyNumberFormat="1" applyFill="1" applyBorder="1" applyAlignment="1">
      <alignment wrapText="1"/>
    </xf>
    <xf numFmtId="165" fontId="0" fillId="0" borderId="3" xfId="0" applyNumberFormat="1" applyBorder="1" applyAlignment="1">
      <alignment/>
    </xf>
    <xf numFmtId="165" fontId="0" fillId="0" borderId="0" xfId="0" applyNumberFormat="1" applyBorder="1" applyAlignment="1">
      <alignment/>
    </xf>
    <xf numFmtId="2" fontId="0" fillId="0" borderId="0" xfId="0" applyNumberFormat="1" applyBorder="1" applyAlignment="1">
      <alignment/>
    </xf>
    <xf numFmtId="0" fontId="27" fillId="3" borderId="17" xfId="0" applyFont="1" applyFill="1" applyBorder="1" applyAlignment="1">
      <alignment horizontal="left" wrapText="1"/>
    </xf>
    <xf numFmtId="5" fontId="27" fillId="3" borderId="8" xfId="17" applyNumberFormat="1" applyFont="1" applyFill="1" applyBorder="1" applyAlignment="1">
      <alignment/>
    </xf>
    <xf numFmtId="2" fontId="27" fillId="12" borderId="4" xfId="0" applyNumberFormat="1" applyFont="1" applyFill="1" applyBorder="1" applyAlignment="1">
      <alignment/>
    </xf>
    <xf numFmtId="2" fontId="27" fillId="3" borderId="15" xfId="0" applyNumberFormat="1" applyFont="1" applyFill="1" applyBorder="1" applyAlignment="1">
      <alignment/>
    </xf>
    <xf numFmtId="2" fontId="27" fillId="15" borderId="9" xfId="0" applyNumberFormat="1" applyFont="1" applyFill="1" applyBorder="1" applyAlignment="1">
      <alignment/>
    </xf>
    <xf numFmtId="9" fontId="0" fillId="0" borderId="0" xfId="24" applyFont="1" applyBorder="1" applyAlignment="1">
      <alignment/>
    </xf>
    <xf numFmtId="3" fontId="27" fillId="12" borderId="3" xfId="0" applyNumberFormat="1" applyFont="1" applyFill="1" applyBorder="1" applyAlignment="1">
      <alignment horizontal="center"/>
    </xf>
    <xf numFmtId="0" fontId="0" fillId="0" borderId="36" xfId="0" applyFill="1" applyBorder="1" applyAlignment="1">
      <alignment/>
    </xf>
    <xf numFmtId="1" fontId="0" fillId="0" borderId="3" xfId="0" applyNumberFormat="1" applyFont="1" applyBorder="1" applyAlignment="1">
      <alignment/>
    </xf>
    <xf numFmtId="9" fontId="0" fillId="0" borderId="3" xfId="24" applyFont="1" applyBorder="1" applyAlignment="1">
      <alignment/>
    </xf>
    <xf numFmtId="9" fontId="0" fillId="0" borderId="3" xfId="24" applyNumberFormat="1" applyBorder="1" applyAlignment="1">
      <alignment/>
    </xf>
    <xf numFmtId="164" fontId="0" fillId="0" borderId="3" xfId="24" applyNumberFormat="1" applyBorder="1" applyAlignment="1">
      <alignment/>
    </xf>
    <xf numFmtId="1" fontId="0" fillId="0" borderId="3" xfId="0" applyNumberFormat="1" applyBorder="1" applyAlignment="1">
      <alignment/>
    </xf>
    <xf numFmtId="187" fontId="0" fillId="0" borderId="3" xfId="0" applyNumberFormat="1" applyBorder="1" applyAlignment="1">
      <alignment/>
    </xf>
    <xf numFmtId="169" fontId="0" fillId="0" borderId="3" xfId="15" applyNumberFormat="1" applyBorder="1" applyAlignment="1">
      <alignment/>
    </xf>
    <xf numFmtId="1" fontId="0" fillId="0" borderId="4" xfId="0" applyNumberFormat="1" applyBorder="1" applyAlignment="1">
      <alignment/>
    </xf>
    <xf numFmtId="9" fontId="0" fillId="12" borderId="9" xfId="24" applyNumberFormat="1" applyFill="1" applyBorder="1" applyAlignment="1">
      <alignment/>
    </xf>
    <xf numFmtId="0" fontId="0" fillId="0" borderId="4" xfId="0" applyBorder="1" applyAlignment="1">
      <alignment wrapText="1"/>
    </xf>
    <xf numFmtId="0" fontId="0" fillId="0" borderId="9" xfId="0" applyBorder="1" applyAlignment="1">
      <alignment/>
    </xf>
    <xf numFmtId="2" fontId="0" fillId="0" borderId="32" xfId="0" applyNumberFormat="1" applyBorder="1" applyAlignment="1">
      <alignment/>
    </xf>
    <xf numFmtId="165" fontId="11" fillId="0" borderId="0" xfId="0" applyNumberFormat="1" applyFont="1" applyAlignment="1">
      <alignment/>
    </xf>
    <xf numFmtId="0" fontId="0" fillId="0" borderId="3" xfId="0" applyBorder="1" applyAlignment="1">
      <alignment wrapText="1"/>
    </xf>
    <xf numFmtId="2" fontId="0" fillId="0" borderId="33" xfId="0" applyNumberFormat="1" applyBorder="1" applyAlignment="1">
      <alignment/>
    </xf>
    <xf numFmtId="2" fontId="0" fillId="0" borderId="26" xfId="0" applyNumberFormat="1" applyBorder="1" applyAlignment="1">
      <alignment/>
    </xf>
    <xf numFmtId="0" fontId="17" fillId="9" borderId="12" xfId="0" applyFont="1" applyFill="1" applyBorder="1" applyAlignment="1">
      <alignment/>
    </xf>
    <xf numFmtId="0" fontId="17" fillId="9" borderId="9" xfId="0" applyFont="1" applyFill="1" applyBorder="1" applyAlignment="1">
      <alignment/>
    </xf>
    <xf numFmtId="0" fontId="0" fillId="0" borderId="33" xfId="0" applyBorder="1" applyAlignment="1">
      <alignment/>
    </xf>
    <xf numFmtId="0" fontId="0" fillId="0" borderId="26" xfId="0" applyBorder="1" applyAlignment="1">
      <alignment/>
    </xf>
    <xf numFmtId="0" fontId="0" fillId="0" borderId="23" xfId="0" applyBorder="1" applyAlignment="1">
      <alignment/>
    </xf>
    <xf numFmtId="3" fontId="0" fillId="0" borderId="30" xfId="0" applyNumberFormat="1" applyBorder="1" applyAlignment="1">
      <alignment/>
    </xf>
    <xf numFmtId="0" fontId="17" fillId="9" borderId="6" xfId="0" applyFont="1" applyFill="1" applyBorder="1" applyAlignment="1">
      <alignment/>
    </xf>
    <xf numFmtId="0" fontId="17" fillId="9" borderId="22" xfId="0" applyFont="1" applyFill="1" applyBorder="1" applyAlignment="1">
      <alignment/>
    </xf>
    <xf numFmtId="0" fontId="17" fillId="9" borderId="35" xfId="0" applyFont="1" applyFill="1" applyBorder="1" applyAlignment="1">
      <alignment/>
    </xf>
    <xf numFmtId="0" fontId="17" fillId="9" borderId="37"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2" fontId="0" fillId="0" borderId="4" xfId="0" applyNumberFormat="1" applyBorder="1" applyAlignment="1">
      <alignment/>
    </xf>
    <xf numFmtId="2" fontId="17" fillId="0" borderId="3" xfId="0" applyNumberFormat="1" applyFont="1" applyBorder="1" applyAlignment="1">
      <alignment/>
    </xf>
    <xf numFmtId="2" fontId="0" fillId="0" borderId="3" xfId="0" applyNumberFormat="1" applyFont="1" applyBorder="1" applyAlignment="1">
      <alignment/>
    </xf>
    <xf numFmtId="0" fontId="17" fillId="9" borderId="40" xfId="0" applyFont="1" applyFill="1" applyBorder="1" applyAlignment="1">
      <alignment/>
    </xf>
    <xf numFmtId="2" fontId="17" fillId="0" borderId="15" xfId="0" applyNumberFormat="1" applyFont="1" applyBorder="1" applyAlignment="1">
      <alignment/>
    </xf>
    <xf numFmtId="0" fontId="0" fillId="0" borderId="15" xfId="0" applyFont="1" applyBorder="1" applyAlignment="1">
      <alignment/>
    </xf>
    <xf numFmtId="0" fontId="17" fillId="9" borderId="7" xfId="0" applyFont="1" applyFill="1" applyBorder="1" applyAlignment="1">
      <alignment/>
    </xf>
    <xf numFmtId="164" fontId="0" fillId="0" borderId="0" xfId="24" applyNumberFormat="1" applyAlignment="1">
      <alignment/>
    </xf>
    <xf numFmtId="169" fontId="0" fillId="0" borderId="0" xfId="15" applyNumberFormat="1" applyAlignment="1">
      <alignment/>
    </xf>
    <xf numFmtId="0" fontId="0" fillId="0" borderId="3" xfId="0" applyFont="1" applyFill="1" applyBorder="1" applyAlignment="1">
      <alignment/>
    </xf>
    <xf numFmtId="3" fontId="0" fillId="0" borderId="3" xfId="0" applyNumberFormat="1" applyBorder="1" applyAlignment="1">
      <alignment/>
    </xf>
    <xf numFmtId="9" fontId="0" fillId="0" borderId="3" xfId="24" applyBorder="1" applyAlignment="1">
      <alignment/>
    </xf>
    <xf numFmtId="169" fontId="0" fillId="0" borderId="3" xfId="0" applyNumberFormat="1" applyBorder="1" applyAlignment="1">
      <alignment/>
    </xf>
    <xf numFmtId="0" fontId="18" fillId="9" borderId="7" xfId="0" applyFont="1" applyFill="1" applyBorder="1" applyAlignment="1">
      <alignment horizontal="center" wrapText="1"/>
    </xf>
    <xf numFmtId="0" fontId="18" fillId="9" borderId="5" xfId="0" applyFont="1" applyFill="1" applyBorder="1" applyAlignment="1">
      <alignment horizontal="center" wrapText="1"/>
    </xf>
    <xf numFmtId="0" fontId="18" fillId="9" borderId="6" xfId="0" applyFont="1" applyFill="1" applyBorder="1" applyAlignment="1">
      <alignment horizontal="center" wrapText="1"/>
    </xf>
    <xf numFmtId="0" fontId="18" fillId="9" borderId="41" xfId="0" applyFont="1" applyFill="1" applyBorder="1" applyAlignment="1">
      <alignment horizontal="center" wrapText="1"/>
    </xf>
    <xf numFmtId="0" fontId="18" fillId="9" borderId="13" xfId="0" applyFont="1" applyFill="1" applyBorder="1" applyAlignment="1">
      <alignment horizontal="center" wrapText="1"/>
    </xf>
    <xf numFmtId="0" fontId="0" fillId="2" borderId="17" xfId="19" applyFont="1" applyBorder="1" applyAlignment="1">
      <alignment horizontal="left" vertical="center" wrapText="1"/>
      <protection/>
    </xf>
    <xf numFmtId="0" fontId="0" fillId="2" borderId="18" xfId="19" applyFont="1" applyBorder="1" applyAlignment="1">
      <alignment horizontal="left" vertical="center" wrapText="1"/>
      <protection/>
    </xf>
    <xf numFmtId="0" fontId="0" fillId="2" borderId="8" xfId="19" applyFont="1" applyBorder="1" applyAlignment="1">
      <alignment horizontal="left" vertical="center" wrapText="1"/>
      <protection/>
    </xf>
    <xf numFmtId="0" fontId="0" fillId="0" borderId="19" xfId="0" applyBorder="1" applyAlignment="1">
      <alignment horizontal="left" wrapText="1"/>
    </xf>
    <xf numFmtId="0" fontId="0" fillId="0" borderId="21" xfId="0" applyBorder="1" applyAlignment="1">
      <alignment/>
    </xf>
    <xf numFmtId="0" fontId="0" fillId="0" borderId="14" xfId="0" applyBorder="1" applyAlignment="1">
      <alignment/>
    </xf>
    <xf numFmtId="0" fontId="0" fillId="0" borderId="3" xfId="0" applyBorder="1" applyAlignment="1">
      <alignment horizontal="left" wrapText="1"/>
    </xf>
    <xf numFmtId="0" fontId="0" fillId="0" borderId="3" xfId="0" applyBorder="1" applyAlignment="1">
      <alignment/>
    </xf>
    <xf numFmtId="0" fontId="17" fillId="0" borderId="1" xfId="0" applyFont="1" applyBorder="1" applyAlignment="1">
      <alignment horizontal="left" wrapText="1"/>
    </xf>
    <xf numFmtId="0" fontId="17" fillId="0" borderId="42" xfId="0" applyFont="1" applyBorder="1" applyAlignment="1">
      <alignment/>
    </xf>
    <xf numFmtId="0" fontId="17" fillId="0" borderId="2" xfId="0" applyFont="1" applyBorder="1" applyAlignment="1">
      <alignment/>
    </xf>
    <xf numFmtId="0" fontId="0" fillId="0" borderId="1" xfId="0" applyBorder="1" applyAlignment="1">
      <alignment horizontal="left" wrapText="1"/>
    </xf>
    <xf numFmtId="0" fontId="0" fillId="0" borderId="42" xfId="0" applyBorder="1" applyAlignment="1">
      <alignment/>
    </xf>
    <xf numFmtId="0" fontId="0" fillId="0" borderId="2" xfId="0" applyBorder="1" applyAlignment="1">
      <alignment/>
    </xf>
    <xf numFmtId="0" fontId="0" fillId="0" borderId="43" xfId="0" applyBorder="1" applyAlignment="1">
      <alignment horizontal="left" wrapText="1"/>
    </xf>
    <xf numFmtId="0" fontId="0" fillId="0" borderId="0" xfId="0" applyAlignment="1">
      <alignment/>
    </xf>
    <xf numFmtId="0" fontId="0" fillId="0" borderId="20" xfId="0" applyBorder="1" applyAlignment="1">
      <alignment/>
    </xf>
  </cellXfs>
  <cellStyles count="11">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GeoHP"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'DHW - Summer Day Profile'!$B$5</c:f>
              <c:strCache>
                <c:ptCount val="1"/>
                <c:pt idx="0">
                  <c:v>WEEKDAY (KW/HR)</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'DHW - Summer Day Profile'!$B$6:$B$29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0"/>
          <c:order val="1"/>
          <c:tx>
            <c:strRef>
              <c:f>'DHW - Summer Day Profile'!$C$5</c:f>
              <c:strCache>
                <c:ptCount val="1"/>
                <c:pt idx="0">
                  <c:v>WEEKEND (KW/HR)</c:v>
                </c:pt>
              </c:strCache>
            </c:strRef>
          </c:tx>
          <c:extLst>
            <c:ext xmlns:c14="http://schemas.microsoft.com/office/drawing/2007/8/2/chart" uri="{6F2FDCE9-48DA-4B69-8628-5D25D57E5C99}">
              <c14:invertSolidFillFmt>
                <c14:spPr>
                  <a:solidFill>
                    <a:srgbClr val="000000"/>
                  </a:solidFill>
                </c14:spPr>
              </c14:invertSolidFillFmt>
            </c:ext>
          </c:extLst>
          <c:val>
            <c:numRef>
              <c:f>'DHW - Summer Day Profile'!$C$6:$C$29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Summer Day Profile'!$D$5</c:f>
              <c:strCache>
                <c:ptCount val="1"/>
                <c:pt idx="0">
                  <c:v>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Summer Day Profile'!$D$6:$D$29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42744314"/>
        <c:axId val="49154507"/>
      </c:lineChart>
      <c:catAx>
        <c:axId val="42744314"/>
        <c:scaling>
          <c:orientation val="minMax"/>
        </c:scaling>
        <c:axPos val="b"/>
        <c:delete val="0"/>
        <c:numFmt formatCode="General" sourceLinked="1"/>
        <c:majorTickMark val="out"/>
        <c:minorTickMark val="none"/>
        <c:tickLblPos val="nextTo"/>
        <c:crossAx val="49154507"/>
        <c:crosses val="autoZero"/>
        <c:auto val="1"/>
        <c:lblOffset val="100"/>
        <c:noMultiLvlLbl val="0"/>
      </c:catAx>
      <c:valAx>
        <c:axId val="49154507"/>
        <c:scaling>
          <c:orientation val="minMax"/>
        </c:scaling>
        <c:axPos val="l"/>
        <c:majorGridlines/>
        <c:delete val="0"/>
        <c:numFmt formatCode="General" sourceLinked="1"/>
        <c:majorTickMark val="out"/>
        <c:minorTickMark val="none"/>
        <c:tickLblPos val="nextTo"/>
        <c:crossAx val="4274431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'DHW - Winter Day Load Profile'!$B$5</c:f>
              <c:strCache>
                <c:ptCount val="1"/>
                <c:pt idx="0">
                  <c:v>WEEKDAY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'DHW - Winter Day Load Profile'!$C$5</c:f>
              <c:strCache>
                <c:ptCount val="1"/>
                <c:pt idx="0">
                  <c:v>WEEKEND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Winter Day Load Profile'!$D$5</c:f>
              <c:strCache>
                <c:ptCount val="1"/>
                <c:pt idx="0">
                  <c:v>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'DHW - Winter Day Load Profile'!$E$5</c:f>
              <c:strCache>
                <c:ptCount val="1"/>
                <c:pt idx="0">
                  <c:v>EXTREME PEAKDAY (KW/HR)</c:v>
                </c:pt>
              </c:strCache>
            </c:strRef>
          </c:tx>
          <c:extLst>
            <c:ext xmlns:c14="http://schemas.microsoft.com/office/drawing/2007/8/2/chart" uri="{6F2FDCE9-48DA-4B69-8628-5D25D57E5C99}">
              <c14:invertSolidFillFmt>
                <c14:spPr>
                  <a:solidFill>
                    <a:srgbClr val="000000"/>
                  </a:solidFill>
                </c14:spPr>
              </c14:invertSolidFillFmt>
            </c:ext>
          </c:extLst>
          <c:val>
            <c:numRef>
              <c:f>'DHW - Winter Day Load Profile'!$E$6:$E$29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39737380"/>
        <c:axId val="22092101"/>
      </c:lineChart>
      <c:catAx>
        <c:axId val="39737380"/>
        <c:scaling>
          <c:orientation val="minMax"/>
        </c:scaling>
        <c:axPos val="b"/>
        <c:delete val="0"/>
        <c:numFmt formatCode="General" sourceLinked="1"/>
        <c:majorTickMark val="out"/>
        <c:minorTickMark val="none"/>
        <c:tickLblPos val="nextTo"/>
        <c:crossAx val="22092101"/>
        <c:crosses val="autoZero"/>
        <c:auto val="1"/>
        <c:lblOffset val="100"/>
        <c:noMultiLvlLbl val="0"/>
      </c:catAx>
      <c:valAx>
        <c:axId val="22092101"/>
        <c:scaling>
          <c:orientation val="minMax"/>
        </c:scaling>
        <c:axPos val="l"/>
        <c:majorGridlines/>
        <c:delete val="0"/>
        <c:numFmt formatCode="General" sourceLinked="1"/>
        <c:majorTickMark val="out"/>
        <c:minorTickMark val="none"/>
        <c:tickLblPos val="nextTo"/>
        <c:crossAx val="3973738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Hourly Water Heating Demand for Typical Summer and Winter Days</a:t>
            </a:r>
          </a:p>
        </c:rich>
      </c:tx>
      <c:layout/>
      <c:spPr>
        <a:noFill/>
        <a:ln>
          <a:noFill/>
        </a:ln>
      </c:spPr>
    </c:title>
    <c:plotArea>
      <c:layout/>
      <c:lineChart>
        <c:grouping val="standard"/>
        <c:varyColors val="0"/>
        <c:ser>
          <c:idx val="0"/>
          <c:order val="0"/>
          <c:tx>
            <c:strRef>
              <c:f>'DHW - Daily Load Profiles'!$B$5</c:f>
              <c:strCache>
                <c:ptCount val="1"/>
                <c:pt idx="0">
                  <c:v>Winter WEEKDAY (KW/HR)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'DHW - Daily Load Profiles'!$B$6:$B$29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'DHW - Daily Load Profiles'!$C$5</c:f>
              <c:strCache>
                <c:ptCount val="1"/>
                <c:pt idx="0">
                  <c:v>Winter WEEKEND (KW/HR)</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'DHW - Daily Load Profiles'!$C$6:$C$29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tx>
            <c:strRef>
              <c:f>'DHW - Daily Load Profiles'!$D$5</c:f>
              <c:strCache>
                <c:ptCount val="1"/>
                <c:pt idx="0">
                  <c:v>Summer WEEKDAY (KW/HR)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'DHW - Daily Load Profiles'!$D$6:$D$29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tx>
            <c:strRef>
              <c:f>'DHW - Daily Load Profiles'!$E$5</c:f>
              <c:strCache>
                <c:ptCount val="1"/>
                <c:pt idx="0">
                  <c:v>Summer WEEKEND (KW/HR)</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FF"/>
              </a:solidFill>
              <a:ln>
                <a:solidFill>
                  <a:srgbClr val="00FFFF"/>
                </a:solidFill>
              </a:ln>
            </c:spPr>
          </c:marker>
          <c:val>
            <c:numRef>
              <c:f>'DHW - Daily Load Profiles'!$E$6:$E$29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64611182"/>
        <c:axId val="44629727"/>
      </c:lineChart>
      <c:catAx>
        <c:axId val="64611182"/>
        <c:scaling>
          <c:orientation val="minMax"/>
        </c:scaling>
        <c:axPos val="b"/>
        <c:title>
          <c:tx>
            <c:rich>
              <a:bodyPr vert="horz" rot="0" anchor="ctr"/>
              <a:lstStyle/>
              <a:p>
                <a:pPr algn="ctr">
                  <a:defRPr/>
                </a:pPr>
                <a:r>
                  <a:rPr lang="en-US" cap="none" sz="1100" b="1" i="0" u="none" baseline="0">
                    <a:latin typeface="Arial"/>
                    <a:ea typeface="Arial"/>
                    <a:cs typeface="Arial"/>
                  </a:rPr>
                  <a:t>Hour of Day</a:t>
                </a:r>
              </a:p>
            </c:rich>
          </c:tx>
          <c:layout/>
          <c:overlay val="0"/>
          <c:spPr>
            <a:noFill/>
            <a:ln>
              <a:noFill/>
            </a:ln>
          </c:spPr>
        </c:title>
        <c:delete val="0"/>
        <c:numFmt formatCode="General" sourceLinked="1"/>
        <c:majorTickMark val="out"/>
        <c:minorTickMark val="none"/>
        <c:tickLblPos val="nextTo"/>
        <c:crossAx val="44629727"/>
        <c:crosses val="autoZero"/>
        <c:auto val="1"/>
        <c:lblOffset val="100"/>
        <c:noMultiLvlLbl val="0"/>
      </c:catAx>
      <c:valAx>
        <c:axId val="44629727"/>
        <c:scaling>
          <c:orientation val="minMax"/>
        </c:scaling>
        <c:axPos val="l"/>
        <c:title>
          <c:tx>
            <c:rich>
              <a:bodyPr vert="horz" rot="-5400000" anchor="ctr"/>
              <a:lstStyle/>
              <a:p>
                <a:pPr algn="ctr">
                  <a:defRPr/>
                </a:pPr>
                <a:r>
                  <a:rPr lang="en-US" cap="none" sz="1100" b="1" i="0" u="none" baseline="0">
                    <a:latin typeface="Arial"/>
                    <a:ea typeface="Arial"/>
                    <a:cs typeface="Arial"/>
                  </a:rPr>
                  <a:t>Demand (KW)</a:t>
                </a:r>
              </a:p>
            </c:rich>
          </c:tx>
          <c:layout/>
          <c:overlay val="0"/>
          <c:spPr>
            <a:noFill/>
            <a:ln>
              <a:noFill/>
            </a:ln>
          </c:spPr>
        </c:title>
        <c:majorGridlines/>
        <c:delete val="0"/>
        <c:numFmt formatCode="General" sourceLinked="1"/>
        <c:majorTickMark val="out"/>
        <c:minorTickMark val="none"/>
        <c:tickLblPos val="nextTo"/>
        <c:crossAx val="64611182"/>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Monthly Load Profile for Domestic Water Heating</a:t>
            </a:r>
          </a:p>
        </c:rich>
      </c:tx>
      <c:layout/>
      <c:spPr>
        <a:noFill/>
        <a:ln>
          <a:noFill/>
        </a:ln>
      </c:spPr>
    </c:title>
    <c:plotArea>
      <c:layout/>
      <c:lineChart>
        <c:grouping val="standard"/>
        <c:varyColors val="0"/>
        <c:ser>
          <c:idx val="0"/>
          <c:order val="0"/>
          <c:tx>
            <c:strRef>
              <c:f>'DHW - Monthly Load Profile'!$B$5</c:f>
              <c:strCache>
                <c:ptCount val="1"/>
                <c:pt idx="0">
                  <c:v>WEEKDAY (KW/HR)</c:v>
                </c:pt>
              </c:strCache>
            </c:strRef>
          </c:tx>
          <c:extLst>
            <c:ext xmlns:c14="http://schemas.microsoft.com/office/drawing/2007/8/2/chart" uri="{6F2FDCE9-48DA-4B69-8628-5D25D57E5C99}">
              <c14:invertSolidFillFmt>
                <c14:spPr>
                  <a:solidFill>
                    <a:srgbClr val="000000"/>
                  </a:solidFill>
                </c14:spPr>
              </c14:invertSolidFillFmt>
            </c:ext>
          </c:extLst>
          <c:cat>
            <c:strRef>
              <c:f>'DHW - Monthly Load Profile'!$A$6:$A$17</c:f>
              <c:strCache/>
            </c:strRef>
          </c:cat>
          <c:val>
            <c:numRef>
              <c:f>'DHW - Monthly Load Profile'!$B$6:$B$17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'DHW - Monthly Load Profile'!$C$5</c:f>
              <c:strCache>
                <c:ptCount val="1"/>
                <c:pt idx="0">
                  <c:v>WEEKEND (KW/HR)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'DHW - Monthly Load Profile'!$A$6:$A$17</c:f>
              <c:strCache/>
            </c:strRef>
          </c:cat>
          <c:val>
            <c:numRef>
              <c:f>'DHW - Monthly Load Profile'!$C$6:$C$17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6123224"/>
        <c:axId val="58238105"/>
      </c:lineChart>
      <c:catAx>
        <c:axId val="66123224"/>
        <c:scaling>
          <c:orientation val="minMax"/>
        </c:scaling>
        <c:axPos val="b"/>
        <c:title>
          <c:tx>
            <c:rich>
              <a:bodyPr vert="horz" rot="0" anchor="ctr"/>
              <a:lstStyle/>
              <a:p>
                <a:pPr algn="ctr">
                  <a:defRPr/>
                </a:pPr>
                <a:r>
                  <a:rPr lang="en-US" cap="none" sz="105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crossAx val="58238105"/>
        <c:crosses val="autoZero"/>
        <c:auto val="1"/>
        <c:lblOffset val="100"/>
        <c:noMultiLvlLbl val="0"/>
      </c:catAx>
      <c:valAx>
        <c:axId val="58238105"/>
        <c:scaling>
          <c:orientation val="minMax"/>
        </c:scaling>
        <c:axPos val="l"/>
        <c:title>
          <c:tx>
            <c:rich>
              <a:bodyPr vert="horz" rot="-5400000" anchor="ctr"/>
              <a:lstStyle/>
              <a:p>
                <a:pPr algn="ctr">
                  <a:defRPr/>
                </a:pPr>
                <a:r>
                  <a:rPr lang="en-US" cap="none" sz="1050" b="1" i="0" u="none" baseline="0">
                    <a:latin typeface="Arial"/>
                    <a:ea typeface="Arial"/>
                    <a:cs typeface="Arial"/>
                  </a:rPr>
                  <a:t>KW/HR</a:t>
                </a:r>
              </a:p>
            </c:rich>
          </c:tx>
          <c:layout/>
          <c:overlay val="0"/>
          <c:spPr>
            <a:noFill/>
            <a:ln>
              <a:noFill/>
            </a:ln>
          </c:spPr>
        </c:title>
        <c:majorGridlines/>
        <c:delete val="0"/>
        <c:numFmt formatCode="General" sourceLinked="1"/>
        <c:majorTickMark val="out"/>
        <c:minorTickMark val="none"/>
        <c:tickLblPos val="nextTo"/>
        <c:crossAx val="6612322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4.emf" /><Relationship Id="rId6" Type="http://schemas.openxmlformats.org/officeDocument/2006/relationships/image" Target="../media/image12.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11.emf" /><Relationship Id="rId12" Type="http://schemas.openxmlformats.org/officeDocument/2006/relationships/image" Target="../media/image7.emf" /><Relationship Id="rId1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4</xdr:row>
      <xdr:rowOff>28575</xdr:rowOff>
    </xdr:from>
    <xdr:to>
      <xdr:col>14</xdr:col>
      <xdr:colOff>190500</xdr:colOff>
      <xdr:row>31</xdr:row>
      <xdr:rowOff>104775</xdr:rowOff>
    </xdr:to>
    <xdr:graphicFrame>
      <xdr:nvGraphicFramePr>
        <xdr:cNvPr id="1" name="Chart 1"/>
        <xdr:cNvGraphicFramePr/>
      </xdr:nvGraphicFramePr>
      <xdr:xfrm>
        <a:off x="3171825" y="676275"/>
        <a:ext cx="5743575" cy="4772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xdr:row>
      <xdr:rowOff>9525</xdr:rowOff>
    </xdr:from>
    <xdr:to>
      <xdr:col>13</xdr:col>
      <xdr:colOff>485775</xdr:colOff>
      <xdr:row>32</xdr:row>
      <xdr:rowOff>76200</xdr:rowOff>
    </xdr:to>
    <xdr:graphicFrame>
      <xdr:nvGraphicFramePr>
        <xdr:cNvPr id="1" name="Chart 1"/>
        <xdr:cNvGraphicFramePr/>
      </xdr:nvGraphicFramePr>
      <xdr:xfrm>
        <a:off x="3457575" y="657225"/>
        <a:ext cx="5181600" cy="5086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xdr:row>
      <xdr:rowOff>9525</xdr:rowOff>
    </xdr:from>
    <xdr:to>
      <xdr:col>13</xdr:col>
      <xdr:colOff>485775</xdr:colOff>
      <xdr:row>32</xdr:row>
      <xdr:rowOff>76200</xdr:rowOff>
    </xdr:to>
    <xdr:graphicFrame>
      <xdr:nvGraphicFramePr>
        <xdr:cNvPr id="1" name="Chart 1"/>
        <xdr:cNvGraphicFramePr/>
      </xdr:nvGraphicFramePr>
      <xdr:xfrm>
        <a:off x="4038600" y="657225"/>
        <a:ext cx="5181600" cy="4924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4</xdr:row>
      <xdr:rowOff>66675</xdr:rowOff>
    </xdr:from>
    <xdr:to>
      <xdr:col>13</xdr:col>
      <xdr:colOff>466725</xdr:colOff>
      <xdr:row>27</xdr:row>
      <xdr:rowOff>9525</xdr:rowOff>
    </xdr:to>
    <xdr:graphicFrame>
      <xdr:nvGraphicFramePr>
        <xdr:cNvPr id="1" name="Chart 1"/>
        <xdr:cNvGraphicFramePr/>
      </xdr:nvGraphicFramePr>
      <xdr:xfrm>
        <a:off x="3190875" y="714375"/>
        <a:ext cx="4886325" cy="3829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ew%20Plan\Residential%20Resource%20Assessment\PNWResCharacterics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12">
          <cell r="F12">
            <v>0.30437009175225693</v>
          </cell>
          <cell r="G12">
            <v>0.3026173121835001</v>
          </cell>
        </row>
        <row r="13">
          <cell r="F13">
            <v>0.1118196973695496</v>
          </cell>
          <cell r="G13">
            <v>0.20077927607981252</v>
          </cell>
        </row>
        <row r="14">
          <cell r="F14">
            <v>0.5838102108781936</v>
          </cell>
          <cell r="G14">
            <v>0.4966034117366874</v>
          </cell>
        </row>
        <row r="18">
          <cell r="E18">
            <v>0.2724596827796487</v>
          </cell>
          <cell r="H18">
            <v>0.39716767160370814</v>
          </cell>
        </row>
        <row r="22">
          <cell r="E22">
            <v>0.6380307253225604</v>
          </cell>
        </row>
      </sheetData>
      <sheetData sheetId="2">
        <row r="2">
          <cell r="E2">
            <v>4796054</v>
          </cell>
        </row>
        <row r="5">
          <cell r="D5">
            <v>7095.331164383561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Home Characteristics"/>
      <sheetName val="PNW Existing Characteristics"/>
      <sheetName val="Idaho Characteristics"/>
      <sheetName val="Montana Characteristics"/>
      <sheetName val="Oregon Characteristics"/>
      <sheetName val="Washington Characteristics"/>
      <sheetName val="MDUResApplianceSat"/>
      <sheetName val="NorthWesternResApplianceSat"/>
      <sheetName val="AvistaResApplianceSat"/>
      <sheetName val="IPCResApplianceSat"/>
      <sheetName val="PacfiCorpResApplianceSat-ID"/>
      <sheetName val="PGEResApplianceSat"/>
      <sheetName val="PacfiCorpResApplianceSat-OR"/>
      <sheetName val="PacfiCorpResApplianceSat-CA"/>
      <sheetName val="PacfiCorpResApplianceSat-WA"/>
      <sheetName val="SCL Characteristics"/>
      <sheetName val="PSEResApplianceSat"/>
      <sheetName val=" Existing SphtSysType PNRES"/>
    </sheetNames>
    <sheetDataSet>
      <sheetData sheetId="1">
        <row r="20">
          <cell r="F20">
            <v>0.419631940634978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2:AL6"/>
  <sheetViews>
    <sheetView tabSelected="1" workbookViewId="0" topLeftCell="A1">
      <selection activeCell="A1" sqref="A1"/>
    </sheetView>
  </sheetViews>
  <sheetFormatPr defaultColWidth="9.140625" defaultRowHeight="12.75"/>
  <cols>
    <col min="1" max="1" width="31.28125" style="0" customWidth="1"/>
    <col min="2" max="2" width="20.421875" style="0" customWidth="1"/>
    <col min="3" max="3" width="14.140625" style="0" customWidth="1"/>
    <col min="4" max="4" width="10.8515625" style="0" customWidth="1"/>
    <col min="5" max="5" width="10.140625" style="0" customWidth="1"/>
    <col min="6" max="6" width="10.8515625" style="0" customWidth="1"/>
    <col min="7" max="7" width="13.4218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8515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8515625" style="0" customWidth="1"/>
  </cols>
  <sheetData>
    <row r="1" ht="13.5" thickBot="1"/>
    <row r="2" spans="1:36" s="64" customFormat="1" ht="33" customHeight="1" thickBot="1">
      <c r="A2" s="280" t="s">
        <v>111</v>
      </c>
      <c r="B2" s="281"/>
      <c r="C2" s="281"/>
      <c r="D2" s="281"/>
      <c r="E2" s="281"/>
      <c r="F2" s="281"/>
      <c r="G2" s="281"/>
      <c r="H2" s="281"/>
      <c r="I2" s="281"/>
      <c r="J2" s="281"/>
      <c r="K2" s="281"/>
      <c r="L2" s="281"/>
      <c r="M2" s="281"/>
      <c r="N2" s="281"/>
      <c r="O2" s="281"/>
      <c r="P2" s="281"/>
      <c r="Q2" s="281"/>
      <c r="R2" s="281"/>
      <c r="S2" s="281"/>
      <c r="T2" s="281"/>
      <c r="U2" s="281"/>
      <c r="V2" s="281"/>
      <c r="W2" s="282"/>
      <c r="X2" s="280" t="s">
        <v>112</v>
      </c>
      <c r="Y2" s="281"/>
      <c r="Z2" s="282"/>
      <c r="AA2" s="281" t="s">
        <v>113</v>
      </c>
      <c r="AB2" s="281"/>
      <c r="AC2" s="281"/>
      <c r="AD2" s="284"/>
      <c r="AE2" s="283" t="s">
        <v>114</v>
      </c>
      <c r="AF2" s="281"/>
      <c r="AG2" s="281"/>
      <c r="AH2" s="284"/>
      <c r="AI2" s="62"/>
      <c r="AJ2" s="63"/>
    </row>
    <row r="3" spans="1:38" s="68" customFormat="1" ht="79.5" thickBot="1">
      <c r="A3" s="65" t="s">
        <v>115</v>
      </c>
      <c r="B3" s="66" t="s">
        <v>116</v>
      </c>
      <c r="C3" s="66" t="s">
        <v>117</v>
      </c>
      <c r="D3" s="66" t="s">
        <v>118</v>
      </c>
      <c r="E3" s="66" t="s">
        <v>151</v>
      </c>
      <c r="F3" s="66" t="s">
        <v>152</v>
      </c>
      <c r="G3" s="66" t="s">
        <v>153</v>
      </c>
      <c r="H3" s="66" t="s">
        <v>119</v>
      </c>
      <c r="I3" s="66" t="s">
        <v>154</v>
      </c>
      <c r="J3" s="66" t="s">
        <v>120</v>
      </c>
      <c r="K3" s="66" t="s">
        <v>121</v>
      </c>
      <c r="L3" s="66" t="s">
        <v>122</v>
      </c>
      <c r="M3" s="66" t="s">
        <v>123</v>
      </c>
      <c r="N3" s="66" t="s">
        <v>155</v>
      </c>
      <c r="O3" s="66" t="s">
        <v>124</v>
      </c>
      <c r="P3" s="66" t="s">
        <v>156</v>
      </c>
      <c r="Q3" s="66" t="s">
        <v>125</v>
      </c>
      <c r="R3" s="66" t="s">
        <v>126</v>
      </c>
      <c r="S3" s="66" t="s">
        <v>133</v>
      </c>
      <c r="T3" s="66" t="s">
        <v>134</v>
      </c>
      <c r="U3" s="66" t="s">
        <v>135</v>
      </c>
      <c r="V3" s="66" t="s">
        <v>136</v>
      </c>
      <c r="W3" s="66" t="s">
        <v>137</v>
      </c>
      <c r="X3" s="65" t="s">
        <v>138</v>
      </c>
      <c r="Y3" s="65" t="s">
        <v>139</v>
      </c>
      <c r="Z3" s="66" t="s">
        <v>140</v>
      </c>
      <c r="AA3" s="66" t="s">
        <v>141</v>
      </c>
      <c r="AB3" s="66" t="s">
        <v>142</v>
      </c>
      <c r="AC3" s="66" t="s">
        <v>143</v>
      </c>
      <c r="AD3" s="66" t="s">
        <v>144</v>
      </c>
      <c r="AE3" s="66" t="s">
        <v>145</v>
      </c>
      <c r="AF3" s="66" t="s">
        <v>146</v>
      </c>
      <c r="AG3" s="66" t="s">
        <v>147</v>
      </c>
      <c r="AH3" s="67" t="s">
        <v>137</v>
      </c>
      <c r="AI3" s="82" t="s">
        <v>148</v>
      </c>
      <c r="AJ3" s="82" t="s">
        <v>149</v>
      </c>
      <c r="AK3" s="82" t="s">
        <v>61</v>
      </c>
      <c r="AL3" s="64"/>
    </row>
    <row r="4" spans="1:37" ht="67.5">
      <c r="A4" s="76" t="str">
        <f>ResDHW!B21</f>
        <v>EF- 0.93 Domestic Water Heater w/50 gallon rated capacity and minimum 10 year warranty</v>
      </c>
      <c r="B4" s="69" t="str">
        <f>VLOOKUP($A4,'Lookup Table'!$A$4:$D$6,2,0)</f>
        <v>Manufacturer, Dealer or Consumer Rebate. Water heaters must be warranted for parts and labor for the minimum period specified. </v>
      </c>
      <c r="C4" s="69" t="str">
        <f>VLOOKUP($A4,'Lookup Table'!$A$4:$D$6,3,0)</f>
        <v>Residence w/Electric Water Heat</v>
      </c>
      <c r="D4" s="69" t="str">
        <f>VLOOKUP($A4,'Lookup Table'!$A$4:$D$6,4,0)</f>
        <v>Regionwide</v>
      </c>
      <c r="E4" s="70">
        <f>ResDHW!E21</f>
        <v>20</v>
      </c>
      <c r="F4" s="70">
        <f>ResDHW!F21</f>
        <v>0</v>
      </c>
      <c r="G4" s="70">
        <f>ResDHW!G21</f>
        <v>0</v>
      </c>
      <c r="H4" s="71">
        <f>ResDHW!C21</f>
        <v>12</v>
      </c>
      <c r="I4" s="71" t="s">
        <v>161</v>
      </c>
      <c r="J4" s="83">
        <f>ResDHW!D21</f>
        <v>112.03941987477577</v>
      </c>
      <c r="K4" s="83">
        <f>ResDHW!K21</f>
        <v>120.58242564022741</v>
      </c>
      <c r="L4" s="73">
        <f>ResDHW!J21</f>
        <v>0.31700000166893005</v>
      </c>
      <c r="M4" s="78">
        <f>ResDHW!L21</f>
        <v>0.015257140342783363</v>
      </c>
      <c r="N4" s="77">
        <f>ResDHW!N21/ResDHW!$K21</f>
        <v>0.23505172619469358</v>
      </c>
      <c r="O4" s="77">
        <f>ResDHW!O21/ResDHW!$K21</f>
        <v>0</v>
      </c>
      <c r="P4" s="77">
        <f>ResDHW!P21/ResDHW!$K21</f>
        <v>0</v>
      </c>
      <c r="Q4" s="77">
        <f>ResDHW!Q21/ResDHW!$K21</f>
        <v>0.23505172559785711</v>
      </c>
      <c r="R4" s="72">
        <f>ResDHW!S21/ResDHW!K21</f>
        <v>0.4005587301937897</v>
      </c>
      <c r="S4" s="72">
        <f>ResDHW!T21/ResDHW!$K21</f>
        <v>0.004832386191317521</v>
      </c>
      <c r="T4" s="72">
        <f>ResDHW!U21/ResDHW!$K21</f>
        <v>0.05021910517389822</v>
      </c>
      <c r="U4" s="72">
        <f>ResDHW!V21/ResDHW!K21</f>
        <v>0.4553910915823733</v>
      </c>
      <c r="V4" s="72">
        <f>U4-Q4</f>
        <v>0.22033936598451617</v>
      </c>
      <c r="W4" s="73">
        <f>ResDHW!X21</f>
        <v>2.7456075360349854</v>
      </c>
      <c r="X4" s="73">
        <f>ResDHW!I21</f>
        <v>0.286</v>
      </c>
      <c r="Y4" s="78">
        <f>ResDHW!M21</f>
        <v>0.04812977835536003</v>
      </c>
      <c r="Z4" s="73">
        <f>ResDHW!Y21/ResDHW!K21</f>
        <v>0.10162745578591055</v>
      </c>
      <c r="AA4" s="72"/>
      <c r="AB4" s="79"/>
      <c r="AC4" s="72">
        <f>ResDHW!Z21/ResDHW!$K21</f>
        <v>0</v>
      </c>
      <c r="AD4" s="72">
        <f>ResDHW!AA21/ResDHW!$K21</f>
        <v>0</v>
      </c>
      <c r="AE4" s="72">
        <f>ResDHW!AC21/ResDHW!$K21</f>
        <v>0.23505172559785711</v>
      </c>
      <c r="AF4" s="72">
        <f>ResDHW!AB21/ResDHW!$K21</f>
        <v>0.5570185581201202</v>
      </c>
      <c r="AG4" s="72">
        <f>AF4-AE4</f>
        <v>0.3219668325222631</v>
      </c>
      <c r="AH4" s="73">
        <f>AF4/AE4</f>
        <v>2.3697701291208833</v>
      </c>
      <c r="AI4" s="85"/>
      <c r="AJ4" s="84" t="s">
        <v>162</v>
      </c>
      <c r="AK4" s="227">
        <f>VLOOKUP(A4,ResDHW!$B$21:$R$23,17,0)</f>
        <v>18.463422911727893</v>
      </c>
    </row>
    <row r="5" spans="1:37" ht="67.5">
      <c r="A5" s="76" t="str">
        <f>ResDHW!B22</f>
        <v>EF- 0.95 Domestic Water Heater w/50 gallon rated capacity and minimum 10 year warranty</v>
      </c>
      <c r="B5" s="69" t="str">
        <f>VLOOKUP($A5,'Lookup Table'!$A$4:$D$6,2,0)</f>
        <v>Manufacturer, Dealer or Consumer Rebate. Water heaters must be warranted for parts and labor for the minimum period specified. </v>
      </c>
      <c r="C5" s="69" t="str">
        <f>VLOOKUP($A5,'Lookup Table'!$A$4:$D$6,3,0)</f>
        <v>Residence w/Electric Water Heat</v>
      </c>
      <c r="D5" s="69" t="str">
        <f>VLOOKUP($A5,'Lookup Table'!$A$4:$D$6,4,0)</f>
        <v>Regionwide</v>
      </c>
      <c r="E5" s="70">
        <f>ResDHW!E22</f>
        <v>20</v>
      </c>
      <c r="F5" s="70">
        <f>ResDHW!F22</f>
        <v>0</v>
      </c>
      <c r="G5" s="70">
        <f>ResDHW!G22</f>
        <v>0</v>
      </c>
      <c r="H5" s="71">
        <f>ResDHW!C22</f>
        <v>12</v>
      </c>
      <c r="I5" s="71" t="s">
        <v>161</v>
      </c>
      <c r="J5" s="83">
        <f>ResDHW!D22</f>
        <v>70.761738868279</v>
      </c>
      <c r="K5" s="83">
        <f>ResDHW!K22</f>
        <v>76.15732145698527</v>
      </c>
      <c r="L5" s="73">
        <f>ResDHW!J22</f>
        <v>0.31700000166893005</v>
      </c>
      <c r="M5" s="78">
        <f>ResDHW!L22</f>
        <v>0.009636088637547328</v>
      </c>
      <c r="N5" s="77">
        <f>ResDHW!N22/ResDHW!$K22</f>
        <v>0.37216523314160044</v>
      </c>
      <c r="O5" s="77">
        <f>ResDHW!O22/ResDHW!$K22</f>
        <v>0</v>
      </c>
      <c r="P5" s="77">
        <f>ResDHW!P22/ResDHW!$K22</f>
        <v>0</v>
      </c>
      <c r="Q5" s="77">
        <f>ResDHW!Q22/ResDHW!$K22</f>
        <v>0.37216523219660935</v>
      </c>
      <c r="R5" s="72">
        <f>ResDHW!S22/ResDHW!K22</f>
        <v>0.40055873019378896</v>
      </c>
      <c r="S5" s="72">
        <f>ResDHW!T22/ResDHW!$K22</f>
        <v>0.004832386047144898</v>
      </c>
      <c r="T5" s="72">
        <f>ResDHW!U22/ResDHW!$K22</f>
        <v>0.05021910517389853</v>
      </c>
      <c r="U5" s="72">
        <f>ResDHW!V22/ResDHW!K22</f>
        <v>0.45539109158237284</v>
      </c>
      <c r="V5" s="72">
        <f>U5-Q5</f>
        <v>0.08322585938576349</v>
      </c>
      <c r="W5" s="73">
        <f>ResDHW!X22</f>
        <v>1.734067917495768</v>
      </c>
      <c r="X5" s="73">
        <f>ResDHW!I22</f>
        <v>0.286</v>
      </c>
      <c r="Y5" s="78">
        <f>ResDHW!M22</f>
        <v>0.030397756025195122</v>
      </c>
      <c r="Z5" s="73">
        <f>ResDHW!Y22/ResDHW!K22</f>
        <v>0.10162746501296088</v>
      </c>
      <c r="AA5" s="72"/>
      <c r="AB5" s="79"/>
      <c r="AC5" s="72">
        <f>ResDHW!Z22/ResDHW!$K22</f>
        <v>0</v>
      </c>
      <c r="AD5" s="72">
        <f>ResDHW!AA22/ResDHW!$K22</f>
        <v>0</v>
      </c>
      <c r="AE5" s="72">
        <f>ResDHW!AC22/ResDHW!$K22</f>
        <v>0.37216523219660935</v>
      </c>
      <c r="AF5" s="72">
        <f>ResDHW!AB22/ResDHW!$K22</f>
        <v>0.5570185343934244</v>
      </c>
      <c r="AG5" s="72">
        <f>AF5-AE5</f>
        <v>0.18485330219681506</v>
      </c>
      <c r="AH5" s="73">
        <f>AF5/AE5</f>
        <v>1.4966968599021626</v>
      </c>
      <c r="AI5" s="85"/>
      <c r="AJ5" s="84" t="s">
        <v>162</v>
      </c>
      <c r="AK5" s="227">
        <f>VLOOKUP(A5,ResDHW!$B$21:$R$23,17,0)</f>
        <v>29.233752943569343</v>
      </c>
    </row>
    <row r="6" spans="1:37" ht="33.75">
      <c r="A6" s="76" t="str">
        <f>ResDHW!B23</f>
        <v>EF- 2.3 Domestic Heat Pump Water Heater w/50 gallon rated capacity and minimum 20 year warranty</v>
      </c>
      <c r="B6" s="69" t="str">
        <f>VLOOKUP($A6,'Lookup Table'!$A$4:$D$6,2,0)</f>
        <v>Manufacturer, Dealer or Consumer Rebate. Water heaters must be warranted for parts and labor for the minimum period specified. </v>
      </c>
      <c r="C6" s="69" t="str">
        <f>VLOOKUP($A6,'Lookup Table'!$A$4:$D$6,3,0)</f>
        <v>Residence w/Electric Water Heat</v>
      </c>
      <c r="D6" s="69" t="str">
        <f>VLOOKUP($A6,'Lookup Table'!$A$4:$D$6,4,0)</f>
        <v>Regionwide</v>
      </c>
      <c r="E6" s="70">
        <f>ResDHW!E23</f>
        <v>717</v>
      </c>
      <c r="F6" s="70">
        <f>ResDHW!F23</f>
        <v>30</v>
      </c>
      <c r="G6" s="70">
        <f>ResDHW!G23</f>
        <v>0</v>
      </c>
      <c r="H6" s="71">
        <f>ResDHW!C23</f>
        <v>20</v>
      </c>
      <c r="I6" s="71" t="s">
        <v>161</v>
      </c>
      <c r="J6" s="83">
        <f>ResDHW!D23</f>
        <v>1931.333981502714</v>
      </c>
      <c r="K6" s="83">
        <f>ResDHW!K23</f>
        <v>2078.598197592296</v>
      </c>
      <c r="L6" s="73">
        <f>ResDHW!J23</f>
        <v>0.31700000166893005</v>
      </c>
      <c r="M6" s="78">
        <f>ResDHW!L23</f>
        <v>0.26300237574871194</v>
      </c>
      <c r="N6" s="77">
        <f>ResDHW!N23/ResDHW!$K23</f>
        <v>0.34494408482855277</v>
      </c>
      <c r="O6" s="77">
        <f>ResDHW!O23/ResDHW!$K23</f>
        <v>0.18373925028188726</v>
      </c>
      <c r="P6" s="77">
        <f>ResDHW!P23/ResDHW!$K23</f>
        <v>0</v>
      </c>
      <c r="Q6" s="77">
        <f>ResDHW!Q23/ResDHW!$K23</f>
        <v>0.5286833642783153</v>
      </c>
      <c r="R6" s="72">
        <f>ResDHW!S23/ResDHW!K23</f>
        <v>0.4005587301937894</v>
      </c>
      <c r="S6" s="72">
        <f>ResDHW!T23/ResDHW!$K23</f>
        <v>0.004832386102469698</v>
      </c>
      <c r="T6" s="72">
        <f>ResDHW!U23/ResDHW!$K23</f>
        <v>0.05021910340849067</v>
      </c>
      <c r="U6" s="72">
        <f>ResDHW!V23/ResDHW!K23</f>
        <v>0.45539108981696547</v>
      </c>
      <c r="V6" s="72">
        <f>U6-Q6</f>
        <v>-0.07329227446134984</v>
      </c>
      <c r="W6" s="73">
        <f>ResDHW!X23</f>
        <v>1.320188140183091</v>
      </c>
      <c r="X6" s="73">
        <f>ResDHW!I23</f>
        <v>0.286</v>
      </c>
      <c r="Y6" s="78">
        <f>ResDHW!M23</f>
        <v>0.8296604752540588</v>
      </c>
      <c r="Z6" s="73">
        <f>ResDHW!Y23/ResDHW!K23</f>
        <v>0.10162746991022069</v>
      </c>
      <c r="AA6" s="72"/>
      <c r="AB6" s="79"/>
      <c r="AC6" s="72">
        <f>ResDHW!Z23/ResDHW!$K23</f>
        <v>0</v>
      </c>
      <c r="AD6" s="72">
        <f>ResDHW!AA23/ResDHW!$K23</f>
        <v>0</v>
      </c>
      <c r="AE6" s="72">
        <f>ResDHW!AC23/ResDHW!$K23</f>
        <v>0.5286833642783153</v>
      </c>
      <c r="AF6" s="72">
        <f>ResDHW!AB23/ResDHW!$K23</f>
        <v>0.5570185475791201</v>
      </c>
      <c r="AG6" s="72">
        <f>AF6-AE6</f>
        <v>0.028335183300804756</v>
      </c>
      <c r="AH6" s="73">
        <f>AF6/AE6</f>
        <v>1.0535957535555975</v>
      </c>
      <c r="AI6" s="85"/>
      <c r="AJ6" s="84" t="s">
        <v>162</v>
      </c>
      <c r="AK6" s="227">
        <f>VLOOKUP(A6,ResDHW!$B$21:$R$23,17,0)</f>
        <v>41.52832364713786</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3:D6"/>
  <sheetViews>
    <sheetView workbookViewId="0" topLeftCell="A1">
      <selection activeCell="A5" sqref="A5"/>
    </sheetView>
  </sheetViews>
  <sheetFormatPr defaultColWidth="9.140625" defaultRowHeight="12.75"/>
  <cols>
    <col min="1" max="1" width="76.00390625" style="0" customWidth="1"/>
    <col min="2" max="2" width="95.421875" style="0" customWidth="1"/>
    <col min="3" max="3" width="28.57421875" style="0" customWidth="1"/>
  </cols>
  <sheetData>
    <row r="2" ht="13.5" thickBot="1"/>
    <row r="3" spans="1:4" ht="13.5" thickBot="1">
      <c r="A3" s="178" t="s">
        <v>115</v>
      </c>
      <c r="B3" s="66" t="s">
        <v>116</v>
      </c>
      <c r="C3" s="66" t="s">
        <v>117</v>
      </c>
      <c r="D3" s="66" t="s">
        <v>118</v>
      </c>
    </row>
    <row r="4" spans="1:4" ht="12.75" customHeight="1">
      <c r="A4" s="179" t="s">
        <v>454</v>
      </c>
      <c r="B4" s="69" t="s">
        <v>455</v>
      </c>
      <c r="C4" s="69" t="s">
        <v>160</v>
      </c>
      <c r="D4" s="69" t="s">
        <v>157</v>
      </c>
    </row>
    <row r="5" spans="1:4" ht="12.75" customHeight="1">
      <c r="A5" s="179" t="s">
        <v>553</v>
      </c>
      <c r="B5" s="69" t="s">
        <v>455</v>
      </c>
      <c r="C5" s="69" t="s">
        <v>160</v>
      </c>
      <c r="D5" s="69" t="s">
        <v>157</v>
      </c>
    </row>
    <row r="6" spans="1:4" ht="12.75" customHeight="1">
      <c r="A6" s="179" t="s">
        <v>466</v>
      </c>
      <c r="B6" s="69" t="s">
        <v>455</v>
      </c>
      <c r="C6" s="69" t="s">
        <v>160</v>
      </c>
      <c r="D6" s="69" t="s">
        <v>157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0"/>
  <sheetViews>
    <sheetView workbookViewId="0" topLeftCell="A1">
      <selection activeCell="A1" sqref="A1:C1"/>
    </sheetView>
  </sheetViews>
  <sheetFormatPr defaultColWidth="9.140625" defaultRowHeight="12.75"/>
  <cols>
    <col min="2" max="3" width="10.28125" style="0" bestFit="1" customWidth="1"/>
  </cols>
  <sheetData>
    <row r="1" ht="12.75">
      <c r="A1" t="s">
        <v>505</v>
      </c>
    </row>
    <row r="3" spans="1:3" ht="25.5">
      <c r="A3" s="251" t="s">
        <v>483</v>
      </c>
      <c r="B3" s="251" t="s">
        <v>503</v>
      </c>
      <c r="C3" s="251" t="s">
        <v>504</v>
      </c>
    </row>
    <row r="4" spans="1:3" ht="12.75">
      <c r="A4" s="85">
        <v>1</v>
      </c>
      <c r="B4" s="174">
        <v>0.22</v>
      </c>
      <c r="C4" s="174">
        <v>0.25</v>
      </c>
    </row>
    <row r="5" spans="1:3" ht="12.75">
      <c r="A5" s="85">
        <v>2</v>
      </c>
      <c r="B5" s="174">
        <v>0.17</v>
      </c>
      <c r="C5" s="174">
        <v>0.19</v>
      </c>
    </row>
    <row r="6" spans="1:3" ht="12.75">
      <c r="A6" s="85">
        <v>3</v>
      </c>
      <c r="B6" s="174">
        <v>0.14</v>
      </c>
      <c r="C6" s="174">
        <v>0.15</v>
      </c>
    </row>
    <row r="7" spans="1:3" ht="12.75">
      <c r="A7" s="85">
        <v>4</v>
      </c>
      <c r="B7" s="174">
        <v>0.14</v>
      </c>
      <c r="C7" s="174">
        <v>0.14</v>
      </c>
    </row>
    <row r="8" spans="1:3" ht="12.75">
      <c r="A8" s="85">
        <v>5</v>
      </c>
      <c r="B8" s="174">
        <v>0.16</v>
      </c>
      <c r="C8" s="174">
        <v>0.15</v>
      </c>
    </row>
    <row r="9" spans="1:3" ht="12.75">
      <c r="A9" s="85">
        <v>6</v>
      </c>
      <c r="B9" s="174">
        <v>0.32</v>
      </c>
      <c r="C9" s="174">
        <v>0.18</v>
      </c>
    </row>
    <row r="10" spans="1:3" ht="12.75">
      <c r="A10" s="85">
        <v>7</v>
      </c>
      <c r="B10" s="174">
        <v>0.7</v>
      </c>
      <c r="C10" s="174">
        <v>0.28</v>
      </c>
    </row>
    <row r="11" spans="1:3" ht="12.75">
      <c r="A11" s="85">
        <v>8</v>
      </c>
      <c r="B11" s="174">
        <v>1.1</v>
      </c>
      <c r="C11" s="174">
        <v>0.49</v>
      </c>
    </row>
    <row r="12" spans="1:3" ht="12.75">
      <c r="A12" s="85">
        <v>9</v>
      </c>
      <c r="B12" s="174">
        <v>0.98</v>
      </c>
      <c r="C12" s="174">
        <v>0.8</v>
      </c>
    </row>
    <row r="13" spans="1:3" ht="12.75">
      <c r="A13" s="85">
        <v>10</v>
      </c>
      <c r="B13" s="174">
        <v>0.83</v>
      </c>
      <c r="C13" s="174">
        <v>1</v>
      </c>
    </row>
    <row r="14" spans="1:3" ht="12.75">
      <c r="A14" s="85">
        <v>11</v>
      </c>
      <c r="B14" s="174">
        <v>0.72</v>
      </c>
      <c r="C14" s="174">
        <v>1.01</v>
      </c>
    </row>
    <row r="15" spans="1:3" ht="12.75">
      <c r="A15" s="85">
        <v>12</v>
      </c>
      <c r="B15" s="174">
        <v>0.62</v>
      </c>
      <c r="C15" s="174">
        <v>0.91</v>
      </c>
    </row>
    <row r="16" spans="1:3" ht="12.75">
      <c r="A16" s="85">
        <v>13</v>
      </c>
      <c r="B16" s="174">
        <v>0.54</v>
      </c>
      <c r="C16" s="174">
        <v>0.81</v>
      </c>
    </row>
    <row r="17" spans="1:3" ht="12.75">
      <c r="A17" s="85">
        <v>14</v>
      </c>
      <c r="B17" s="174">
        <v>0.49</v>
      </c>
      <c r="C17" s="174">
        <v>0.72</v>
      </c>
    </row>
    <row r="18" spans="1:3" ht="12.75">
      <c r="A18" s="85">
        <v>15</v>
      </c>
      <c r="B18" s="174">
        <v>0.43</v>
      </c>
      <c r="C18" s="174">
        <v>0.62</v>
      </c>
    </row>
    <row r="19" spans="1:3" ht="12.75">
      <c r="A19" s="85">
        <v>16</v>
      </c>
      <c r="B19" s="174">
        <v>0.42</v>
      </c>
      <c r="C19" s="174">
        <v>0.58</v>
      </c>
    </row>
    <row r="20" spans="1:3" ht="12.75">
      <c r="A20" s="85">
        <v>17</v>
      </c>
      <c r="B20" s="174">
        <v>0.47</v>
      </c>
      <c r="C20" s="174">
        <v>0.6</v>
      </c>
    </row>
    <row r="21" spans="1:3" ht="12.75">
      <c r="A21" s="85">
        <v>18</v>
      </c>
      <c r="B21" s="174">
        <v>0.59</v>
      </c>
      <c r="C21" s="174">
        <v>0.66</v>
      </c>
    </row>
    <row r="22" spans="1:3" ht="12.75">
      <c r="A22" s="85">
        <v>19</v>
      </c>
      <c r="B22" s="174">
        <v>0.72</v>
      </c>
      <c r="C22" s="174">
        <v>0.71</v>
      </c>
    </row>
    <row r="23" spans="1:3" ht="12.75">
      <c r="A23" s="85">
        <v>20</v>
      </c>
      <c r="B23" s="174">
        <v>0.73</v>
      </c>
      <c r="C23" s="174">
        <v>0.71</v>
      </c>
    </row>
    <row r="24" spans="1:3" ht="12.75">
      <c r="A24" s="85">
        <v>21</v>
      </c>
      <c r="B24" s="174">
        <v>0.69</v>
      </c>
      <c r="C24" s="174">
        <v>0.67</v>
      </c>
    </row>
    <row r="25" spans="1:3" ht="12.75">
      <c r="A25" s="85">
        <v>22</v>
      </c>
      <c r="B25" s="174">
        <v>0.66</v>
      </c>
      <c r="C25" s="174">
        <v>0.62</v>
      </c>
    </row>
    <row r="26" spans="1:3" ht="12.75">
      <c r="A26" s="85">
        <v>23</v>
      </c>
      <c r="B26" s="174">
        <v>0.55</v>
      </c>
      <c r="C26" s="174">
        <v>0.52</v>
      </c>
    </row>
    <row r="27" spans="1:3" ht="12.75">
      <c r="A27" s="85">
        <v>24</v>
      </c>
      <c r="B27" s="174">
        <v>0.37</v>
      </c>
      <c r="C27" s="174">
        <v>0.39</v>
      </c>
    </row>
    <row r="29" spans="1:3" ht="12.75">
      <c r="A29" t="s">
        <v>484</v>
      </c>
      <c r="B29">
        <v>233</v>
      </c>
      <c r="C29">
        <v>233</v>
      </c>
    </row>
    <row r="30" ht="12.75">
      <c r="A30" t="s">
        <v>485</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32"/>
  <sheetViews>
    <sheetView workbookViewId="0" topLeftCell="A1">
      <selection activeCell="B5" sqref="B5:C29"/>
    </sheetView>
  </sheetViews>
  <sheetFormatPr defaultColWidth="9.140625" defaultRowHeight="12.75"/>
  <cols>
    <col min="2" max="3" width="10.28125" style="0" bestFit="1" customWidth="1"/>
    <col min="4" max="4" width="9.7109375" style="0" bestFit="1" customWidth="1"/>
  </cols>
  <sheetData>
    <row r="1" ht="12.75">
      <c r="A1" s="123" t="s">
        <v>507</v>
      </c>
    </row>
    <row r="5" spans="1:4" ht="38.25">
      <c r="A5" s="251" t="s">
        <v>483</v>
      </c>
      <c r="B5" s="251" t="s">
        <v>503</v>
      </c>
      <c r="C5" s="251" t="s">
        <v>504</v>
      </c>
      <c r="D5" s="251" t="s">
        <v>506</v>
      </c>
    </row>
    <row r="6" spans="1:4" ht="12.75">
      <c r="A6">
        <v>1</v>
      </c>
      <c r="B6" s="48">
        <v>0.21</v>
      </c>
      <c r="C6" s="48">
        <v>0.23</v>
      </c>
      <c r="D6" s="48">
        <v>0.24</v>
      </c>
    </row>
    <row r="7" spans="1:4" ht="12.75">
      <c r="A7">
        <v>2</v>
      </c>
      <c r="B7" s="48">
        <v>0.16</v>
      </c>
      <c r="C7" s="48">
        <v>0.17</v>
      </c>
      <c r="D7" s="48">
        <v>0.16</v>
      </c>
    </row>
    <row r="8" spans="1:4" ht="12.75">
      <c r="A8">
        <v>3</v>
      </c>
      <c r="B8" s="48">
        <v>0.13</v>
      </c>
      <c r="C8" s="48">
        <v>0.14</v>
      </c>
      <c r="D8" s="48">
        <v>0.12</v>
      </c>
    </row>
    <row r="9" spans="1:4" ht="12.75">
      <c r="A9">
        <v>4</v>
      </c>
      <c r="B9" s="48">
        <v>0.12</v>
      </c>
      <c r="C9" s="48">
        <v>0.13</v>
      </c>
      <c r="D9" s="48">
        <v>0.13</v>
      </c>
    </row>
    <row r="10" spans="1:4" ht="12.75">
      <c r="A10">
        <v>5</v>
      </c>
      <c r="B10" s="48">
        <v>0.15</v>
      </c>
      <c r="C10" s="48">
        <v>0.13</v>
      </c>
      <c r="D10" s="48">
        <v>0.13</v>
      </c>
    </row>
    <row r="11" spans="1:4" ht="12.75">
      <c r="A11">
        <v>6</v>
      </c>
      <c r="B11" s="48">
        <v>0.26</v>
      </c>
      <c r="C11" s="48">
        <v>0.17</v>
      </c>
      <c r="D11" s="48">
        <v>0.27</v>
      </c>
    </row>
    <row r="12" spans="1:4" ht="12.75">
      <c r="A12">
        <v>7</v>
      </c>
      <c r="B12" s="48">
        <v>0.51</v>
      </c>
      <c r="C12" s="48">
        <v>0.26</v>
      </c>
      <c r="D12" s="48">
        <v>0.5</v>
      </c>
    </row>
    <row r="13" spans="1:4" ht="12.75">
      <c r="A13">
        <v>8</v>
      </c>
      <c r="B13" s="48">
        <v>0.76</v>
      </c>
      <c r="C13" s="48">
        <v>0.45</v>
      </c>
      <c r="D13" s="48">
        <v>0.77</v>
      </c>
    </row>
    <row r="14" spans="1:4" ht="12.75">
      <c r="A14">
        <v>9</v>
      </c>
      <c r="B14" s="48">
        <v>0.77</v>
      </c>
      <c r="C14" s="48">
        <v>0.69</v>
      </c>
      <c r="D14" s="48">
        <v>0.74</v>
      </c>
    </row>
    <row r="15" spans="1:4" ht="12.75">
      <c r="A15">
        <v>10</v>
      </c>
      <c r="B15" s="48">
        <v>0.76</v>
      </c>
      <c r="C15" s="48">
        <v>0.85</v>
      </c>
      <c r="D15" s="48">
        <v>0.75</v>
      </c>
    </row>
    <row r="16" spans="1:4" ht="12.75">
      <c r="A16">
        <v>11</v>
      </c>
      <c r="B16" s="48">
        <v>0.71</v>
      </c>
      <c r="C16" s="48">
        <v>0.84</v>
      </c>
      <c r="D16" s="48">
        <v>0.72</v>
      </c>
    </row>
    <row r="17" spans="1:4" ht="12.75">
      <c r="A17">
        <v>12</v>
      </c>
      <c r="B17" s="48">
        <v>0.61</v>
      </c>
      <c r="C17" s="48">
        <v>0.76</v>
      </c>
      <c r="D17" s="48">
        <v>0.59</v>
      </c>
    </row>
    <row r="18" spans="1:4" ht="12.75">
      <c r="A18">
        <v>13</v>
      </c>
      <c r="B18" s="48">
        <v>0.54</v>
      </c>
      <c r="C18" s="48">
        <v>0.65</v>
      </c>
      <c r="D18" s="48">
        <v>0.51</v>
      </c>
    </row>
    <row r="19" spans="1:4" ht="12.75">
      <c r="A19">
        <v>14</v>
      </c>
      <c r="B19" s="48">
        <v>0.49</v>
      </c>
      <c r="C19" s="48">
        <v>0.58</v>
      </c>
      <c r="D19" s="48">
        <v>0.53</v>
      </c>
    </row>
    <row r="20" spans="1:4" ht="12.75">
      <c r="A20">
        <v>15</v>
      </c>
      <c r="B20" s="48">
        <v>0.43</v>
      </c>
      <c r="C20" s="48">
        <v>0.49</v>
      </c>
      <c r="D20" s="48">
        <v>0.44</v>
      </c>
    </row>
    <row r="21" spans="1:4" ht="12.75">
      <c r="A21">
        <v>16</v>
      </c>
      <c r="B21" s="48">
        <v>0.41</v>
      </c>
      <c r="C21" s="48">
        <v>0.46</v>
      </c>
      <c r="D21" s="48">
        <v>0.41</v>
      </c>
    </row>
    <row r="22" spans="1:4" ht="12.75">
      <c r="A22">
        <v>17</v>
      </c>
      <c r="B22" s="48">
        <v>0.43</v>
      </c>
      <c r="C22" s="48">
        <v>0.46</v>
      </c>
      <c r="D22" s="48">
        <v>0.42</v>
      </c>
    </row>
    <row r="23" spans="1:4" ht="12.75">
      <c r="A23">
        <v>18</v>
      </c>
      <c r="B23" s="48">
        <v>0.52</v>
      </c>
      <c r="C23" s="48">
        <v>0.5</v>
      </c>
      <c r="D23" s="48">
        <v>0.5</v>
      </c>
    </row>
    <row r="24" spans="1:4" ht="12.75">
      <c r="A24">
        <v>19</v>
      </c>
      <c r="B24" s="48">
        <v>0.6</v>
      </c>
      <c r="C24" s="48">
        <v>0.54</v>
      </c>
      <c r="D24" s="48">
        <v>0.62</v>
      </c>
    </row>
    <row r="25" spans="1:4" ht="12.75">
      <c r="A25">
        <v>20</v>
      </c>
      <c r="B25" s="48">
        <v>0.6</v>
      </c>
      <c r="C25" s="48">
        <v>0.55</v>
      </c>
      <c r="D25" s="48">
        <v>0.63</v>
      </c>
    </row>
    <row r="26" spans="1:4" ht="12.75">
      <c r="A26">
        <v>21</v>
      </c>
      <c r="B26" s="48">
        <v>0.59</v>
      </c>
      <c r="C26" s="48">
        <v>0.56</v>
      </c>
      <c r="D26" s="48">
        <v>0.61</v>
      </c>
    </row>
    <row r="27" spans="1:4" ht="12.75">
      <c r="A27">
        <v>22</v>
      </c>
      <c r="B27" s="48">
        <v>0.6</v>
      </c>
      <c r="C27" s="48">
        <v>0.56</v>
      </c>
      <c r="D27" s="48">
        <v>0.6</v>
      </c>
    </row>
    <row r="28" spans="1:4" ht="12.75">
      <c r="A28">
        <v>23</v>
      </c>
      <c r="B28" s="48">
        <v>0.55</v>
      </c>
      <c r="C28" s="48">
        <v>0.49</v>
      </c>
      <c r="D28" s="48">
        <v>0.55</v>
      </c>
    </row>
    <row r="29" spans="1:4" ht="12.75">
      <c r="A29">
        <v>24</v>
      </c>
      <c r="B29" s="48">
        <v>0.37</v>
      </c>
      <c r="C29" s="48">
        <v>0.38</v>
      </c>
      <c r="D29" s="48">
        <v>0.4</v>
      </c>
    </row>
    <row r="31" spans="1:4" ht="12.75">
      <c r="A31" t="s">
        <v>484</v>
      </c>
      <c r="B31">
        <v>233</v>
      </c>
      <c r="C31">
        <v>233</v>
      </c>
      <c r="D31">
        <v>233</v>
      </c>
    </row>
    <row r="32" ht="12.75">
      <c r="A32" t="s">
        <v>485</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E32"/>
  <sheetViews>
    <sheetView workbookViewId="0" topLeftCell="A4">
      <selection activeCell="C33" sqref="C33"/>
    </sheetView>
  </sheetViews>
  <sheetFormatPr defaultColWidth="9.140625" defaultRowHeight="12.75"/>
  <cols>
    <col min="2" max="3" width="10.28125" style="0" bestFit="1" customWidth="1"/>
    <col min="4" max="5" width="9.7109375" style="0" bestFit="1" customWidth="1"/>
  </cols>
  <sheetData>
    <row r="1" ht="12.75">
      <c r="A1" s="123" t="s">
        <v>509</v>
      </c>
    </row>
    <row r="5" spans="1:5" ht="51">
      <c r="A5" s="251" t="s">
        <v>483</v>
      </c>
      <c r="B5" s="251" t="s">
        <v>503</v>
      </c>
      <c r="C5" s="251" t="s">
        <v>504</v>
      </c>
      <c r="D5" s="251" t="s">
        <v>506</v>
      </c>
      <c r="E5" s="251" t="s">
        <v>508</v>
      </c>
    </row>
    <row r="6" spans="1:5" ht="12.75">
      <c r="A6">
        <v>1</v>
      </c>
      <c r="B6" s="48">
        <v>0.25</v>
      </c>
      <c r="C6" s="48">
        <v>0.29</v>
      </c>
      <c r="D6" s="48">
        <v>0.23</v>
      </c>
      <c r="E6" s="48">
        <v>0.29</v>
      </c>
    </row>
    <row r="7" spans="1:5" ht="12.75">
      <c r="A7">
        <v>2</v>
      </c>
      <c r="B7" s="48">
        <v>0.19</v>
      </c>
      <c r="C7" s="48">
        <v>0.22</v>
      </c>
      <c r="D7" s="48">
        <v>0.19</v>
      </c>
      <c r="E7" s="48">
        <v>0.26</v>
      </c>
    </row>
    <row r="8" spans="1:5" ht="12.75">
      <c r="A8">
        <v>3</v>
      </c>
      <c r="B8" s="48">
        <v>0.16</v>
      </c>
      <c r="C8" s="48">
        <v>0.17</v>
      </c>
      <c r="D8" s="48">
        <v>0.17</v>
      </c>
      <c r="E8" s="48">
        <v>0.21</v>
      </c>
    </row>
    <row r="9" spans="1:5" ht="12.75">
      <c r="A9">
        <v>4</v>
      </c>
      <c r="B9" s="48">
        <v>0.15</v>
      </c>
      <c r="C9" s="48">
        <v>0.15</v>
      </c>
      <c r="D9" s="48">
        <v>0.15</v>
      </c>
      <c r="E9" s="48">
        <v>0.23</v>
      </c>
    </row>
    <row r="10" spans="1:5" ht="12.75">
      <c r="A10">
        <v>5</v>
      </c>
      <c r="B10" s="48">
        <v>0.18</v>
      </c>
      <c r="C10" s="48">
        <v>0.16</v>
      </c>
      <c r="D10" s="48">
        <v>0.19</v>
      </c>
      <c r="E10" s="48">
        <v>0.26</v>
      </c>
    </row>
    <row r="11" spans="1:5" ht="12.75">
      <c r="A11">
        <v>6</v>
      </c>
      <c r="B11" s="48">
        <v>0.34</v>
      </c>
      <c r="C11" s="48">
        <v>0.19</v>
      </c>
      <c r="D11" s="48">
        <v>0.37</v>
      </c>
      <c r="E11" s="48">
        <v>0.36</v>
      </c>
    </row>
    <row r="12" spans="1:5" ht="12.75">
      <c r="A12">
        <v>7</v>
      </c>
      <c r="B12" s="48">
        <v>0.74</v>
      </c>
      <c r="C12" s="48">
        <v>0.27</v>
      </c>
      <c r="D12" s="48">
        <v>0.8</v>
      </c>
      <c r="E12" s="48">
        <v>0.52</v>
      </c>
    </row>
    <row r="13" spans="1:5" ht="12.75">
      <c r="A13">
        <v>8</v>
      </c>
      <c r="B13" s="48">
        <v>1.2</v>
      </c>
      <c r="C13" s="48">
        <v>0.47</v>
      </c>
      <c r="D13" s="48">
        <v>1.26</v>
      </c>
      <c r="E13" s="48">
        <v>0.89</v>
      </c>
    </row>
    <row r="14" spans="1:5" ht="12.75">
      <c r="A14">
        <v>9</v>
      </c>
      <c r="B14" s="48">
        <v>1.1</v>
      </c>
      <c r="C14" s="48">
        <v>0.82</v>
      </c>
      <c r="D14" s="48">
        <v>1.11</v>
      </c>
      <c r="E14" s="48">
        <v>0.95</v>
      </c>
    </row>
    <row r="15" spans="1:5" ht="12.75">
      <c r="A15">
        <v>10</v>
      </c>
      <c r="B15" s="48">
        <v>0.94</v>
      </c>
      <c r="C15" s="48">
        <v>1.08</v>
      </c>
      <c r="D15" s="48">
        <v>0.9</v>
      </c>
      <c r="E15" s="48">
        <v>1.14</v>
      </c>
    </row>
    <row r="16" spans="1:5" ht="12.75">
      <c r="A16">
        <v>11</v>
      </c>
      <c r="B16" s="48">
        <v>0.82</v>
      </c>
      <c r="C16" s="48">
        <v>1.15</v>
      </c>
      <c r="D16" s="48">
        <v>0.76</v>
      </c>
      <c r="E16" s="48">
        <v>1.2</v>
      </c>
    </row>
    <row r="17" spans="1:5" ht="12.75">
      <c r="A17">
        <v>12</v>
      </c>
      <c r="B17" s="48">
        <v>0.71</v>
      </c>
      <c r="C17" s="48">
        <v>1.08</v>
      </c>
      <c r="D17" s="48">
        <v>0.69</v>
      </c>
      <c r="E17" s="48">
        <v>1.12</v>
      </c>
    </row>
    <row r="18" spans="1:5" ht="12.75">
      <c r="A18">
        <v>13</v>
      </c>
      <c r="B18" s="48">
        <v>0.62</v>
      </c>
      <c r="C18" s="48">
        <v>0.98</v>
      </c>
      <c r="D18" s="48">
        <v>0.6</v>
      </c>
      <c r="E18" s="48">
        <v>0.97</v>
      </c>
    </row>
    <row r="19" spans="1:5" ht="12.75">
      <c r="A19">
        <v>14</v>
      </c>
      <c r="B19" s="48">
        <v>0.55</v>
      </c>
      <c r="C19" s="48">
        <v>0.87</v>
      </c>
      <c r="D19" s="48">
        <v>0.55</v>
      </c>
      <c r="E19" s="48">
        <v>0.81</v>
      </c>
    </row>
    <row r="20" spans="1:5" ht="12.75">
      <c r="A20">
        <v>15</v>
      </c>
      <c r="B20" s="48">
        <v>0.48</v>
      </c>
      <c r="C20" s="48">
        <v>0.77</v>
      </c>
      <c r="D20" s="48">
        <v>0.45</v>
      </c>
      <c r="E20" s="48">
        <v>0.68</v>
      </c>
    </row>
    <row r="21" spans="1:5" ht="12.75">
      <c r="A21">
        <v>16</v>
      </c>
      <c r="B21" s="48">
        <v>0.47</v>
      </c>
      <c r="C21" s="48">
        <v>0.69</v>
      </c>
      <c r="D21" s="48">
        <v>0.44</v>
      </c>
      <c r="E21" s="48">
        <v>0.63</v>
      </c>
    </row>
    <row r="22" spans="1:5" ht="12.75">
      <c r="A22">
        <v>17</v>
      </c>
      <c r="B22" s="48">
        <v>0.54</v>
      </c>
      <c r="C22" s="48">
        <v>0.72</v>
      </c>
      <c r="D22" s="48">
        <v>0.51</v>
      </c>
      <c r="E22" s="48">
        <v>0.74</v>
      </c>
    </row>
    <row r="23" spans="1:5" ht="12.75">
      <c r="A23">
        <v>18</v>
      </c>
      <c r="B23" s="48">
        <v>0.68</v>
      </c>
      <c r="C23" s="48">
        <v>0.78</v>
      </c>
      <c r="D23" s="48">
        <v>0.66</v>
      </c>
      <c r="E23" s="48">
        <v>0.75</v>
      </c>
    </row>
    <row r="24" spans="1:5" ht="12.75">
      <c r="A24">
        <v>19</v>
      </c>
      <c r="B24" s="48">
        <v>0.83</v>
      </c>
      <c r="C24" s="48">
        <v>0.83</v>
      </c>
      <c r="D24" s="48">
        <v>0.84</v>
      </c>
      <c r="E24" s="48">
        <v>0.92</v>
      </c>
    </row>
    <row r="25" spans="1:5" ht="12.75">
      <c r="A25">
        <v>20</v>
      </c>
      <c r="B25" s="48">
        <v>0.82</v>
      </c>
      <c r="C25" s="48">
        <v>0.79</v>
      </c>
      <c r="D25" s="48">
        <v>0.86</v>
      </c>
      <c r="E25" s="48">
        <v>0.84</v>
      </c>
    </row>
    <row r="26" spans="1:5" ht="12.75">
      <c r="A26">
        <v>21</v>
      </c>
      <c r="B26" s="48">
        <v>0.74</v>
      </c>
      <c r="C26" s="48">
        <v>0.72</v>
      </c>
      <c r="D26" s="48">
        <v>0.8</v>
      </c>
      <c r="E26" s="48">
        <v>0.82</v>
      </c>
    </row>
    <row r="27" spans="1:5" ht="12.75">
      <c r="A27">
        <v>22</v>
      </c>
      <c r="B27" s="48">
        <v>0.68</v>
      </c>
      <c r="C27" s="48">
        <v>0.64</v>
      </c>
      <c r="D27" s="48">
        <v>0.79</v>
      </c>
      <c r="E27" s="48">
        <v>0.68</v>
      </c>
    </row>
    <row r="28" spans="1:5" ht="12.75">
      <c r="A28">
        <v>23</v>
      </c>
      <c r="B28" s="48">
        <v>0.57</v>
      </c>
      <c r="C28" s="48">
        <v>0.53</v>
      </c>
      <c r="D28" s="48">
        <v>0.65</v>
      </c>
      <c r="E28" s="48">
        <v>0.57</v>
      </c>
    </row>
    <row r="29" spans="1:5" ht="12.75">
      <c r="A29">
        <v>24</v>
      </c>
      <c r="B29" s="48">
        <v>0.4</v>
      </c>
      <c r="C29" s="48">
        <v>0.43</v>
      </c>
      <c r="D29" s="48">
        <v>0.4</v>
      </c>
      <c r="E29" s="48">
        <v>0.44</v>
      </c>
    </row>
    <row r="31" spans="1:5" ht="12.75">
      <c r="A31" t="s">
        <v>484</v>
      </c>
      <c r="B31">
        <v>233</v>
      </c>
      <c r="C31">
        <v>233</v>
      </c>
      <c r="D31">
        <v>232</v>
      </c>
      <c r="E31">
        <v>131</v>
      </c>
    </row>
    <row r="32" ht="12.75">
      <c r="A32" t="s">
        <v>485</v>
      </c>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O41"/>
  <sheetViews>
    <sheetView workbookViewId="0" topLeftCell="B22">
      <selection activeCell="D41" sqref="D41:O41"/>
    </sheetView>
  </sheetViews>
  <sheetFormatPr defaultColWidth="9.140625" defaultRowHeight="12.75"/>
  <cols>
    <col min="2" max="2" width="13.8515625" style="0" customWidth="1"/>
    <col min="3" max="3" width="10.28125" style="0" bestFit="1" customWidth="1"/>
    <col min="4" max="4" width="11.421875" style="0" customWidth="1"/>
    <col min="5" max="5" width="13.140625" style="0" customWidth="1"/>
  </cols>
  <sheetData>
    <row r="1" ht="12.75">
      <c r="A1" s="123" t="s">
        <v>533</v>
      </c>
    </row>
    <row r="5" spans="1:5" ht="38.25">
      <c r="A5" s="251" t="s">
        <v>483</v>
      </c>
      <c r="B5" s="251" t="s">
        <v>534</v>
      </c>
      <c r="C5" s="251" t="s">
        <v>535</v>
      </c>
      <c r="D5" s="251" t="s">
        <v>536</v>
      </c>
      <c r="E5" s="251" t="s">
        <v>537</v>
      </c>
    </row>
    <row r="6" spans="1:5" ht="12.75">
      <c r="A6">
        <v>1</v>
      </c>
      <c r="B6" s="48">
        <v>0.25</v>
      </c>
      <c r="C6" s="48">
        <v>0.29</v>
      </c>
      <c r="D6" s="48">
        <v>0.21</v>
      </c>
      <c r="E6" s="48">
        <v>0.23</v>
      </c>
    </row>
    <row r="7" spans="1:5" ht="12.75">
      <c r="A7">
        <v>2</v>
      </c>
      <c r="B7" s="48">
        <v>0.19</v>
      </c>
      <c r="C7" s="48">
        <v>0.22</v>
      </c>
      <c r="D7" s="48">
        <v>0.16</v>
      </c>
      <c r="E7" s="48">
        <v>0.17</v>
      </c>
    </row>
    <row r="8" spans="1:5" ht="12.75">
      <c r="A8">
        <v>3</v>
      </c>
      <c r="B8" s="48">
        <v>0.16</v>
      </c>
      <c r="C8" s="48">
        <v>0.17</v>
      </c>
      <c r="D8" s="48">
        <v>0.13</v>
      </c>
      <c r="E8" s="48">
        <v>0.14</v>
      </c>
    </row>
    <row r="9" spans="1:5" ht="12.75">
      <c r="A9">
        <v>4</v>
      </c>
      <c r="B9" s="48">
        <v>0.15</v>
      </c>
      <c r="C9" s="48">
        <v>0.15</v>
      </c>
      <c r="D9" s="48">
        <v>0.12</v>
      </c>
      <c r="E9" s="48">
        <v>0.13</v>
      </c>
    </row>
    <row r="10" spans="1:5" ht="12.75">
      <c r="A10">
        <v>5</v>
      </c>
      <c r="B10" s="48">
        <v>0.18</v>
      </c>
      <c r="C10" s="48">
        <v>0.16</v>
      </c>
      <c r="D10" s="48">
        <v>0.15</v>
      </c>
      <c r="E10" s="48">
        <v>0.13</v>
      </c>
    </row>
    <row r="11" spans="1:5" ht="12.75">
      <c r="A11">
        <v>6</v>
      </c>
      <c r="B11" s="48">
        <v>0.34</v>
      </c>
      <c r="C11" s="48">
        <v>0.19</v>
      </c>
      <c r="D11" s="48">
        <v>0.26</v>
      </c>
      <c r="E11" s="48">
        <v>0.17</v>
      </c>
    </row>
    <row r="12" spans="1:5" ht="12.75">
      <c r="A12">
        <v>7</v>
      </c>
      <c r="B12" s="48">
        <v>0.74</v>
      </c>
      <c r="C12" s="48">
        <v>0.27</v>
      </c>
      <c r="D12" s="48">
        <v>0.51</v>
      </c>
      <c r="E12" s="48">
        <v>0.26</v>
      </c>
    </row>
    <row r="13" spans="1:5" ht="12.75">
      <c r="A13">
        <v>8</v>
      </c>
      <c r="B13" s="48">
        <v>1.2</v>
      </c>
      <c r="C13" s="48">
        <v>0.47</v>
      </c>
      <c r="D13" s="48">
        <v>0.76</v>
      </c>
      <c r="E13" s="48">
        <v>0.45</v>
      </c>
    </row>
    <row r="14" spans="1:5" ht="12.75">
      <c r="A14">
        <v>9</v>
      </c>
      <c r="B14" s="48">
        <v>1.1</v>
      </c>
      <c r="C14" s="48">
        <v>0.82</v>
      </c>
      <c r="D14" s="48">
        <v>0.77</v>
      </c>
      <c r="E14" s="48">
        <v>0.69</v>
      </c>
    </row>
    <row r="15" spans="1:5" ht="12.75">
      <c r="A15">
        <v>10</v>
      </c>
      <c r="B15" s="48">
        <v>0.94</v>
      </c>
      <c r="C15" s="48">
        <v>1.08</v>
      </c>
      <c r="D15" s="48">
        <v>0.76</v>
      </c>
      <c r="E15" s="48">
        <v>0.85</v>
      </c>
    </row>
    <row r="16" spans="1:5" ht="12.75">
      <c r="A16">
        <v>11</v>
      </c>
      <c r="B16" s="48">
        <v>0.82</v>
      </c>
      <c r="C16" s="48">
        <v>1.15</v>
      </c>
      <c r="D16" s="48">
        <v>0.71</v>
      </c>
      <c r="E16" s="48">
        <v>0.84</v>
      </c>
    </row>
    <row r="17" spans="1:5" ht="12.75">
      <c r="A17">
        <v>12</v>
      </c>
      <c r="B17" s="48">
        <v>0.71</v>
      </c>
      <c r="C17" s="48">
        <v>1.08</v>
      </c>
      <c r="D17" s="48">
        <v>0.61</v>
      </c>
      <c r="E17" s="48">
        <v>0.76</v>
      </c>
    </row>
    <row r="18" spans="1:5" ht="12.75">
      <c r="A18">
        <v>13</v>
      </c>
      <c r="B18" s="48">
        <v>0.62</v>
      </c>
      <c r="C18" s="48">
        <v>0.98</v>
      </c>
      <c r="D18" s="48">
        <v>0.54</v>
      </c>
      <c r="E18" s="48">
        <v>0.65</v>
      </c>
    </row>
    <row r="19" spans="1:5" ht="12.75">
      <c r="A19">
        <v>14</v>
      </c>
      <c r="B19" s="48">
        <v>0.55</v>
      </c>
      <c r="C19" s="48">
        <v>0.87</v>
      </c>
      <c r="D19" s="48">
        <v>0.49</v>
      </c>
      <c r="E19" s="48">
        <v>0.58</v>
      </c>
    </row>
    <row r="20" spans="1:5" ht="12.75">
      <c r="A20">
        <v>15</v>
      </c>
      <c r="B20" s="48">
        <v>0.48</v>
      </c>
      <c r="C20" s="48">
        <v>0.77</v>
      </c>
      <c r="D20" s="48">
        <v>0.43</v>
      </c>
      <c r="E20" s="48">
        <v>0.49</v>
      </c>
    </row>
    <row r="21" spans="1:5" ht="12.75">
      <c r="A21">
        <v>16</v>
      </c>
      <c r="B21" s="48">
        <v>0.47</v>
      </c>
      <c r="C21" s="48">
        <v>0.69</v>
      </c>
      <c r="D21" s="48">
        <v>0.41</v>
      </c>
      <c r="E21" s="48">
        <v>0.46</v>
      </c>
    </row>
    <row r="22" spans="1:5" ht="12.75">
      <c r="A22">
        <v>17</v>
      </c>
      <c r="B22" s="48">
        <v>0.54</v>
      </c>
      <c r="C22" s="48">
        <v>0.72</v>
      </c>
      <c r="D22" s="48">
        <v>0.43</v>
      </c>
      <c r="E22" s="48">
        <v>0.46</v>
      </c>
    </row>
    <row r="23" spans="1:5" ht="12.75">
      <c r="A23">
        <v>18</v>
      </c>
      <c r="B23" s="48">
        <v>0.68</v>
      </c>
      <c r="C23" s="48">
        <v>0.78</v>
      </c>
      <c r="D23" s="48">
        <v>0.52</v>
      </c>
      <c r="E23" s="48">
        <v>0.5</v>
      </c>
    </row>
    <row r="24" spans="1:5" ht="12.75">
      <c r="A24">
        <v>19</v>
      </c>
      <c r="B24" s="48">
        <v>0.83</v>
      </c>
      <c r="C24" s="48">
        <v>0.83</v>
      </c>
      <c r="D24" s="48">
        <v>0.6</v>
      </c>
      <c r="E24" s="48">
        <v>0.54</v>
      </c>
    </row>
    <row r="25" spans="1:5" ht="12.75">
      <c r="A25">
        <v>20</v>
      </c>
      <c r="B25" s="48">
        <v>0.82</v>
      </c>
      <c r="C25" s="48">
        <v>0.79</v>
      </c>
      <c r="D25" s="48">
        <v>0.6</v>
      </c>
      <c r="E25" s="48">
        <v>0.55</v>
      </c>
    </row>
    <row r="26" spans="1:5" ht="12.75">
      <c r="A26">
        <v>21</v>
      </c>
      <c r="B26" s="48">
        <v>0.74</v>
      </c>
      <c r="C26" s="48">
        <v>0.72</v>
      </c>
      <c r="D26" s="48">
        <v>0.59</v>
      </c>
      <c r="E26" s="48">
        <v>0.56</v>
      </c>
    </row>
    <row r="27" spans="1:5" ht="12.75">
      <c r="A27">
        <v>22</v>
      </c>
      <c r="B27" s="48">
        <v>0.68</v>
      </c>
      <c r="C27" s="48">
        <v>0.64</v>
      </c>
      <c r="D27" s="48">
        <v>0.6</v>
      </c>
      <c r="E27" s="48">
        <v>0.56</v>
      </c>
    </row>
    <row r="28" spans="1:5" ht="12.75">
      <c r="A28">
        <v>23</v>
      </c>
      <c r="B28" s="48">
        <v>0.57</v>
      </c>
      <c r="C28" s="48">
        <v>0.53</v>
      </c>
      <c r="D28" s="48">
        <v>0.55</v>
      </c>
      <c r="E28" s="48">
        <v>0.49</v>
      </c>
    </row>
    <row r="29" spans="1:5" ht="12.75">
      <c r="A29">
        <v>24</v>
      </c>
      <c r="B29" s="48">
        <v>0.4</v>
      </c>
      <c r="C29" s="48">
        <v>0.43</v>
      </c>
      <c r="D29" s="48">
        <v>0.37</v>
      </c>
      <c r="E29" s="48">
        <v>0.38</v>
      </c>
    </row>
    <row r="31" spans="1:5" ht="12.75">
      <c r="A31" t="s">
        <v>484</v>
      </c>
      <c r="B31">
        <v>233</v>
      </c>
      <c r="C31">
        <v>233</v>
      </c>
      <c r="D31">
        <v>232</v>
      </c>
      <c r="E31">
        <v>131</v>
      </c>
    </row>
    <row r="32" ht="12.75">
      <c r="A32" t="s">
        <v>485</v>
      </c>
    </row>
    <row r="35" ht="13.5" thickBot="1"/>
    <row r="36" spans="2:15" ht="13.5" thickBot="1">
      <c r="B36" s="273"/>
      <c r="C36" s="255" t="s">
        <v>539</v>
      </c>
      <c r="D36" s="270" t="s">
        <v>436</v>
      </c>
      <c r="E36" s="262" t="s">
        <v>437</v>
      </c>
      <c r="F36" s="262" t="s">
        <v>438</v>
      </c>
      <c r="G36" s="262" t="s">
        <v>439</v>
      </c>
      <c r="H36" s="262" t="s">
        <v>440</v>
      </c>
      <c r="I36" s="262" t="s">
        <v>441</v>
      </c>
      <c r="J36" s="262" t="s">
        <v>442</v>
      </c>
      <c r="K36" s="262" t="s">
        <v>443</v>
      </c>
      <c r="L36" s="262" t="s">
        <v>444</v>
      </c>
      <c r="M36" s="262" t="s">
        <v>445</v>
      </c>
      <c r="N36" s="262" t="s">
        <v>446</v>
      </c>
      <c r="O36" s="263" t="s">
        <v>447</v>
      </c>
    </row>
    <row r="37" spans="2:15" ht="12.75">
      <c r="B37" s="271" t="s">
        <v>164</v>
      </c>
      <c r="C37" s="272">
        <v>1</v>
      </c>
      <c r="D37" s="269">
        <v>3.1010756856284534</v>
      </c>
      <c r="E37" s="269">
        <v>2.6843686403721296</v>
      </c>
      <c r="F37" s="269">
        <v>2.8878767322414967</v>
      </c>
      <c r="G37" s="269">
        <v>2.529314856090707</v>
      </c>
      <c r="H37" s="269">
        <v>2.442097102432407</v>
      </c>
      <c r="I37" s="269">
        <v>2.287043318150984</v>
      </c>
      <c r="J37" s="269">
        <v>2.4517879639499953</v>
      </c>
      <c r="K37" s="269">
        <v>2.5971508867138295</v>
      </c>
      <c r="L37" s="269">
        <v>2.3258067642213396</v>
      </c>
      <c r="M37" s="269">
        <v>2.50024227153794</v>
      </c>
      <c r="N37" s="269">
        <v>2.490551410020351</v>
      </c>
      <c r="O37" s="269">
        <v>2.849113286171141</v>
      </c>
    </row>
    <row r="38" spans="2:15" ht="12.75">
      <c r="B38" s="268" t="s">
        <v>538</v>
      </c>
      <c r="C38" s="211">
        <v>2</v>
      </c>
      <c r="D38" s="269">
        <v>4.612850082372324</v>
      </c>
      <c r="E38" s="269">
        <v>4.448105436573313</v>
      </c>
      <c r="F38" s="269">
        <v>4.777594728171335</v>
      </c>
      <c r="G38" s="269">
        <v>4.293051652291889</v>
      </c>
      <c r="H38" s="269">
        <v>4.079852698904934</v>
      </c>
      <c r="I38" s="269">
        <v>3.6825273766837876</v>
      </c>
      <c r="J38" s="269">
        <v>3.556546176955132</v>
      </c>
      <c r="K38" s="269">
        <v>3.430564977226476</v>
      </c>
      <c r="L38" s="269">
        <v>3.8181994379300326</v>
      </c>
      <c r="M38" s="269">
        <v>3.8569628840003882</v>
      </c>
      <c r="N38" s="269">
        <v>4.351196821397424</v>
      </c>
      <c r="O38" s="269">
        <v>4.700067836030624</v>
      </c>
    </row>
    <row r="39" spans="2:15" ht="12.75">
      <c r="B39" s="268">
        <v>0.286</v>
      </c>
      <c r="C39" s="211">
        <v>3</v>
      </c>
      <c r="D39" s="269">
        <v>1.0756856284523697</v>
      </c>
      <c r="E39" s="269">
        <v>1.744355073166005</v>
      </c>
      <c r="F39" s="269">
        <v>1.5505378428142267</v>
      </c>
      <c r="G39" s="269">
        <v>1.744355073166005</v>
      </c>
      <c r="H39" s="269">
        <v>1.1629033821106698</v>
      </c>
      <c r="I39" s="269">
        <v>0.8624866750654135</v>
      </c>
      <c r="J39" s="269">
        <v>1.1144490745227251</v>
      </c>
      <c r="K39" s="269">
        <v>0.9497044287237137</v>
      </c>
      <c r="L39" s="269">
        <v>0.8431049520302356</v>
      </c>
      <c r="M39" s="269">
        <v>0.8818683981005914</v>
      </c>
      <c r="N39" s="269">
        <v>1.065994766934781</v>
      </c>
      <c r="O39" s="269">
        <v>1.6474464579901156</v>
      </c>
    </row>
    <row r="40" spans="2:15" ht="12.75">
      <c r="B40" s="268">
        <v>0.317</v>
      </c>
      <c r="C40" s="211">
        <v>4</v>
      </c>
      <c r="D40" s="269">
        <v>0.38763446070355667</v>
      </c>
      <c r="E40" s="269">
        <v>0.4263979067739123</v>
      </c>
      <c r="F40" s="269">
        <v>0.38763446070355667</v>
      </c>
      <c r="G40" s="269">
        <v>0.38763446070355667</v>
      </c>
      <c r="H40" s="269">
        <v>0.3682527376683788</v>
      </c>
      <c r="I40" s="269">
        <v>0.34887101463320097</v>
      </c>
      <c r="J40" s="269">
        <v>0.44577962980909014</v>
      </c>
      <c r="K40" s="269">
        <v>0.32948929159802315</v>
      </c>
      <c r="L40" s="269">
        <v>0.3973253222211455</v>
      </c>
      <c r="M40" s="269">
        <v>0.2616532609749007</v>
      </c>
      <c r="N40" s="269">
        <v>0.38763446070355667</v>
      </c>
      <c r="O40" s="269">
        <v>0.4748522143618569</v>
      </c>
    </row>
    <row r="41" spans="4:15" ht="12.75">
      <c r="D41" s="48">
        <f>SUM(D37:D40)</f>
        <v>9.177245857156704</v>
      </c>
      <c r="E41" s="48">
        <f aca="true" t="shared" si="0" ref="E41:O41">SUM(E37:E40)</f>
        <v>9.30322705688536</v>
      </c>
      <c r="F41" s="48">
        <f t="shared" si="0"/>
        <v>9.603643763930615</v>
      </c>
      <c r="G41" s="48">
        <f t="shared" si="0"/>
        <v>8.954356042252158</v>
      </c>
      <c r="H41" s="48">
        <f t="shared" si="0"/>
        <v>8.053105921116389</v>
      </c>
      <c r="I41" s="48">
        <f t="shared" si="0"/>
        <v>7.180928384533387</v>
      </c>
      <c r="J41" s="48">
        <f t="shared" si="0"/>
        <v>7.568562845236943</v>
      </c>
      <c r="K41" s="48">
        <f t="shared" si="0"/>
        <v>7.306909584262042</v>
      </c>
      <c r="L41" s="48">
        <f t="shared" si="0"/>
        <v>7.384436476402753</v>
      </c>
      <c r="M41" s="48">
        <f t="shared" si="0"/>
        <v>7.50072681461382</v>
      </c>
      <c r="N41" s="48">
        <f t="shared" si="0"/>
        <v>8.295377459056112</v>
      </c>
      <c r="O41" s="48">
        <f t="shared" si="0"/>
        <v>9.671479794553736</v>
      </c>
    </row>
  </sheetData>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E33"/>
  <sheetViews>
    <sheetView workbookViewId="0" topLeftCell="A5">
      <selection activeCell="E30" sqref="E30"/>
    </sheetView>
  </sheetViews>
  <sheetFormatPr defaultColWidth="9.140625" defaultRowHeight="12.75"/>
  <cols>
    <col min="1" max="1" width="7.28125" style="0" customWidth="1"/>
    <col min="2" max="3" width="10.28125" style="0" bestFit="1" customWidth="1"/>
    <col min="4" max="4" width="4.00390625" style="0" customWidth="1"/>
  </cols>
  <sheetData>
    <row r="1" ht="12.75">
      <c r="A1" s="123" t="s">
        <v>510</v>
      </c>
    </row>
    <row r="5" spans="1:3" ht="25.5">
      <c r="A5" s="85" t="s">
        <v>486</v>
      </c>
      <c r="B5" s="251" t="s">
        <v>503</v>
      </c>
      <c r="C5" s="251" t="s">
        <v>504</v>
      </c>
    </row>
    <row r="6" spans="1:5" ht="12.75">
      <c r="A6" s="85" t="s">
        <v>511</v>
      </c>
      <c r="B6" s="227">
        <v>14.3</v>
      </c>
      <c r="C6" s="227">
        <v>15.1</v>
      </c>
      <c r="E6">
        <f>B6/A21</f>
        <v>0.4612903225806452</v>
      </c>
    </row>
    <row r="7" spans="1:3" ht="12.75">
      <c r="A7" s="85" t="s">
        <v>512</v>
      </c>
      <c r="B7" s="227">
        <v>14.3</v>
      </c>
      <c r="C7" s="227">
        <v>14.9</v>
      </c>
    </row>
    <row r="8" spans="1:3" ht="12.75">
      <c r="A8" s="85" t="s">
        <v>513</v>
      </c>
      <c r="B8" s="227">
        <v>13.9</v>
      </c>
      <c r="C8" s="227">
        <v>14.5</v>
      </c>
    </row>
    <row r="9" spans="1:3" ht="12.75">
      <c r="A9" s="85" t="s">
        <v>514</v>
      </c>
      <c r="B9" s="227">
        <v>13.4</v>
      </c>
      <c r="C9" s="227">
        <v>14</v>
      </c>
    </row>
    <row r="10" spans="1:3" ht="12.75">
      <c r="A10" s="85" t="s">
        <v>515</v>
      </c>
      <c r="B10" s="227">
        <v>12.9</v>
      </c>
      <c r="C10" s="227">
        <v>13.1</v>
      </c>
    </row>
    <row r="11" spans="1:3" ht="12.75">
      <c r="A11" s="85" t="s">
        <v>516</v>
      </c>
      <c r="B11" s="227">
        <v>12.1</v>
      </c>
      <c r="C11" s="227">
        <v>12.1</v>
      </c>
    </row>
    <row r="12" spans="1:3" ht="12.75">
      <c r="A12" s="85" t="s">
        <v>517</v>
      </c>
      <c r="B12" s="227">
        <v>11.4</v>
      </c>
      <c r="C12" s="227">
        <v>11.1</v>
      </c>
    </row>
    <row r="13" spans="1:3" ht="12.75">
      <c r="A13" s="85" t="s">
        <v>518</v>
      </c>
      <c r="B13" s="227">
        <v>11.1</v>
      </c>
      <c r="C13" s="227">
        <v>10.9</v>
      </c>
    </row>
    <row r="14" spans="1:3" ht="12.75">
      <c r="A14" s="85" t="s">
        <v>519</v>
      </c>
      <c r="B14" s="227">
        <v>11.6</v>
      </c>
      <c r="C14" s="227">
        <v>11.8</v>
      </c>
    </row>
    <row r="15" spans="1:3" ht="12.75">
      <c r="A15" s="85" t="s">
        <v>520</v>
      </c>
      <c r="B15" s="227">
        <v>11.9</v>
      </c>
      <c r="C15" s="227">
        <v>12.3</v>
      </c>
    </row>
    <row r="16" spans="1:3" ht="12.75">
      <c r="A16" s="85" t="s">
        <v>521</v>
      </c>
      <c r="B16" s="227">
        <v>12.7</v>
      </c>
      <c r="C16" s="227">
        <v>13.5</v>
      </c>
    </row>
    <row r="17" spans="1:3" ht="12.75">
      <c r="A17" s="85" t="s">
        <v>522</v>
      </c>
      <c r="B17" s="227">
        <v>13.8</v>
      </c>
      <c r="C17" s="227">
        <v>14.4</v>
      </c>
    </row>
    <row r="18" ht="12.75">
      <c r="A18" t="s">
        <v>485</v>
      </c>
    </row>
    <row r="21" spans="1:2" ht="12.75">
      <c r="A21">
        <v>31</v>
      </c>
      <c r="B21">
        <v>744</v>
      </c>
    </row>
    <row r="22" spans="1:2" ht="12.75">
      <c r="A22">
        <v>28</v>
      </c>
      <c r="B22">
        <v>672</v>
      </c>
    </row>
    <row r="23" spans="1:2" ht="12.75">
      <c r="A23">
        <v>31</v>
      </c>
      <c r="B23">
        <v>744</v>
      </c>
    </row>
    <row r="24" spans="1:2" ht="12.75">
      <c r="A24">
        <v>30</v>
      </c>
      <c r="B24">
        <v>720</v>
      </c>
    </row>
    <row r="25" spans="1:2" ht="12.75">
      <c r="A25">
        <v>31</v>
      </c>
      <c r="B25">
        <v>744</v>
      </c>
    </row>
    <row r="26" spans="1:2" ht="12.75">
      <c r="A26">
        <v>30</v>
      </c>
      <c r="B26">
        <v>720</v>
      </c>
    </row>
    <row r="27" spans="1:2" ht="12.75">
      <c r="A27">
        <v>31</v>
      </c>
      <c r="B27">
        <v>744</v>
      </c>
    </row>
    <row r="28" spans="1:2" ht="12.75">
      <c r="A28">
        <v>31</v>
      </c>
      <c r="B28">
        <v>744</v>
      </c>
    </row>
    <row r="29" spans="1:2" ht="12.75">
      <c r="A29">
        <v>30</v>
      </c>
      <c r="B29">
        <v>720</v>
      </c>
    </row>
    <row r="30" spans="1:2" ht="12.75">
      <c r="A30">
        <v>31</v>
      </c>
      <c r="B30">
        <v>744</v>
      </c>
    </row>
    <row r="31" spans="1:2" ht="12.75">
      <c r="A31">
        <v>30</v>
      </c>
      <c r="B31">
        <v>720</v>
      </c>
    </row>
    <row r="32" spans="1:2" ht="12.75">
      <c r="A32">
        <v>31</v>
      </c>
      <c r="B32">
        <v>744</v>
      </c>
    </row>
    <row r="33" spans="1:2" ht="12.75">
      <c r="A33">
        <f>SUM(A21:A32)</f>
        <v>365</v>
      </c>
      <c r="B33">
        <v>8760</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M31"/>
  <sheetViews>
    <sheetView workbookViewId="0" topLeftCell="A7">
      <selection activeCell="B31" sqref="B31"/>
    </sheetView>
  </sheetViews>
  <sheetFormatPr defaultColWidth="9.140625" defaultRowHeight="12.75"/>
  <cols>
    <col min="1" max="1" width="50.57421875" style="0" customWidth="1"/>
    <col min="2" max="13" width="5.28125" style="0" customWidth="1"/>
  </cols>
  <sheetData>
    <row r="1" ht="12.75">
      <c r="A1" s="16" t="s">
        <v>488</v>
      </c>
    </row>
    <row r="2" ht="12.75">
      <c r="A2" t="s">
        <v>523</v>
      </c>
    </row>
    <row r="4" ht="13.5" thickBot="1"/>
    <row r="5" spans="1:2" ht="13.5" thickBot="1">
      <c r="A5" s="254" t="s">
        <v>489</v>
      </c>
      <c r="B5" s="260"/>
    </row>
    <row r="6" spans="1:3" ht="12.75">
      <c r="A6" s="189" t="s">
        <v>490</v>
      </c>
      <c r="B6" s="259">
        <v>4707</v>
      </c>
      <c r="C6" t="s">
        <v>491</v>
      </c>
    </row>
    <row r="7" spans="1:3" ht="12.75">
      <c r="A7" s="192" t="s">
        <v>492</v>
      </c>
      <c r="B7" s="198">
        <v>4.28</v>
      </c>
      <c r="C7" t="s">
        <v>493</v>
      </c>
    </row>
    <row r="8" spans="1:2" ht="13.5" thickBot="1">
      <c r="A8" s="199" t="s">
        <v>494</v>
      </c>
      <c r="B8" s="257">
        <v>233</v>
      </c>
    </row>
    <row r="9" ht="13.5" thickBot="1"/>
    <row r="10" spans="1:5" ht="13.5" thickBot="1">
      <c r="A10" s="254" t="s">
        <v>495</v>
      </c>
      <c r="B10" s="254" t="s">
        <v>493</v>
      </c>
      <c r="C10" s="254" t="s">
        <v>496</v>
      </c>
      <c r="D10" s="254" t="s">
        <v>497</v>
      </c>
      <c r="E10" s="255" t="s">
        <v>487</v>
      </c>
    </row>
    <row r="11" spans="1:5" ht="12.75">
      <c r="A11" s="192" t="s">
        <v>527</v>
      </c>
      <c r="B11" s="85">
        <v>0.88</v>
      </c>
      <c r="C11" s="85">
        <v>0.611</v>
      </c>
      <c r="D11" s="85">
        <v>0.206</v>
      </c>
      <c r="E11" s="198">
        <v>131</v>
      </c>
    </row>
    <row r="12" spans="1:5" ht="12.75">
      <c r="A12" s="192" t="s">
        <v>528</v>
      </c>
      <c r="B12" s="85">
        <v>1.26</v>
      </c>
      <c r="C12" s="85">
        <v>0.427</v>
      </c>
      <c r="D12" s="85">
        <v>0.294</v>
      </c>
      <c r="E12" s="198">
        <v>232</v>
      </c>
    </row>
    <row r="13" spans="1:5" ht="12.75">
      <c r="A13" s="192" t="s">
        <v>529</v>
      </c>
      <c r="B13" s="85">
        <v>0.62</v>
      </c>
      <c r="C13" s="85">
        <v>0.862</v>
      </c>
      <c r="D13" s="85">
        <v>0.146</v>
      </c>
      <c r="E13" s="198">
        <v>233</v>
      </c>
    </row>
    <row r="14" spans="1:5" ht="13.5" thickBot="1">
      <c r="A14" s="199" t="s">
        <v>498</v>
      </c>
      <c r="B14" s="256">
        <v>1.5</v>
      </c>
      <c r="C14" s="256">
        <v>0.359</v>
      </c>
      <c r="D14" s="256">
        <v>0.35</v>
      </c>
      <c r="E14" s="257">
        <v>184</v>
      </c>
    </row>
    <row r="16" spans="1:13" ht="13.5" thickBot="1">
      <c r="A16" t="s">
        <v>530</v>
      </c>
      <c r="B16">
        <v>744</v>
      </c>
      <c r="C16">
        <v>672</v>
      </c>
      <c r="D16">
        <v>744</v>
      </c>
      <c r="E16">
        <v>720</v>
      </c>
      <c r="F16">
        <v>744</v>
      </c>
      <c r="G16">
        <v>720</v>
      </c>
      <c r="H16">
        <v>744</v>
      </c>
      <c r="I16">
        <v>744</v>
      </c>
      <c r="J16">
        <v>720</v>
      </c>
      <c r="K16">
        <v>744</v>
      </c>
      <c r="L16">
        <v>720</v>
      </c>
      <c r="M16">
        <v>744</v>
      </c>
    </row>
    <row r="17" spans="1:13" ht="13.5" thickBot="1">
      <c r="A17" s="261" t="s">
        <v>499</v>
      </c>
      <c r="B17" s="262" t="s">
        <v>436</v>
      </c>
      <c r="C17" s="262" t="s">
        <v>437</v>
      </c>
      <c r="D17" s="262" t="s">
        <v>438</v>
      </c>
      <c r="E17" s="262" t="s">
        <v>439</v>
      </c>
      <c r="F17" s="262" t="s">
        <v>440</v>
      </c>
      <c r="G17" s="262" t="s">
        <v>441</v>
      </c>
      <c r="H17" s="262" t="s">
        <v>442</v>
      </c>
      <c r="I17" s="262" t="s">
        <v>443</v>
      </c>
      <c r="J17" s="262" t="s">
        <v>444</v>
      </c>
      <c r="K17" s="262" t="s">
        <v>445</v>
      </c>
      <c r="L17" s="262" t="s">
        <v>446</v>
      </c>
      <c r="M17" s="263" t="s">
        <v>447</v>
      </c>
    </row>
    <row r="18" spans="1:13" ht="12.75">
      <c r="A18" s="258" t="s">
        <v>500</v>
      </c>
      <c r="B18" s="264">
        <v>452</v>
      </c>
      <c r="C18" s="264">
        <v>409</v>
      </c>
      <c r="D18" s="264">
        <v>436</v>
      </c>
      <c r="E18" s="264">
        <v>408</v>
      </c>
      <c r="F18" s="264">
        <v>401</v>
      </c>
      <c r="G18" s="264">
        <v>363</v>
      </c>
      <c r="H18" s="264">
        <v>351</v>
      </c>
      <c r="I18" s="264">
        <v>344</v>
      </c>
      <c r="J18" s="264">
        <v>349</v>
      </c>
      <c r="K18" s="264">
        <v>372</v>
      </c>
      <c r="L18" s="264">
        <v>388</v>
      </c>
      <c r="M18" s="265">
        <v>433</v>
      </c>
    </row>
    <row r="19" spans="1:13" ht="12.75">
      <c r="A19" s="192" t="s">
        <v>526</v>
      </c>
      <c r="B19" s="174">
        <v>4.02</v>
      </c>
      <c r="C19" s="174">
        <v>4.02</v>
      </c>
      <c r="D19" s="174">
        <v>4.02</v>
      </c>
      <c r="E19" s="174">
        <v>4.03</v>
      </c>
      <c r="F19" s="174">
        <v>3.97</v>
      </c>
      <c r="G19" s="174">
        <v>3.9</v>
      </c>
      <c r="H19" s="174">
        <v>3.82</v>
      </c>
      <c r="I19" s="174">
        <v>3.79</v>
      </c>
      <c r="J19" s="174">
        <v>3.83</v>
      </c>
      <c r="K19" s="174">
        <v>3.88</v>
      </c>
      <c r="L19" s="174">
        <v>3.94</v>
      </c>
      <c r="M19" s="249">
        <v>3.99</v>
      </c>
    </row>
    <row r="20" spans="1:13" ht="12.75">
      <c r="A20" s="192" t="s">
        <v>525</v>
      </c>
      <c r="B20" s="174">
        <v>1.2</v>
      </c>
      <c r="C20" s="174">
        <v>1.25</v>
      </c>
      <c r="D20" s="174">
        <v>1.29</v>
      </c>
      <c r="E20" s="174">
        <v>1.27</v>
      </c>
      <c r="F20" s="174">
        <v>1.26</v>
      </c>
      <c r="G20" s="174">
        <v>1.05</v>
      </c>
      <c r="H20" s="174">
        <v>0.64</v>
      </c>
      <c r="I20" s="174">
        <v>0.62</v>
      </c>
      <c r="J20" s="174">
        <v>1.1</v>
      </c>
      <c r="K20" s="174">
        <v>1.13</v>
      </c>
      <c r="L20" s="174">
        <v>1.2</v>
      </c>
      <c r="M20" s="249">
        <v>1.22</v>
      </c>
    </row>
    <row r="21" spans="1:13" ht="12.75">
      <c r="A21" s="192" t="s">
        <v>524</v>
      </c>
      <c r="B21" s="174">
        <v>1.41</v>
      </c>
      <c r="C21" s="174">
        <v>1.5</v>
      </c>
      <c r="D21" s="174">
        <v>1.48</v>
      </c>
      <c r="E21" s="174">
        <v>1.49</v>
      </c>
      <c r="F21" s="174">
        <v>1.47</v>
      </c>
      <c r="G21" s="174">
        <v>1.24</v>
      </c>
      <c r="H21" s="174">
        <v>1.04</v>
      </c>
      <c r="I21" s="174">
        <v>1.04</v>
      </c>
      <c r="J21" s="174">
        <v>1.26</v>
      </c>
      <c r="K21" s="174">
        <v>1.3</v>
      </c>
      <c r="L21" s="174">
        <v>1.4</v>
      </c>
      <c r="M21" s="249">
        <v>1.43</v>
      </c>
    </row>
    <row r="22" spans="1:13" ht="12.75">
      <c r="A22" s="192" t="s">
        <v>501</v>
      </c>
      <c r="B22" s="174">
        <v>0.505</v>
      </c>
      <c r="C22" s="174">
        <v>0.484</v>
      </c>
      <c r="D22" s="174">
        <v>0.454</v>
      </c>
      <c r="E22" s="174">
        <v>0.447</v>
      </c>
      <c r="F22" s="174">
        <v>0.429</v>
      </c>
      <c r="G22" s="174">
        <v>0.48</v>
      </c>
      <c r="H22" s="174">
        <v>0.738</v>
      </c>
      <c r="I22" s="174">
        <v>0.743</v>
      </c>
      <c r="J22" s="174">
        <v>0.441</v>
      </c>
      <c r="K22" s="174">
        <v>0.442</v>
      </c>
      <c r="L22" s="174">
        <v>0.449</v>
      </c>
      <c r="M22" s="249">
        <v>0.477</v>
      </c>
    </row>
    <row r="23" spans="1:13" ht="12.75">
      <c r="A23" s="192" t="s">
        <v>502</v>
      </c>
      <c r="B23" s="174">
        <v>0.431</v>
      </c>
      <c r="C23" s="174">
        <v>0.404</v>
      </c>
      <c r="D23" s="174">
        <v>0.395</v>
      </c>
      <c r="E23" s="174">
        <v>0.381</v>
      </c>
      <c r="F23" s="174">
        <v>0.366</v>
      </c>
      <c r="G23" s="174">
        <v>0.408</v>
      </c>
      <c r="H23" s="174">
        <v>0.454</v>
      </c>
      <c r="I23" s="174">
        <v>0.446</v>
      </c>
      <c r="J23" s="174">
        <v>0.386</v>
      </c>
      <c r="K23" s="174">
        <v>0.383</v>
      </c>
      <c r="L23" s="174">
        <v>0.386</v>
      </c>
      <c r="M23" s="249">
        <v>0.408</v>
      </c>
    </row>
    <row r="24" spans="1:13" ht="12.75">
      <c r="A24" s="266" t="s">
        <v>532</v>
      </c>
      <c r="B24" s="267">
        <f>B20/B19</f>
        <v>0.2985074626865672</v>
      </c>
      <c r="C24" s="267">
        <f aca="true" t="shared" si="0" ref="C24:M24">C20/C19</f>
        <v>0.3109452736318408</v>
      </c>
      <c r="D24" s="267">
        <f t="shared" si="0"/>
        <v>0.32089552238805974</v>
      </c>
      <c r="E24" s="267">
        <f t="shared" si="0"/>
        <v>0.315136476426799</v>
      </c>
      <c r="F24" s="267">
        <f t="shared" si="0"/>
        <v>0.31738035264483627</v>
      </c>
      <c r="G24" s="267">
        <f t="shared" si="0"/>
        <v>0.2692307692307693</v>
      </c>
      <c r="H24" s="267">
        <f t="shared" si="0"/>
        <v>0.16753926701570682</v>
      </c>
      <c r="I24" s="267">
        <f t="shared" si="0"/>
        <v>0.16358839050131926</v>
      </c>
      <c r="J24" s="267">
        <f t="shared" si="0"/>
        <v>0.28720626631853785</v>
      </c>
      <c r="K24" s="267">
        <f t="shared" si="0"/>
        <v>0.2912371134020618</v>
      </c>
      <c r="L24" s="267">
        <f t="shared" si="0"/>
        <v>0.3045685279187817</v>
      </c>
      <c r="M24" s="267">
        <f t="shared" si="0"/>
        <v>0.3057644110275689</v>
      </c>
    </row>
    <row r="25" spans="1:13" ht="13.5" thickBot="1">
      <c r="A25" s="199" t="s">
        <v>531</v>
      </c>
      <c r="B25" s="252">
        <f>B18/B16</f>
        <v>0.6075268817204301</v>
      </c>
      <c r="C25" s="252">
        <f aca="true" t="shared" si="1" ref="C25:M25">C18/C16</f>
        <v>0.6086309523809523</v>
      </c>
      <c r="D25" s="252">
        <f t="shared" si="1"/>
        <v>0.5860215053763441</v>
      </c>
      <c r="E25" s="252">
        <f t="shared" si="1"/>
        <v>0.5666666666666667</v>
      </c>
      <c r="F25" s="252">
        <f t="shared" si="1"/>
        <v>0.5389784946236559</v>
      </c>
      <c r="G25" s="252">
        <f t="shared" si="1"/>
        <v>0.5041666666666667</v>
      </c>
      <c r="H25" s="252">
        <f t="shared" si="1"/>
        <v>0.4717741935483871</v>
      </c>
      <c r="I25" s="252">
        <f t="shared" si="1"/>
        <v>0.46236559139784944</v>
      </c>
      <c r="J25" s="252">
        <f t="shared" si="1"/>
        <v>0.4847222222222222</v>
      </c>
      <c r="K25" s="252">
        <f t="shared" si="1"/>
        <v>0.5</v>
      </c>
      <c r="L25" s="252">
        <f t="shared" si="1"/>
        <v>0.5388888888888889</v>
      </c>
      <c r="M25" s="253">
        <f t="shared" si="1"/>
        <v>0.581989247311828</v>
      </c>
    </row>
    <row r="26" spans="2:13" ht="12.75">
      <c r="B26" s="48"/>
      <c r="C26" s="48"/>
      <c r="D26" s="48"/>
      <c r="E26" s="48"/>
      <c r="F26" s="48"/>
      <c r="G26" s="48"/>
      <c r="H26" s="48"/>
      <c r="I26" s="48"/>
      <c r="J26" s="48"/>
      <c r="K26" s="48"/>
      <c r="L26" s="48"/>
      <c r="M26" s="48"/>
    </row>
    <row r="27" spans="2:13" ht="12.75">
      <c r="B27" s="274">
        <f>B18/$B6</f>
        <v>0.09602719354153388</v>
      </c>
      <c r="C27" s="274">
        <f aca="true" t="shared" si="2" ref="C27:M27">C18/$B6</f>
        <v>0.08689186318249416</v>
      </c>
      <c r="D27" s="274">
        <f t="shared" si="2"/>
        <v>0.09262800084979818</v>
      </c>
      <c r="E27" s="274">
        <f t="shared" si="2"/>
        <v>0.08667941363926067</v>
      </c>
      <c r="F27" s="274">
        <f t="shared" si="2"/>
        <v>0.0851922668366263</v>
      </c>
      <c r="G27" s="274">
        <f t="shared" si="2"/>
        <v>0.07711918419375398</v>
      </c>
      <c r="H27" s="274">
        <f t="shared" si="2"/>
        <v>0.0745697896749522</v>
      </c>
      <c r="I27" s="274">
        <f t="shared" si="2"/>
        <v>0.07308264287231782</v>
      </c>
      <c r="J27" s="274">
        <f t="shared" si="2"/>
        <v>0.07414489058848524</v>
      </c>
      <c r="K27" s="274">
        <f t="shared" si="2"/>
        <v>0.07903123008285533</v>
      </c>
      <c r="L27" s="274">
        <f t="shared" si="2"/>
        <v>0.08243042277459103</v>
      </c>
      <c r="M27" s="274">
        <f t="shared" si="2"/>
        <v>0.09199065222009772</v>
      </c>
    </row>
    <row r="31" spans="1:3" ht="12.75">
      <c r="A31" s="275">
        <f>3700*'[1]Total Housing Units'!$E$2/8760000</f>
        <v>2025.7305707762557</v>
      </c>
      <c r="B31" s="181">
        <f>A31/'[1]Total Housing Units'!$D$5</f>
        <v>0.2855019059497627</v>
      </c>
      <c r="C31" t="s">
        <v>540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158</v>
      </c>
      <c r="E8" s="31" t="b">
        <v>0</v>
      </c>
      <c r="F8" s="16"/>
      <c r="G8" s="5"/>
      <c r="H8" s="5"/>
      <c r="I8"/>
      <c r="J8"/>
      <c r="K8"/>
    </row>
    <row r="9" spans="1:11" ht="15" customHeight="1">
      <c r="A9" s="17" t="s">
        <v>24</v>
      </c>
      <c r="B9" s="21">
        <v>1</v>
      </c>
      <c r="C9" s="4"/>
      <c r="D9" s="80" t="s">
        <v>164</v>
      </c>
      <c r="E9" s="31" t="b">
        <v>1</v>
      </c>
      <c r="F9"/>
      <c r="G9" s="5"/>
      <c r="H9" s="5"/>
      <c r="I9"/>
      <c r="J9"/>
      <c r="K9"/>
    </row>
    <row r="10" spans="1:10" ht="15" customHeight="1">
      <c r="A10" s="17" t="s">
        <v>25</v>
      </c>
      <c r="B10" s="21">
        <v>0</v>
      </c>
      <c r="C10" s="4"/>
      <c r="D10" s="30" t="s">
        <v>409</v>
      </c>
      <c r="E10" s="32" t="b">
        <v>0</v>
      </c>
      <c r="F10" s="8"/>
      <c r="G10" s="9"/>
      <c r="H10" s="5"/>
      <c r="I10"/>
      <c r="J10"/>
    </row>
    <row r="11" spans="1:11" s="10" customFormat="1" ht="15" customHeight="1">
      <c r="A11" s="75" t="s">
        <v>26</v>
      </c>
      <c r="B11" s="21">
        <v>0</v>
      </c>
      <c r="C11" s="4"/>
      <c r="D11" s="30" t="s">
        <v>456</v>
      </c>
      <c r="E11" s="32" t="b">
        <v>0</v>
      </c>
      <c r="F11" s="5"/>
      <c r="G11" s="5"/>
      <c r="H11" s="5"/>
      <c r="I11"/>
      <c r="J11"/>
      <c r="K11" s="3"/>
    </row>
    <row r="12" spans="1:10" ht="15" customHeight="1">
      <c r="A12" s="17" t="s">
        <v>27</v>
      </c>
      <c r="B12" s="18">
        <v>20</v>
      </c>
      <c r="C12" s="4"/>
      <c r="D12" s="30" t="s">
        <v>410</v>
      </c>
      <c r="E12" s="32" t="b">
        <v>0</v>
      </c>
      <c r="F12" s="4"/>
      <c r="G12" s="5"/>
      <c r="H12" s="5"/>
      <c r="I12"/>
      <c r="J12" s="11"/>
    </row>
    <row r="13" spans="1:9" ht="15" customHeight="1">
      <c r="A13" s="34" t="s">
        <v>29</v>
      </c>
      <c r="B13" s="20">
        <v>0.025</v>
      </c>
      <c r="C13" s="4"/>
      <c r="D13" s="17" t="s">
        <v>411</v>
      </c>
      <c r="E13" s="33" t="b">
        <v>0</v>
      </c>
      <c r="F13" s="4"/>
      <c r="G13" s="5"/>
      <c r="H13" s="5"/>
      <c r="I13"/>
    </row>
    <row r="14" spans="1:9" ht="15" customHeight="1">
      <c r="A14" s="34" t="s">
        <v>28</v>
      </c>
      <c r="B14" s="22">
        <v>3</v>
      </c>
      <c r="C14" s="4"/>
      <c r="D14" s="17" t="s">
        <v>412</v>
      </c>
      <c r="E14" s="33" t="b">
        <v>0</v>
      </c>
      <c r="F14" s="5"/>
      <c r="G14" s="5"/>
      <c r="H14" s="5"/>
      <c r="I14"/>
    </row>
    <row r="15" spans="1:9" ht="14.25">
      <c r="A15" s="34" t="s">
        <v>30</v>
      </c>
      <c r="B15" s="20">
        <v>0.05</v>
      </c>
      <c r="C15" s="4"/>
      <c r="D15" s="17" t="s">
        <v>413</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285" t="s">
        <v>482</v>
      </c>
      <c r="C21" s="286"/>
      <c r="D21" s="287"/>
      <c r="E21" s="12"/>
      <c r="F21" s="5"/>
      <c r="G21" s="5"/>
      <c r="H21" s="14"/>
      <c r="I21" s="5"/>
    </row>
    <row r="22" spans="1:9" ht="14.25">
      <c r="A22" s="34" t="s">
        <v>0</v>
      </c>
      <c r="B22" s="7" t="s">
        <v>468</v>
      </c>
      <c r="C22" s="4"/>
      <c r="D22" s="4"/>
      <c r="E22" s="4"/>
      <c r="F22" s="5"/>
      <c r="G22" s="5"/>
      <c r="H22" s="5"/>
      <c r="I22" s="5"/>
    </row>
    <row r="23" spans="1:9" ht="14.25">
      <c r="A23" s="17" t="s">
        <v>19</v>
      </c>
      <c r="B23" s="7" t="s">
        <v>159</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12"/>
  <sheetViews>
    <sheetView workbookViewId="0" topLeftCell="B1">
      <selection activeCell="K38" sqref="K38"/>
    </sheetView>
  </sheetViews>
  <sheetFormatPr defaultColWidth="9.140625" defaultRowHeight="12.75"/>
  <cols>
    <col min="1" max="1" width="90.00390625" style="87" customWidth="1"/>
    <col min="2" max="2" width="96.00390625" style="87" customWidth="1"/>
    <col min="3" max="4" width="8.8515625" style="87" customWidth="1"/>
    <col min="5" max="5" width="12.00390625" style="87" customWidth="1"/>
    <col min="6" max="6" width="8.8515625" style="87" customWidth="1"/>
    <col min="7" max="7" width="12.140625" style="87" customWidth="1"/>
    <col min="8" max="8" width="10.57421875" style="87" customWidth="1"/>
    <col min="9" max="17" width="8.8515625" style="87" customWidth="1"/>
    <col min="18" max="18" width="10.57421875" style="87" customWidth="1"/>
    <col min="19" max="16384" width="8.8515625" style="87" customWidth="1"/>
  </cols>
  <sheetData>
    <row r="1" spans="1:15" ht="12.75">
      <c r="A1" s="86" t="s">
        <v>127</v>
      </c>
      <c r="I1" s="88"/>
      <c r="J1" s="88"/>
      <c r="K1" s="88"/>
      <c r="L1" s="88"/>
      <c r="M1" s="88"/>
      <c r="N1" s="89"/>
      <c r="O1" s="89"/>
    </row>
    <row r="2" spans="1:15" ht="12.75">
      <c r="A2" s="90" t="s">
        <v>163</v>
      </c>
      <c r="I2" s="88"/>
      <c r="J2" s="88"/>
      <c r="K2" s="88"/>
      <c r="L2" s="88"/>
      <c r="M2" s="88"/>
      <c r="N2" s="89"/>
      <c r="O2" s="89"/>
    </row>
    <row r="3" spans="9:15" ht="12.75">
      <c r="I3" s="88"/>
      <c r="J3" s="88"/>
      <c r="K3" s="88"/>
      <c r="L3" s="88"/>
      <c r="M3" s="88"/>
      <c r="N3" s="89"/>
      <c r="O3" s="89"/>
    </row>
    <row r="4" spans="1:14" ht="12.75">
      <c r="A4" s="91" t="s">
        <v>32</v>
      </c>
      <c r="B4" s="92"/>
      <c r="C4" s="93"/>
      <c r="D4" s="93"/>
      <c r="E4" s="93"/>
      <c r="F4" s="93"/>
      <c r="G4" s="93"/>
      <c r="H4" s="94"/>
      <c r="I4" s="95" t="s">
        <v>33</v>
      </c>
      <c r="J4" s="96"/>
      <c r="K4" s="96"/>
      <c r="L4" s="96"/>
      <c r="M4" s="96"/>
      <c r="N4" s="96"/>
    </row>
    <row r="5" spans="1:14" ht="38.25">
      <c r="A5" s="97" t="s">
        <v>34</v>
      </c>
      <c r="B5" s="97" t="s">
        <v>35</v>
      </c>
      <c r="C5" s="97" t="s">
        <v>128</v>
      </c>
      <c r="D5" s="97" t="s">
        <v>129</v>
      </c>
      <c r="E5" s="97" t="s">
        <v>36</v>
      </c>
      <c r="F5" s="97" t="s">
        <v>37</v>
      </c>
      <c r="G5" s="98" t="s">
        <v>38</v>
      </c>
      <c r="H5" s="98" t="s">
        <v>130</v>
      </c>
      <c r="I5" s="98" t="s">
        <v>39</v>
      </c>
      <c r="J5" s="98" t="s">
        <v>40</v>
      </c>
      <c r="K5" s="98" t="s">
        <v>41</v>
      </c>
      <c r="L5" s="98" t="s">
        <v>42</v>
      </c>
      <c r="M5" s="98" t="s">
        <v>43</v>
      </c>
      <c r="N5" s="98" t="s">
        <v>44</v>
      </c>
    </row>
    <row r="6" spans="1:30" ht="12" customHeight="1">
      <c r="A6" t="str">
        <f>"EF- "&amp;'Input Assumptions'!C23&amp;" Domestic Water Heater w/"&amp;'Input Assumptions'!A23&amp;" gallon rated capacity and minimum 10 year warranty"</f>
        <v>EF- 0.93 Domestic Water Heater w/50 gallon rated capacity and minimum 10 year warranty</v>
      </c>
      <c r="B6" t="str">
        <f>'Input Assumptions'!B23</f>
        <v>Heat Traps + Increased Insulation (3" foam) + Insulated Tank Bottom w/minimum 10 year Warranty</v>
      </c>
      <c r="C6" s="99">
        <f>'Input Assumptions'!H23</f>
        <v>112.03941987477577</v>
      </c>
      <c r="D6">
        <v>12</v>
      </c>
      <c r="E6" s="81">
        <f>'Input Assumptions'!E23</f>
        <v>20</v>
      </c>
      <c r="G6" s="87" t="s">
        <v>164</v>
      </c>
      <c r="H6" s="37"/>
      <c r="I6" s="37"/>
      <c r="J6" s="37"/>
      <c r="K6" s="37"/>
      <c r="L6" s="37"/>
      <c r="M6" s="37"/>
      <c r="N6" s="37"/>
      <c r="O6" s="37"/>
      <c r="P6" s="37"/>
      <c r="Q6" s="37"/>
      <c r="R6" s="37"/>
      <c r="S6" s="37"/>
      <c r="T6" s="37"/>
      <c r="U6" s="37"/>
      <c r="V6" s="37"/>
      <c r="W6" s="37"/>
      <c r="X6" s="37"/>
      <c r="Y6" s="37"/>
      <c r="Z6" s="37"/>
      <c r="AA6" s="37"/>
      <c r="AB6" s="37"/>
      <c r="AC6" s="37"/>
      <c r="AD6" s="37"/>
    </row>
    <row r="7" spans="1:30" ht="12" customHeight="1">
      <c r="A7" t="str">
        <f>"EF- "&amp;'Input Assumptions'!C24&amp;" Domestic Water Heater w/"&amp;'Input Assumptions'!A24&amp;" gallon rated capacity and minimum 10 year warranty"</f>
        <v>EF- 0.95 Domestic Water Heater w/50 gallon rated capacity and minimum 10 year warranty</v>
      </c>
      <c r="B7" t="str">
        <f>'Input Assumptions'!B24</f>
        <v>Heat Traps + Increased Insulation (3 1/2" foam) + Insulated Tank Bottom &amp; Plastic Tank w/minimum 10 yr warranty</v>
      </c>
      <c r="C7" s="99">
        <f>'Input Assumptions'!H24</f>
        <v>70.761738868279</v>
      </c>
      <c r="D7">
        <v>12</v>
      </c>
      <c r="E7" s="81">
        <f>'Input Assumptions'!E24</f>
        <v>20</v>
      </c>
      <c r="G7" s="87" t="s">
        <v>164</v>
      </c>
      <c r="H7" s="37"/>
      <c r="I7" s="37"/>
      <c r="J7" s="37"/>
      <c r="K7" s="37"/>
      <c r="L7" s="37"/>
      <c r="M7" s="37"/>
      <c r="N7" s="37"/>
      <c r="O7" s="37"/>
      <c r="P7" s="37"/>
      <c r="Q7" s="37"/>
      <c r="R7" s="37"/>
      <c r="S7" s="37"/>
      <c r="T7" s="37"/>
      <c r="U7" s="37"/>
      <c r="V7" s="37"/>
      <c r="W7" s="37"/>
      <c r="X7" s="37"/>
      <c r="Y7" s="37"/>
      <c r="Z7" s="37"/>
      <c r="AA7" s="37"/>
      <c r="AB7" s="37"/>
      <c r="AC7" s="37"/>
      <c r="AD7" s="37"/>
    </row>
    <row r="8" spans="1:41" ht="12.75" customHeight="1">
      <c r="A8" t="str">
        <f>"EF- "&amp;'Input Assumptions'!C25&amp;" Domestic Heat Pump Water Heater w/"&amp;'Input Assumptions'!A25&amp;" gallon rated capacity and minimum 20 year warranty"</f>
        <v>EF- 2.3 Domestic Heat Pump Water Heater w/50 gallon rated capacity and minimum 20 year warranty</v>
      </c>
      <c r="B8" t="str">
        <f>'Input Assumptions'!B25</f>
        <v>Heat Recovery Ventilating Heat Pump Water Heater (Tankless) w/Minimum 10 year warranty</v>
      </c>
      <c r="C8" s="99">
        <f>'Input Assumptions'!H25</f>
        <v>1931.333981502714</v>
      </c>
      <c r="D8">
        <v>20</v>
      </c>
      <c r="E8" s="81">
        <f>'Input Assumptions'!E25</f>
        <v>717</v>
      </c>
      <c r="F8" s="81">
        <v>30</v>
      </c>
      <c r="G8" s="87" t="s">
        <v>164</v>
      </c>
      <c r="H8"/>
      <c r="I8"/>
      <c r="J8"/>
      <c r="K8"/>
      <c r="L8"/>
      <c r="M8"/>
      <c r="N8"/>
      <c r="O8"/>
      <c r="P8"/>
      <c r="Q8"/>
      <c r="R8"/>
      <c r="S8"/>
      <c r="T8"/>
      <c r="U8"/>
      <c r="V8"/>
      <c r="W8"/>
      <c r="X8"/>
      <c r="Y8"/>
      <c r="Z8"/>
      <c r="AA8"/>
      <c r="AB8"/>
      <c r="AC8"/>
      <c r="AD8"/>
      <c r="AE8"/>
      <c r="AF8"/>
      <c r="AG8"/>
      <c r="AH8"/>
      <c r="AI8"/>
      <c r="AJ8"/>
      <c r="AK8"/>
      <c r="AL8"/>
      <c r="AM8"/>
      <c r="AN8"/>
      <c r="AO8"/>
    </row>
    <row r="9" spans="1:41"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row>
    <row r="10" spans="1:41" ht="12.75" customHeight="1" thickBo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row>
    <row r="11" spans="1:41" ht="12.75" customHeight="1" thickBot="1">
      <c r="A11" s="74" t="s">
        <v>552</v>
      </c>
      <c r="B11" s="38"/>
      <c r="C11" s="38"/>
      <c r="D11" s="39"/>
      <c r="E11"/>
      <c r="F11"/>
      <c r="G11"/>
      <c r="H11"/>
      <c r="I11"/>
      <c r="J11"/>
      <c r="K11"/>
      <c r="L11"/>
      <c r="M11"/>
      <c r="N11"/>
      <c r="O11"/>
      <c r="P11"/>
      <c r="Q11"/>
      <c r="R11"/>
      <c r="S11"/>
      <c r="T11"/>
      <c r="U11"/>
      <c r="V11"/>
      <c r="W11"/>
      <c r="X11"/>
      <c r="Y11"/>
      <c r="Z11"/>
      <c r="AA11"/>
      <c r="AB11"/>
      <c r="AC11"/>
      <c r="AD11"/>
      <c r="AE11"/>
      <c r="AF11"/>
      <c r="AG11"/>
      <c r="AH11"/>
      <c r="AI11"/>
      <c r="AJ11"/>
      <c r="AK11"/>
      <c r="AL11"/>
      <c r="AM11"/>
      <c r="AN11"/>
      <c r="AO11"/>
    </row>
    <row r="12" spans="1:41" ht="12.75" customHeight="1" thickBot="1">
      <c r="A12" s="40" t="s">
        <v>131</v>
      </c>
      <c r="B12" s="41"/>
      <c r="C12" s="42" t="s">
        <v>78</v>
      </c>
      <c r="D12" s="44"/>
      <c r="E12" s="44"/>
      <c r="F12" s="44"/>
      <c r="G12" s="44"/>
      <c r="H12" s="44"/>
      <c r="I12" s="44"/>
      <c r="J12" s="43"/>
      <c r="K12" s="42" t="s">
        <v>45</v>
      </c>
      <c r="L12" s="44"/>
      <c r="M12" s="43"/>
      <c r="N12" s="42" t="s">
        <v>46</v>
      </c>
      <c r="O12" s="44"/>
      <c r="P12" s="44"/>
      <c r="Q12" s="43"/>
      <c r="R12" s="42" t="s">
        <v>47</v>
      </c>
      <c r="S12" s="43"/>
      <c r="T12" s="42" t="s">
        <v>48</v>
      </c>
      <c r="U12" s="44"/>
      <c r="V12" s="44"/>
      <c r="W12" s="44"/>
      <c r="X12" s="43"/>
      <c r="Y12" s="42" t="s">
        <v>49</v>
      </c>
      <c r="Z12" s="44"/>
      <c r="AA12" s="44"/>
      <c r="AB12" s="44"/>
      <c r="AC12" s="43"/>
      <c r="AD12" s="42" t="s">
        <v>79</v>
      </c>
      <c r="AE12" s="44"/>
      <c r="AF12" s="44"/>
      <c r="AG12" s="44"/>
      <c r="AH12" s="44"/>
      <c r="AI12" s="43"/>
      <c r="AJ12" s="42" t="s">
        <v>80</v>
      </c>
      <c r="AK12" s="44"/>
      <c r="AL12" s="44"/>
      <c r="AM12" s="44"/>
      <c r="AN12" s="44"/>
      <c r="AO12" s="43"/>
    </row>
    <row r="13" spans="1:41" ht="51">
      <c r="A13" s="45" t="s">
        <v>51</v>
      </c>
      <c r="B13" s="46" t="s">
        <v>52</v>
      </c>
      <c r="C13" s="47" t="s">
        <v>81</v>
      </c>
      <c r="D13" s="47" t="s">
        <v>82</v>
      </c>
      <c r="E13" s="47" t="s">
        <v>83</v>
      </c>
      <c r="F13" s="47" t="s">
        <v>84</v>
      </c>
      <c r="G13" s="47" t="s">
        <v>150</v>
      </c>
      <c r="H13" s="47" t="s">
        <v>86</v>
      </c>
      <c r="I13" s="47" t="s">
        <v>87</v>
      </c>
      <c r="J13" s="47" t="s">
        <v>88</v>
      </c>
      <c r="K13" s="47" t="s">
        <v>89</v>
      </c>
      <c r="L13" s="47" t="s">
        <v>90</v>
      </c>
      <c r="M13" s="47" t="s">
        <v>91</v>
      </c>
      <c r="N13" s="47" t="s">
        <v>20</v>
      </c>
      <c r="O13" s="47" t="s">
        <v>21</v>
      </c>
      <c r="P13" s="47" t="s">
        <v>22</v>
      </c>
      <c r="Q13" s="47" t="s">
        <v>4</v>
      </c>
      <c r="R13" s="47" t="s">
        <v>53</v>
      </c>
      <c r="S13" s="47" t="s">
        <v>4</v>
      </c>
      <c r="T13" s="47" t="s">
        <v>20</v>
      </c>
      <c r="U13" s="47" t="s">
        <v>21</v>
      </c>
      <c r="V13" s="47" t="s">
        <v>22</v>
      </c>
      <c r="W13" s="47" t="s">
        <v>4</v>
      </c>
      <c r="X13" s="47" t="s">
        <v>57</v>
      </c>
      <c r="Y13" s="47" t="s">
        <v>20</v>
      </c>
      <c r="Z13" s="47" t="s">
        <v>21</v>
      </c>
      <c r="AA13" s="47" t="s">
        <v>22</v>
      </c>
      <c r="AB13" s="47" t="s">
        <v>4</v>
      </c>
      <c r="AC13" s="47" t="s">
        <v>57</v>
      </c>
      <c r="AD13" s="47" t="s">
        <v>92</v>
      </c>
      <c r="AE13" s="47" t="s">
        <v>93</v>
      </c>
      <c r="AF13" s="47" t="s">
        <v>56</v>
      </c>
      <c r="AG13" s="47" t="s">
        <v>94</v>
      </c>
      <c r="AH13" s="47" t="s">
        <v>95</v>
      </c>
      <c r="AI13" s="47" t="s">
        <v>96</v>
      </c>
      <c r="AJ13" s="47" t="s">
        <v>97</v>
      </c>
      <c r="AK13" s="47" t="s">
        <v>54</v>
      </c>
      <c r="AL13" s="47" t="s">
        <v>55</v>
      </c>
      <c r="AM13" s="47" t="s">
        <v>98</v>
      </c>
      <c r="AN13" s="47" t="s">
        <v>99</v>
      </c>
      <c r="AO13" s="47" t="s">
        <v>100</v>
      </c>
    </row>
    <row r="14" spans="1:41" ht="12.75" customHeight="1">
      <c r="A14" t="s">
        <v>454</v>
      </c>
      <c r="B14" t="s">
        <v>457</v>
      </c>
      <c r="C14" s="37">
        <v>12</v>
      </c>
      <c r="D14" s="37">
        <v>112.03941987477577</v>
      </c>
      <c r="E14" s="37">
        <v>20</v>
      </c>
      <c r="F14" s="37"/>
      <c r="G14" s="37">
        <v>0</v>
      </c>
      <c r="H14" s="37" t="s">
        <v>164</v>
      </c>
      <c r="I14" s="37">
        <v>0.286</v>
      </c>
      <c r="J14" s="37">
        <v>0.31700000166893005</v>
      </c>
      <c r="K14" s="37">
        <v>120.58242564022741</v>
      </c>
      <c r="L14" s="48">
        <v>0.015257140342783363</v>
      </c>
      <c r="M14" s="37">
        <v>0.04812978000775434</v>
      </c>
      <c r="N14" s="37"/>
      <c r="O14" s="37"/>
      <c r="P14" s="37">
        <v>20.00000426763609</v>
      </c>
      <c r="Q14" s="37">
        <v>8.343103027842645</v>
      </c>
      <c r="R14" s="37">
        <v>0</v>
      </c>
      <c r="S14" s="37">
        <v>0</v>
      </c>
      <c r="T14" s="37">
        <v>0</v>
      </c>
      <c r="U14" s="37">
        <v>0</v>
      </c>
      <c r="V14" s="37">
        <v>20.00000426763609</v>
      </c>
      <c r="W14" s="37">
        <v>8.343103027842645</v>
      </c>
      <c r="X14" s="37">
        <v>28.343107295478735</v>
      </c>
      <c r="Y14" s="37">
        <v>0</v>
      </c>
      <c r="Z14" s="37">
        <v>0</v>
      </c>
      <c r="AA14" s="37">
        <v>13.028512954711914</v>
      </c>
      <c r="AB14" s="37">
        <v>5.434909820556641</v>
      </c>
      <c r="AC14" s="37">
        <v>18.463422829390144</v>
      </c>
      <c r="AD14" s="37">
        <v>48.30034329813656</v>
      </c>
      <c r="AE14" s="37">
        <v>0.5827008195863993</v>
      </c>
      <c r="AF14" s="37">
        <v>6.055541515350342</v>
      </c>
      <c r="AG14" s="37">
        <v>54.91216243795352</v>
      </c>
      <c r="AH14" s="37">
        <v>20.00000426763609</v>
      </c>
      <c r="AI14" s="36">
        <v>2.7456075360349854</v>
      </c>
      <c r="AJ14" s="37">
        <v>12.254485130310059</v>
      </c>
      <c r="AK14" s="37">
        <v>0</v>
      </c>
      <c r="AL14" s="37">
        <v>0</v>
      </c>
      <c r="AM14" s="37">
        <v>67.1666488647461</v>
      </c>
      <c r="AN14" s="37">
        <v>28.343107295478735</v>
      </c>
      <c r="AO14" s="36">
        <v>2.369770050048828</v>
      </c>
    </row>
    <row r="15" spans="1:41" ht="12.75" customHeight="1">
      <c r="A15" t="s">
        <v>553</v>
      </c>
      <c r="B15" t="s">
        <v>467</v>
      </c>
      <c r="C15" s="37">
        <v>12</v>
      </c>
      <c r="D15" s="37">
        <v>70.761738868279</v>
      </c>
      <c r="E15" s="37">
        <v>20</v>
      </c>
      <c r="F15" s="37"/>
      <c r="G15" s="37">
        <v>0</v>
      </c>
      <c r="H15" s="37" t="s">
        <v>164</v>
      </c>
      <c r="I15" s="37">
        <v>0.286</v>
      </c>
      <c r="J15" s="37">
        <v>0.31700000166893005</v>
      </c>
      <c r="K15" s="37">
        <v>76.15732145698527</v>
      </c>
      <c r="L15" s="48">
        <v>0.009636088637547328</v>
      </c>
      <c r="M15" s="37">
        <v>0.030397755794370977</v>
      </c>
      <c r="N15" s="37"/>
      <c r="O15" s="37"/>
      <c r="P15" s="37">
        <v>20.00000426763609</v>
      </c>
      <c r="Q15" s="37">
        <v>8.343103027842645</v>
      </c>
      <c r="R15" s="37">
        <v>0</v>
      </c>
      <c r="S15" s="37">
        <v>0</v>
      </c>
      <c r="T15" s="37">
        <v>0</v>
      </c>
      <c r="U15" s="37">
        <v>0</v>
      </c>
      <c r="V15" s="37">
        <v>20.00000426763609</v>
      </c>
      <c r="W15" s="37">
        <v>8.343103027842645</v>
      </c>
      <c r="X15" s="37">
        <v>28.343107295478735</v>
      </c>
      <c r="Y15" s="37">
        <v>0</v>
      </c>
      <c r="Z15" s="37">
        <v>0</v>
      </c>
      <c r="AA15" s="37">
        <v>20.62847900390625</v>
      </c>
      <c r="AB15" s="37">
        <v>8.605274200439453</v>
      </c>
      <c r="AC15" s="37">
        <v>29.23375281320124</v>
      </c>
      <c r="AD15" s="37">
        <v>30.505479977770218</v>
      </c>
      <c r="AE15" s="37">
        <v>0.3680215702650921</v>
      </c>
      <c r="AF15" s="37">
        <v>3.824552536010742</v>
      </c>
      <c r="AG15" s="37">
        <v>34.68136575028619</v>
      </c>
      <c r="AH15" s="37">
        <v>20.00000426763609</v>
      </c>
      <c r="AI15" s="36">
        <v>1.734067917495768</v>
      </c>
      <c r="AJ15" s="37">
        <v>7.739675521850586</v>
      </c>
      <c r="AK15" s="37">
        <v>0</v>
      </c>
      <c r="AL15" s="37">
        <v>0</v>
      </c>
      <c r="AM15" s="37">
        <v>42.42103958129883</v>
      </c>
      <c r="AN15" s="37">
        <v>28.343107295478735</v>
      </c>
      <c r="AO15" s="36">
        <v>1.4966968297958374</v>
      </c>
    </row>
    <row r="16" spans="1:41" ht="12.75" customHeight="1">
      <c r="A16" t="s">
        <v>466</v>
      </c>
      <c r="B16" t="s">
        <v>451</v>
      </c>
      <c r="C16" s="37">
        <v>20</v>
      </c>
      <c r="D16" s="37">
        <v>1931.333981502714</v>
      </c>
      <c r="E16" s="37">
        <v>717</v>
      </c>
      <c r="F16" s="37">
        <v>30</v>
      </c>
      <c r="G16" s="37">
        <v>0</v>
      </c>
      <c r="H16" s="37" t="s">
        <v>164</v>
      </c>
      <c r="I16" s="37">
        <v>0.286</v>
      </c>
      <c r="J16" s="37">
        <v>0.31700000166893005</v>
      </c>
      <c r="K16" s="37">
        <v>2078.598197592296</v>
      </c>
      <c r="L16" s="48">
        <v>0.26300237574871194</v>
      </c>
      <c r="M16" s="37">
        <v>0.8296604869528915</v>
      </c>
      <c r="N16" s="37"/>
      <c r="O16" s="37"/>
      <c r="P16" s="37">
        <v>717.0001529947538</v>
      </c>
      <c r="Q16" s="37">
        <v>0</v>
      </c>
      <c r="R16" s="37">
        <v>0</v>
      </c>
      <c r="S16" s="37">
        <v>381.9200744628906</v>
      </c>
      <c r="T16" s="37">
        <v>0</v>
      </c>
      <c r="U16" s="37">
        <v>0</v>
      </c>
      <c r="V16" s="37">
        <v>717.0001529947538</v>
      </c>
      <c r="W16" s="37">
        <v>381.9200744628906</v>
      </c>
      <c r="X16" s="37">
        <v>1098.9202274576444</v>
      </c>
      <c r="Y16" s="37">
        <v>0</v>
      </c>
      <c r="Z16" s="37">
        <v>0</v>
      </c>
      <c r="AA16" s="37">
        <v>27.095518112182617</v>
      </c>
      <c r="AB16" s="37">
        <v>14.432804107666016</v>
      </c>
      <c r="AC16" s="37">
        <v>41.528322795259626</v>
      </c>
      <c r="AD16" s="37">
        <v>832.6006546106694</v>
      </c>
      <c r="AE16" s="37">
        <v>10.044588727561438</v>
      </c>
      <c r="AF16" s="37">
        <v>104.38533782958984</v>
      </c>
      <c r="AG16" s="37">
        <v>946.5750984931358</v>
      </c>
      <c r="AH16" s="37">
        <v>717.0001529947538</v>
      </c>
      <c r="AI16" s="36">
        <v>1.320188140183091</v>
      </c>
      <c r="AJ16" s="37">
        <v>211.24267578125</v>
      </c>
      <c r="AK16" s="37">
        <v>0</v>
      </c>
      <c r="AL16" s="37">
        <v>0</v>
      </c>
      <c r="AM16" s="37">
        <v>1157.8177490234375</v>
      </c>
      <c r="AN16" s="37">
        <v>1098.9202274576444</v>
      </c>
      <c r="AO16" s="36">
        <v>1.053595781326294</v>
      </c>
    </row>
    <row r="17" spans="1:41" ht="12.75" customHeight="1">
      <c r="A17"/>
      <c r="B17"/>
      <c r="C17" s="37"/>
      <c r="D17" s="37"/>
      <c r="E17" s="37"/>
      <c r="F17" s="37"/>
      <c r="G17" s="37"/>
      <c r="H17" s="37"/>
      <c r="I17" s="37"/>
      <c r="J17" s="37"/>
      <c r="K17" s="37"/>
      <c r="L17" s="48"/>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49"/>
    </row>
    <row r="18" spans="1:41" ht="12.75" customHeight="1" thickBot="1">
      <c r="A18"/>
      <c r="B18"/>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row>
    <row r="19" spans="1:41" ht="12.75" customHeight="1" thickBot="1">
      <c r="A19" s="50" t="s">
        <v>132</v>
      </c>
      <c r="B19" s="59"/>
      <c r="C19" s="60" t="s">
        <v>101</v>
      </c>
      <c r="D19" s="51"/>
      <c r="E19" s="51"/>
      <c r="F19" s="51"/>
      <c r="G19" s="51"/>
      <c r="H19" s="51"/>
      <c r="I19" s="51"/>
      <c r="J19" s="52"/>
      <c r="K19" s="60" t="s">
        <v>45</v>
      </c>
      <c r="L19" s="51"/>
      <c r="M19" s="52"/>
      <c r="N19" s="60" t="s">
        <v>102</v>
      </c>
      <c r="O19" s="51"/>
      <c r="P19" s="51"/>
      <c r="Q19" s="51"/>
      <c r="R19" s="61" t="s">
        <v>103</v>
      </c>
      <c r="S19" s="60" t="s">
        <v>79</v>
      </c>
      <c r="T19" s="51"/>
      <c r="U19" s="51"/>
      <c r="V19" s="51"/>
      <c r="W19" s="51"/>
      <c r="X19" s="52"/>
      <c r="Y19" s="60" t="s">
        <v>80</v>
      </c>
      <c r="Z19" s="51"/>
      <c r="AA19" s="51"/>
      <c r="AB19" s="51"/>
      <c r="AC19" s="51"/>
      <c r="AD19" s="52"/>
      <c r="AE19" s="37"/>
      <c r="AF19" s="37"/>
      <c r="AG19" s="37"/>
      <c r="AH19" s="37"/>
      <c r="AI19" s="37"/>
      <c r="AJ19" s="37"/>
      <c r="AK19" s="37"/>
      <c r="AL19" s="37"/>
      <c r="AM19" s="37"/>
      <c r="AN19" s="37"/>
      <c r="AO19" s="37"/>
    </row>
    <row r="20" spans="1:41" ht="51">
      <c r="A20" s="45"/>
      <c r="B20" s="46" t="s">
        <v>51</v>
      </c>
      <c r="C20" s="47" t="s">
        <v>104</v>
      </c>
      <c r="D20" s="47" t="s">
        <v>82</v>
      </c>
      <c r="E20" s="47" t="s">
        <v>83</v>
      </c>
      <c r="F20" s="47" t="s">
        <v>84</v>
      </c>
      <c r="G20" s="47" t="s">
        <v>85</v>
      </c>
      <c r="H20" s="47" t="s">
        <v>86</v>
      </c>
      <c r="I20" s="47" t="s">
        <v>105</v>
      </c>
      <c r="J20" s="47" t="s">
        <v>106</v>
      </c>
      <c r="K20" s="47" t="s">
        <v>89</v>
      </c>
      <c r="L20" s="47" t="s">
        <v>90</v>
      </c>
      <c r="M20" s="47" t="s">
        <v>91</v>
      </c>
      <c r="N20" s="47" t="s">
        <v>46</v>
      </c>
      <c r="O20" s="47" t="s">
        <v>107</v>
      </c>
      <c r="P20" s="47" t="s">
        <v>108</v>
      </c>
      <c r="Q20" s="47" t="s">
        <v>109</v>
      </c>
      <c r="R20" s="47" t="s">
        <v>110</v>
      </c>
      <c r="S20" s="47" t="s">
        <v>92</v>
      </c>
      <c r="T20" s="47" t="s">
        <v>93</v>
      </c>
      <c r="U20" s="47" t="s">
        <v>56</v>
      </c>
      <c r="V20" s="47" t="s">
        <v>94</v>
      </c>
      <c r="W20" s="47" t="s">
        <v>95</v>
      </c>
      <c r="X20" s="47" t="s">
        <v>96</v>
      </c>
      <c r="Y20" s="47" t="s">
        <v>97</v>
      </c>
      <c r="Z20" s="47" t="s">
        <v>54</v>
      </c>
      <c r="AA20" s="47" t="s">
        <v>55</v>
      </c>
      <c r="AB20" s="47" t="s">
        <v>98</v>
      </c>
      <c r="AC20" s="47" t="s">
        <v>99</v>
      </c>
      <c r="AD20" s="47" t="s">
        <v>100</v>
      </c>
      <c r="AE20" s="37"/>
      <c r="AF20" s="37"/>
      <c r="AG20" s="37"/>
      <c r="AH20" s="37"/>
      <c r="AI20" s="37"/>
      <c r="AJ20" s="37"/>
      <c r="AK20" s="37"/>
      <c r="AL20" s="37"/>
      <c r="AM20" s="37"/>
      <c r="AN20" s="37"/>
      <c r="AO20" s="37"/>
    </row>
    <row r="21" spans="1:41" ht="12.75" customHeight="1">
      <c r="A21"/>
      <c r="B21" t="s">
        <v>454</v>
      </c>
      <c r="C21" s="37">
        <v>12</v>
      </c>
      <c r="D21" s="37">
        <v>112.03941987477577</v>
      </c>
      <c r="E21" s="37">
        <v>20</v>
      </c>
      <c r="F21" s="37">
        <v>0</v>
      </c>
      <c r="G21" s="37">
        <v>0</v>
      </c>
      <c r="H21" s="37"/>
      <c r="I21" s="37">
        <v>0.286</v>
      </c>
      <c r="J21" s="37">
        <v>0.31700000166893005</v>
      </c>
      <c r="K21" s="37">
        <v>120.58242564022741</v>
      </c>
      <c r="L21" s="37">
        <v>0.015257140342783363</v>
      </c>
      <c r="M21" s="37">
        <v>0.04812977835536003</v>
      </c>
      <c r="N21" s="37">
        <v>28.343107295478735</v>
      </c>
      <c r="O21" s="37">
        <v>0</v>
      </c>
      <c r="P21" s="37">
        <v>0</v>
      </c>
      <c r="Q21" s="37">
        <v>28.343107223510742</v>
      </c>
      <c r="R21" s="37">
        <v>18.463422911727893</v>
      </c>
      <c r="S21" s="37">
        <v>48.30034329813656</v>
      </c>
      <c r="T21" s="37">
        <v>0.5827008485794067</v>
      </c>
      <c r="U21" s="37">
        <v>6.055541515350342</v>
      </c>
      <c r="V21" s="37">
        <v>54.91216243795352</v>
      </c>
      <c r="W21" s="37">
        <v>20.00000426763609</v>
      </c>
      <c r="X21" s="36">
        <v>2.7456075360349854</v>
      </c>
      <c r="Y21" s="48">
        <v>12.254485130310059</v>
      </c>
      <c r="Z21" s="48">
        <v>0</v>
      </c>
      <c r="AA21" s="48">
        <v>0</v>
      </c>
      <c r="AB21" s="48">
        <v>67.1666488647461</v>
      </c>
      <c r="AC21" s="48">
        <v>28.343107223510742</v>
      </c>
      <c r="AD21" s="36">
        <v>2.369770050048828</v>
      </c>
      <c r="AE21" s="48"/>
      <c r="AF21" s="48"/>
      <c r="AG21" s="48"/>
      <c r="AH21" s="48"/>
      <c r="AI21" s="48"/>
      <c r="AJ21" s="48"/>
      <c r="AK21" s="48"/>
      <c r="AL21" s="37"/>
      <c r="AM21" s="37"/>
      <c r="AN21" s="37"/>
      <c r="AO21" s="37"/>
    </row>
    <row r="22" spans="1:41" ht="12.75" customHeight="1">
      <c r="A22"/>
      <c r="B22" t="s">
        <v>553</v>
      </c>
      <c r="C22" s="37">
        <v>12</v>
      </c>
      <c r="D22" s="37">
        <v>70.761738868279</v>
      </c>
      <c r="E22" s="37">
        <v>20</v>
      </c>
      <c r="F22" s="37">
        <v>0</v>
      </c>
      <c r="G22" s="37">
        <v>0</v>
      </c>
      <c r="H22" s="37"/>
      <c r="I22" s="37">
        <v>0.286</v>
      </c>
      <c r="J22" s="37">
        <v>0.31700000166893005</v>
      </c>
      <c r="K22" s="37">
        <v>76.15732145698527</v>
      </c>
      <c r="L22" s="37">
        <v>0.009636088637547328</v>
      </c>
      <c r="M22" s="37">
        <v>0.030397756025195122</v>
      </c>
      <c r="N22" s="37">
        <v>28.343107295478735</v>
      </c>
      <c r="O22" s="37">
        <v>0</v>
      </c>
      <c r="P22" s="37">
        <v>0</v>
      </c>
      <c r="Q22" s="37">
        <v>28.343107223510742</v>
      </c>
      <c r="R22" s="37">
        <v>29.233752943569343</v>
      </c>
      <c r="S22" s="37">
        <v>30.505479977770218</v>
      </c>
      <c r="T22" s="37">
        <v>0.36802157759666443</v>
      </c>
      <c r="U22" s="37">
        <v>3.824552536010742</v>
      </c>
      <c r="V22" s="37">
        <v>34.68136575028619</v>
      </c>
      <c r="W22" s="37">
        <v>20.00000426763609</v>
      </c>
      <c r="X22" s="36">
        <v>1.734067917495768</v>
      </c>
      <c r="Y22" s="48">
        <v>7.739675521850586</v>
      </c>
      <c r="Z22" s="48">
        <v>0</v>
      </c>
      <c r="AA22" s="48">
        <v>0</v>
      </c>
      <c r="AB22" s="48">
        <v>42.42103958129883</v>
      </c>
      <c r="AC22" s="48">
        <v>28.343107223510742</v>
      </c>
      <c r="AD22" s="36">
        <v>1.4966968297958374</v>
      </c>
      <c r="AE22" s="48"/>
      <c r="AF22" s="48"/>
      <c r="AG22" s="48"/>
      <c r="AH22" s="48"/>
      <c r="AI22" s="48"/>
      <c r="AJ22" s="48"/>
      <c r="AK22" s="48"/>
      <c r="AL22" s="37"/>
      <c r="AM22" s="37"/>
      <c r="AN22" s="37"/>
      <c r="AO22" s="37"/>
    </row>
    <row r="23" spans="1:41" ht="12.75" customHeight="1">
      <c r="A23"/>
      <c r="B23" t="s">
        <v>466</v>
      </c>
      <c r="C23" s="37">
        <v>20</v>
      </c>
      <c r="D23" s="37">
        <v>1931.333981502714</v>
      </c>
      <c r="E23" s="37">
        <v>717</v>
      </c>
      <c r="F23" s="37">
        <v>30</v>
      </c>
      <c r="G23" s="37">
        <v>0</v>
      </c>
      <c r="H23" s="37"/>
      <c r="I23" s="37">
        <v>0.286</v>
      </c>
      <c r="J23" s="37">
        <v>0.31700000166893005</v>
      </c>
      <c r="K23" s="37">
        <v>2078.598197592296</v>
      </c>
      <c r="L23" s="37">
        <v>0.26300237574871194</v>
      </c>
      <c r="M23" s="37">
        <v>0.8296604752540588</v>
      </c>
      <c r="N23" s="37">
        <v>717.0001529947538</v>
      </c>
      <c r="O23" s="37">
        <v>381.9200744628906</v>
      </c>
      <c r="P23" s="37">
        <v>0</v>
      </c>
      <c r="Q23" s="37">
        <v>1098.9202880859375</v>
      </c>
      <c r="R23" s="37">
        <v>41.52832364713786</v>
      </c>
      <c r="S23" s="37">
        <v>832.6006546106694</v>
      </c>
      <c r="T23" s="37">
        <v>10.044589042663574</v>
      </c>
      <c r="U23" s="37">
        <v>104.38533782958984</v>
      </c>
      <c r="V23" s="37">
        <v>946.5750984931358</v>
      </c>
      <c r="W23" s="37">
        <v>717.0001529947538</v>
      </c>
      <c r="X23" s="36">
        <v>1.320188140183091</v>
      </c>
      <c r="Y23" s="48">
        <v>211.24267578125</v>
      </c>
      <c r="Z23" s="48">
        <v>0</v>
      </c>
      <c r="AA23" s="48">
        <v>0</v>
      </c>
      <c r="AB23" s="48">
        <v>1157.8177490234375</v>
      </c>
      <c r="AC23" s="48">
        <v>1098.9202880859375</v>
      </c>
      <c r="AD23" s="36">
        <v>1.053595781326294</v>
      </c>
      <c r="AE23" s="48"/>
      <c r="AF23" s="48"/>
      <c r="AG23" s="48"/>
      <c r="AH23" s="48"/>
      <c r="AI23" s="48"/>
      <c r="AJ23" s="48"/>
      <c r="AK23" s="48"/>
      <c r="AL23" s="37"/>
      <c r="AM23" s="37"/>
      <c r="AN23" s="37"/>
      <c r="AO23" s="37"/>
    </row>
    <row r="24" spans="1:41" ht="12.75" customHeight="1">
      <c r="A24"/>
      <c r="B24"/>
      <c r="C24" s="37"/>
      <c r="D24" s="37"/>
      <c r="E24" s="37"/>
      <c r="F24" s="37"/>
      <c r="G24" s="37"/>
      <c r="H24" s="37"/>
      <c r="I24" s="37"/>
      <c r="J24" s="37"/>
      <c r="K24" s="37"/>
      <c r="L24" s="37"/>
      <c r="M24" s="37"/>
      <c r="N24" s="37"/>
      <c r="O24" s="37"/>
      <c r="P24" s="37"/>
      <c r="Q24" s="37"/>
      <c r="R24" s="37"/>
      <c r="S24" s="37"/>
      <c r="T24" s="37"/>
      <c r="U24" s="37"/>
      <c r="V24" s="37"/>
      <c r="W24" s="37"/>
      <c r="X24" s="48"/>
      <c r="Y24" s="48"/>
      <c r="Z24" s="48"/>
      <c r="AA24" s="48"/>
      <c r="AB24" s="48"/>
      <c r="AC24" s="48"/>
      <c r="AD24" s="48"/>
      <c r="AE24" s="48"/>
      <c r="AF24" s="48"/>
      <c r="AG24" s="48"/>
      <c r="AH24" s="48"/>
      <c r="AI24" s="48"/>
      <c r="AJ24" s="48"/>
      <c r="AK24" s="48"/>
      <c r="AL24" s="37"/>
      <c r="AM24" s="37"/>
      <c r="AN24" s="37"/>
      <c r="AO24" s="37"/>
    </row>
    <row r="25" spans="1:41" ht="12.75" customHeight="1" thickBot="1">
      <c r="A25"/>
      <c r="B2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ht="12.75" customHeight="1" thickBot="1">
      <c r="A26" s="53" t="s">
        <v>62</v>
      </c>
      <c r="B26" s="54"/>
      <c r="C26" s="55"/>
      <c r="D26" s="55"/>
      <c r="E26" s="55"/>
      <c r="F26" s="55"/>
      <c r="G26" s="55"/>
      <c r="H26" s="55"/>
      <c r="I26" s="55"/>
      <c r="J26" s="55"/>
      <c r="K26" s="56"/>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row>
    <row r="27" spans="1:41" ht="25.5">
      <c r="A27" s="45"/>
      <c r="B27" s="46" t="s">
        <v>63</v>
      </c>
      <c r="C27" s="47" t="s">
        <v>59</v>
      </c>
      <c r="D27" s="47" t="s">
        <v>60</v>
      </c>
      <c r="E27" s="47" t="s">
        <v>64</v>
      </c>
      <c r="F27" s="47" t="s">
        <v>65</v>
      </c>
      <c r="G27" s="47" t="s">
        <v>66</v>
      </c>
      <c r="H27" s="47" t="s">
        <v>67</v>
      </c>
      <c r="I27" s="47" t="s">
        <v>61</v>
      </c>
      <c r="J27" s="47" t="s">
        <v>50</v>
      </c>
      <c r="K27" s="47" t="s">
        <v>58</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ht="12.75" customHeight="1">
      <c r="A28"/>
      <c r="B28" t="s">
        <v>68</v>
      </c>
      <c r="C28" s="37">
        <v>196.73974709721267</v>
      </c>
      <c r="D28" s="37">
        <v>56.68621459095747</v>
      </c>
      <c r="E28" s="37">
        <v>40</v>
      </c>
      <c r="F28" s="37">
        <v>8</v>
      </c>
      <c r="G28" s="37">
        <v>64.68621459095746</v>
      </c>
      <c r="H28" s="37">
        <v>2880.207275390625</v>
      </c>
      <c r="I28" s="37">
        <v>25.826669143607276</v>
      </c>
      <c r="J28" s="37">
        <v>78.80582327590677</v>
      </c>
      <c r="K28" s="36">
        <v>1.218278481346211</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1" ht="12.75" customHeight="1">
      <c r="A29"/>
      <c r="B29" t="s">
        <v>69</v>
      </c>
      <c r="C29" s="37">
        <v>0</v>
      </c>
      <c r="D29" s="37">
        <v>0</v>
      </c>
      <c r="E29" s="37">
        <v>0</v>
      </c>
      <c r="F29" s="37">
        <v>0</v>
      </c>
      <c r="G29" s="37">
        <v>0</v>
      </c>
      <c r="H29" s="37">
        <v>0</v>
      </c>
      <c r="I29" s="37">
        <v>0</v>
      </c>
      <c r="J29" s="37">
        <v>911.4064778865761</v>
      </c>
      <c r="K29" s="57">
        <v>0</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ht="12.75" customHeight="1">
      <c r="A30"/>
      <c r="B30" t="s">
        <v>70</v>
      </c>
      <c r="C30" s="37">
        <v>512.9118583892334</v>
      </c>
      <c r="D30" s="37">
        <v>738.1302490234375</v>
      </c>
      <c r="E30" s="37">
        <v>484.37882131101685</v>
      </c>
      <c r="F30" s="37">
        <v>96.87576426220338</v>
      </c>
      <c r="G30" s="37">
        <v>835.0060132856408</v>
      </c>
      <c r="H30" s="37">
        <v>14261.0322265625</v>
      </c>
      <c r="I30" s="37">
        <v>127.87794063179382</v>
      </c>
      <c r="J30" s="37">
        <v>205.45132269772807</v>
      </c>
      <c r="K30" s="57">
        <v>0.24604771633835743</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row>
    <row r="31" spans="1:41" ht="12.75" customHeight="1">
      <c r="A31"/>
      <c r="B31" t="s">
        <v>71</v>
      </c>
      <c r="C31" s="37">
        <v>0</v>
      </c>
      <c r="D31" s="37">
        <v>0</v>
      </c>
      <c r="E31" s="37">
        <v>0</v>
      </c>
      <c r="F31" s="37">
        <v>0</v>
      </c>
      <c r="G31" s="37">
        <v>0</v>
      </c>
      <c r="H31" s="37">
        <v>0</v>
      </c>
      <c r="I31" s="37">
        <v>0</v>
      </c>
      <c r="J31" s="37">
        <v>0</v>
      </c>
      <c r="K31" s="57">
        <v>0</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ht="12.75" customHeight="1">
      <c r="A32"/>
      <c r="B32" t="s">
        <v>72</v>
      </c>
      <c r="C32" s="37">
        <v>0</v>
      </c>
      <c r="D32" s="37">
        <v>0</v>
      </c>
      <c r="E32" s="37">
        <v>0</v>
      </c>
      <c r="F32" s="37">
        <v>0</v>
      </c>
      <c r="G32" s="37">
        <v>0</v>
      </c>
      <c r="H32" s="37">
        <v>0</v>
      </c>
      <c r="I32" s="37">
        <v>0</v>
      </c>
      <c r="J32" s="37">
        <v>0</v>
      </c>
      <c r="K32" s="58">
        <v>0</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row>
    <row r="33" spans="1:41" ht="12.75" customHeight="1">
      <c r="A33"/>
      <c r="B33" t="s">
        <v>73</v>
      </c>
      <c r="C33" s="37">
        <v>120.58242564022741</v>
      </c>
      <c r="D33" s="37">
        <v>28.343107295478735</v>
      </c>
      <c r="E33" s="37">
        <v>20</v>
      </c>
      <c r="F33" s="37">
        <v>4</v>
      </c>
      <c r="G33" s="37">
        <v>32.34310729547873</v>
      </c>
      <c r="H33" s="37">
        <v>2349.642822265625</v>
      </c>
      <c r="I33" s="37">
        <v>21.069124827679566</v>
      </c>
      <c r="J33" s="37">
        <v>48.30034329813656</v>
      </c>
      <c r="K33" s="250">
        <v>1.4933736222953602</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row>
    <row r="34" spans="1:41" ht="12.75" customHeight="1">
      <c r="A34"/>
      <c r="B34" t="s">
        <v>74</v>
      </c>
      <c r="C34" s="37">
        <v>76.15732145698527</v>
      </c>
      <c r="D34" s="37">
        <v>28.343107295478735</v>
      </c>
      <c r="E34" s="37">
        <v>20</v>
      </c>
      <c r="F34" s="37">
        <v>4</v>
      </c>
      <c r="G34" s="37">
        <v>32.34310729547873</v>
      </c>
      <c r="H34" s="37">
        <v>3720.267578125</v>
      </c>
      <c r="I34" s="37">
        <v>33.359447643826186</v>
      </c>
      <c r="J34" s="37">
        <v>30.505479977770218</v>
      </c>
      <c r="K34" s="58">
        <v>0.9431833403970621</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row>
    <row r="35" spans="1:41" ht="12.75" customHeight="1">
      <c r="A35"/>
      <c r="B35" t="s">
        <v>75</v>
      </c>
      <c r="C35" s="37">
        <v>2078.598197592296</v>
      </c>
      <c r="D35" s="37">
        <v>1098.9202274576444</v>
      </c>
      <c r="E35" s="37">
        <v>717</v>
      </c>
      <c r="F35" s="37">
        <v>143.4</v>
      </c>
      <c r="G35" s="37">
        <v>1242.3202274576445</v>
      </c>
      <c r="H35" s="37">
        <v>5235.60791015625</v>
      </c>
      <c r="I35" s="37">
        <v>46.94742541985825</v>
      </c>
      <c r="J35" s="37">
        <v>832.6006546106694</v>
      </c>
      <c r="K35" s="58">
        <v>0.6701980988545532</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ht="12.75" customHeight="1">
      <c r="A36"/>
      <c r="B36" t="s">
        <v>76</v>
      </c>
      <c r="C36" s="37">
        <v>0</v>
      </c>
      <c r="D36" s="37">
        <v>0</v>
      </c>
      <c r="E36" s="37">
        <v>0</v>
      </c>
      <c r="F36" s="37">
        <v>0</v>
      </c>
      <c r="G36" s="37">
        <v>0</v>
      </c>
      <c r="H36" s="37">
        <v>0</v>
      </c>
      <c r="I36" s="37">
        <v>0</v>
      </c>
      <c r="J36" s="37">
        <v>0</v>
      </c>
      <c r="K36" s="58">
        <v>0</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row>
    <row r="37" spans="1:41" ht="12.75" customHeight="1">
      <c r="A37"/>
      <c r="B37" t="s">
        <v>77</v>
      </c>
      <c r="C37" s="37">
        <v>0</v>
      </c>
      <c r="D37" s="37">
        <v>0</v>
      </c>
      <c r="E37" s="37">
        <v>0</v>
      </c>
      <c r="F37" s="37">
        <v>0</v>
      </c>
      <c r="G37" s="37">
        <v>0</v>
      </c>
      <c r="H37" s="37">
        <v>0</v>
      </c>
      <c r="I37" s="37">
        <v>0</v>
      </c>
      <c r="J37" s="37">
        <v>0</v>
      </c>
      <c r="K37" s="58">
        <v>0</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ht="12.75" customHeight="1">
      <c r="A38"/>
      <c r="B38"/>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row>
    <row r="39" spans="1:41" ht="12.75" customHeight="1">
      <c r="A39"/>
      <c r="B3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ht="12.75" customHeight="1">
      <c r="A40"/>
      <c r="B40"/>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row>
    <row r="41" spans="1:41" ht="12.75" customHeight="1">
      <c r="A41"/>
      <c r="B41"/>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ht="12.75" customHeight="1">
      <c r="A42"/>
      <c r="B4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row>
    <row r="43" spans="1:41" ht="12.75" customHeight="1">
      <c r="A43"/>
      <c r="B43"/>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ht="12.75" customHeight="1">
      <c r="A44"/>
      <c r="B4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1" ht="12.75" customHeight="1">
      <c r="A45"/>
      <c r="B4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ht="12.75" customHeight="1">
      <c r="A46"/>
      <c r="B4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row>
    <row r="47" spans="1:41" ht="12.75" customHeight="1">
      <c r="A47"/>
      <c r="B4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row>
    <row r="48" spans="1:41" ht="12.75" customHeight="1">
      <c r="A48"/>
      <c r="B4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row>
    <row r="49" spans="1:41" ht="12.75" customHeight="1">
      <c r="A49"/>
      <c r="B4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ht="12.75" customHeight="1">
      <c r="A50"/>
      <c r="B50"/>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row>
    <row r="51" spans="1:41" ht="12.75" customHeight="1">
      <c r="A51"/>
      <c r="B5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ht="12.75" customHeight="1">
      <c r="A52"/>
      <c r="B52"/>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row>
    <row r="53" spans="1:41" ht="12.75" customHeight="1">
      <c r="A53"/>
      <c r="B53"/>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ht="12.75" customHeight="1">
      <c r="A54"/>
      <c r="B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row>
    <row r="55" spans="1:41" ht="12.75" customHeight="1">
      <c r="A55"/>
      <c r="B5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ht="12.75" customHeight="1">
      <c r="A56"/>
      <c r="B5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ht="12.75" customHeight="1">
      <c r="A57"/>
      <c r="B5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ht="12.75" customHeight="1">
      <c r="A58"/>
      <c r="B58"/>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row>
    <row r="59" spans="1:41" ht="12.75" customHeight="1">
      <c r="A59"/>
      <c r="B59"/>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1" ht="12.75" customHeight="1">
      <c r="A60"/>
      <c r="B60"/>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row>
    <row r="61" spans="1:41" ht="12.75" customHeight="1">
      <c r="A61"/>
      <c r="B6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ht="12.75" customHeight="1">
      <c r="A62"/>
      <c r="B6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row>
    <row r="63" spans="1:41" ht="12.75" customHeight="1">
      <c r="A63"/>
      <c r="B63"/>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ht="12.75" customHeight="1">
      <c r="A64"/>
      <c r="B6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row>
    <row r="65" spans="1:41" ht="12.75" customHeight="1">
      <c r="A65"/>
      <c r="B65"/>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ht="12.75" customHeight="1">
      <c r="A66"/>
      <c r="B6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row>
    <row r="67" spans="1:41" ht="12.75" customHeight="1">
      <c r="A67"/>
      <c r="B6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ht="12.75" customHeight="1">
      <c r="A68"/>
      <c r="B68"/>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row>
    <row r="69" spans="1:41" ht="12.75" customHeight="1">
      <c r="A69"/>
      <c r="B6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row r="70" spans="1:41" ht="12.75" customHeight="1">
      <c r="A70"/>
      <c r="B70"/>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row>
    <row r="71" spans="1:41" ht="12.75" customHeight="1">
      <c r="A71"/>
      <c r="B71"/>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row>
    <row r="72" spans="1:41" ht="12.75" customHeight="1">
      <c r="A72"/>
      <c r="B7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row>
    <row r="73" spans="1:41" ht="12.75" customHeight="1">
      <c r="A73"/>
      <c r="B73"/>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1" ht="12.75" customHeight="1">
      <c r="A74"/>
      <c r="B7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row>
    <row r="75" spans="1:41" ht="12.75" customHeight="1">
      <c r="A75"/>
      <c r="B75"/>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row>
    <row r="76" spans="1:41" ht="12.75" customHeight="1">
      <c r="A76"/>
      <c r="B7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1:41" ht="12.75" customHeight="1">
      <c r="A77"/>
      <c r="B7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row>
    <row r="78" spans="1:41" ht="12.75" customHeight="1">
      <c r="A78"/>
      <c r="B78"/>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1" ht="12.75" customHeight="1">
      <c r="A79"/>
      <c r="B79"/>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row>
    <row r="80" spans="1:41" ht="12.75" customHeight="1">
      <c r="A80"/>
      <c r="B80"/>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row>
    <row r="81" spans="1:41" ht="12.75" customHeight="1">
      <c r="A81"/>
      <c r="B81"/>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row>
    <row r="82" spans="1:41" ht="12.75" customHeight="1">
      <c r="A82"/>
      <c r="B82"/>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row>
    <row r="83" spans="1:41" ht="12.75" customHeight="1">
      <c r="A83"/>
      <c r="B83"/>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row>
    <row r="84" spans="1:41" ht="12.75" customHeight="1">
      <c r="A84"/>
      <c r="B8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row>
    <row r="85" spans="1:41" ht="12.75" customHeight="1">
      <c r="A85"/>
      <c r="B85"/>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row>
    <row r="86" spans="1:41" ht="12.75" customHeight="1">
      <c r="A86"/>
      <c r="B8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row>
    <row r="87" spans="1:41" ht="12.75" customHeight="1">
      <c r="A87"/>
      <c r="B8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row>
    <row r="88" spans="1:41" ht="12.75" customHeight="1">
      <c r="A88"/>
      <c r="B8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row>
    <row r="89" spans="1:41" ht="12.75" customHeight="1">
      <c r="A89"/>
      <c r="B89"/>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row>
    <row r="90" spans="1:41" ht="12.75" customHeight="1">
      <c r="A90"/>
      <c r="B90"/>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row>
    <row r="91" spans="1:41" ht="12.75" customHeight="1">
      <c r="A91"/>
      <c r="B91"/>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row>
    <row r="92" spans="1:41" ht="12.75" customHeight="1">
      <c r="A92"/>
      <c r="B92"/>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row>
    <row r="93" spans="1:41" ht="12.75" customHeight="1">
      <c r="A93"/>
      <c r="B93"/>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row>
    <row r="94" spans="1:41" ht="12.75" customHeight="1">
      <c r="A94"/>
      <c r="B9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row>
    <row r="95" spans="1:41" ht="12.75" customHeight="1">
      <c r="A95"/>
      <c r="B95"/>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row>
    <row r="96" spans="1:41" ht="12.75" customHeight="1">
      <c r="A96"/>
      <c r="B9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row>
    <row r="97" spans="1:41" ht="12.75" customHeight="1">
      <c r="A97"/>
      <c r="B9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row>
    <row r="98" spans="1:41" ht="12.75" customHeight="1">
      <c r="A98"/>
      <c r="B98"/>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row>
    <row r="99" spans="1:41" ht="12.75" customHeight="1">
      <c r="A99"/>
      <c r="B9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row>
    <row r="100" spans="1:41" ht="12.75" customHeight="1">
      <c r="A100"/>
      <c r="B100"/>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row>
    <row r="101" spans="1:41" ht="12.75" customHeight="1">
      <c r="A101"/>
      <c r="B101"/>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row>
    <row r="102" spans="1:41" ht="12.75" customHeight="1">
      <c r="A102"/>
      <c r="B102"/>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row>
    <row r="103" spans="1:41" ht="12.75" customHeight="1">
      <c r="A103"/>
      <c r="B103"/>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row>
    <row r="104" spans="1:41" ht="12.75" customHeight="1">
      <c r="A104"/>
      <c r="B10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row>
    <row r="105" spans="1:41" ht="12.75" customHeight="1">
      <c r="A105"/>
      <c r="B105"/>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row>
    <row r="106" spans="1:41" ht="12.75" customHeight="1">
      <c r="A106"/>
      <c r="B106"/>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row>
    <row r="107" spans="1:41" ht="12.75" customHeight="1">
      <c r="A107"/>
      <c r="B10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row>
    <row r="108" spans="1:41" ht="12.75" customHeight="1">
      <c r="A108"/>
      <c r="B108"/>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row>
    <row r="109" spans="1:41" ht="12.75" customHeight="1">
      <c r="A109"/>
      <c r="B109"/>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row>
    <row r="110" spans="1:41" ht="12.75" customHeight="1">
      <c r="A110"/>
      <c r="B110"/>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row>
    <row r="111" spans="1:41" ht="12.75" customHeight="1">
      <c r="A111"/>
      <c r="B111"/>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row>
    <row r="112" spans="1:41" ht="12.75" customHeight="1">
      <c r="A112"/>
      <c r="B112"/>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row>
    <row r="113" spans="1:41" ht="12.75" customHeight="1">
      <c r="A113"/>
      <c r="B113"/>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row>
    <row r="114" spans="1:41" ht="12.75" customHeight="1">
      <c r="A114"/>
      <c r="B11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row>
    <row r="115" spans="1:41" ht="12.75" customHeight="1">
      <c r="A115"/>
      <c r="B11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row>
    <row r="116" spans="1:41" ht="12.75" customHeight="1">
      <c r="A116"/>
      <c r="B116"/>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row>
    <row r="117" spans="1:41" ht="12.75" customHeight="1">
      <c r="A117"/>
      <c r="B11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row>
    <row r="118" spans="1:41" ht="12.75" customHeight="1">
      <c r="A118"/>
      <c r="B118"/>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row>
    <row r="119" spans="1:41" ht="12.75" customHeight="1">
      <c r="A119"/>
      <c r="B119"/>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row>
    <row r="120" spans="1:41" ht="12.75" customHeight="1">
      <c r="A120"/>
      <c r="B120"/>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row>
    <row r="121" spans="1:41" ht="12.75" customHeight="1">
      <c r="A121"/>
      <c r="B121"/>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row>
    <row r="122" spans="1:41" ht="12.75" customHeight="1">
      <c r="A122"/>
      <c r="B122"/>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row>
    <row r="123" spans="1:41" ht="12.75" customHeight="1">
      <c r="A123"/>
      <c r="B123"/>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row>
    <row r="124" spans="1:41" ht="12.75" customHeight="1">
      <c r="A124"/>
      <c r="B12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row>
    <row r="125" spans="1:41" ht="12.75" customHeight="1">
      <c r="A125"/>
      <c r="B125"/>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row>
    <row r="126" spans="1:41" ht="12.75" customHeight="1">
      <c r="A126"/>
      <c r="B126"/>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row>
    <row r="127" spans="1:41" ht="12.75" customHeight="1">
      <c r="A127"/>
      <c r="B12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row>
    <row r="128" spans="1:41" ht="12.75" customHeight="1">
      <c r="A128"/>
      <c r="B128"/>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row>
    <row r="129" spans="1:41" ht="12.75" customHeight="1">
      <c r="A129"/>
      <c r="B12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row>
    <row r="130" spans="1:41" ht="12.75" customHeight="1">
      <c r="A130"/>
      <c r="B130"/>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row>
    <row r="131" spans="1:41" ht="12.75" customHeight="1">
      <c r="A131"/>
      <c r="B131"/>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row>
    <row r="132" spans="1:41" ht="12.75" customHeight="1">
      <c r="A132"/>
      <c r="B132"/>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row>
    <row r="133" spans="1:41" ht="12.75" customHeight="1">
      <c r="A133"/>
      <c r="B133"/>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row>
    <row r="134" spans="1:41" ht="12.75" customHeight="1">
      <c r="A134"/>
      <c r="B134"/>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row>
    <row r="135" spans="1:41" ht="12.75" customHeight="1">
      <c r="A135"/>
      <c r="B135"/>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row>
    <row r="136" spans="1:41" ht="12.75" customHeight="1">
      <c r="A136"/>
      <c r="B136"/>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row>
    <row r="137" spans="1:41" ht="12.75" customHeight="1">
      <c r="A137"/>
      <c r="B1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row>
    <row r="138" spans="1:41" ht="12.75" customHeight="1">
      <c r="A138"/>
      <c r="B138"/>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row>
    <row r="139" spans="1:41" ht="12.75" customHeight="1">
      <c r="A139"/>
      <c r="B139"/>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row>
    <row r="140" spans="1:41" ht="12.75" customHeight="1">
      <c r="A140"/>
      <c r="B140"/>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row>
    <row r="141" spans="1:41" ht="12.75" customHeight="1">
      <c r="A141"/>
      <c r="B141"/>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row>
    <row r="142" spans="1:41" ht="12.75" customHeight="1">
      <c r="A142"/>
      <c r="B142"/>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row>
    <row r="143" spans="1:41" ht="12.75" customHeight="1">
      <c r="A143"/>
      <c r="B143"/>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row>
    <row r="144" spans="1:41" ht="12.75" customHeight="1">
      <c r="A144"/>
      <c r="B144"/>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row>
    <row r="145" spans="1:41" ht="12.75" customHeight="1">
      <c r="A145"/>
      <c r="B145"/>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row>
    <row r="146" spans="1:41" ht="12.75" customHeight="1">
      <c r="A146"/>
      <c r="B146"/>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row>
    <row r="147" spans="1:41" ht="12.75" customHeight="1">
      <c r="A147"/>
      <c r="B14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row>
    <row r="148" spans="1:41" ht="12.75" customHeight="1">
      <c r="A148"/>
      <c r="B148"/>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row>
    <row r="149" spans="1:41" ht="12.75" customHeight="1">
      <c r="A149"/>
      <c r="B14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row>
    <row r="150" spans="1:41" ht="12.75" customHeight="1">
      <c r="A150"/>
      <c r="B150"/>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row>
    <row r="151" spans="1:41" ht="12.75" customHeight="1">
      <c r="A151"/>
      <c r="B151"/>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row>
    <row r="152" spans="1:41" ht="12.75" customHeight="1">
      <c r="A152"/>
      <c r="B152"/>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row>
    <row r="153" spans="1:41" ht="12.75" customHeight="1">
      <c r="A153"/>
      <c r="B153"/>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row>
    <row r="154" spans="1:41" ht="12.75" customHeight="1">
      <c r="A154"/>
      <c r="B154"/>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row>
    <row r="155" spans="1:41" ht="12.75" customHeight="1">
      <c r="A155"/>
      <c r="B155"/>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row>
    <row r="156" spans="1:41" ht="12.75" customHeight="1">
      <c r="A156"/>
      <c r="B156"/>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row>
    <row r="157" spans="1:41" ht="12.75" customHeight="1">
      <c r="A157"/>
      <c r="B15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row>
    <row r="158" spans="1:41" ht="12.75" customHeight="1">
      <c r="A158"/>
      <c r="B158"/>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row>
    <row r="159" spans="1:41" ht="12.75" customHeight="1">
      <c r="A159"/>
      <c r="B15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row>
    <row r="160" spans="1:41" ht="12.75" customHeight="1">
      <c r="A160"/>
      <c r="B160"/>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row>
    <row r="161" spans="1:41" ht="12.75" customHeight="1">
      <c r="A161"/>
      <c r="B161"/>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row>
    <row r="162" spans="1:41" ht="12.75" customHeight="1">
      <c r="A162"/>
      <c r="B162"/>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row>
    <row r="163" spans="1:41" ht="12.75" customHeight="1">
      <c r="A163"/>
      <c r="B163"/>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row>
    <row r="164" spans="1:41" ht="12.75" customHeight="1">
      <c r="A164"/>
      <c r="B164"/>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row>
    <row r="165" spans="1:41" ht="12.75" customHeight="1">
      <c r="A165"/>
      <c r="B165"/>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row>
    <row r="166" spans="1:41" ht="12.75" customHeight="1">
      <c r="A166"/>
      <c r="B166"/>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row>
    <row r="167" spans="1:41" ht="12.75" customHeight="1">
      <c r="A167"/>
      <c r="B16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row>
    <row r="168" spans="1:41" ht="12.75" customHeight="1">
      <c r="A168"/>
      <c r="B168"/>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row>
    <row r="169" spans="1:41" ht="12.75" customHeight="1">
      <c r="A169"/>
      <c r="B169"/>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row>
    <row r="170" spans="1:41" ht="12.75" customHeight="1">
      <c r="A170"/>
      <c r="B170"/>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row>
    <row r="171" spans="1:41" ht="12.75" customHeight="1">
      <c r="A171"/>
      <c r="B171"/>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row>
    <row r="172" spans="1:41" ht="12.75" customHeight="1">
      <c r="A172"/>
      <c r="B172"/>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row>
    <row r="173" spans="1:41" ht="12.75" customHeight="1">
      <c r="A173"/>
      <c r="B173"/>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row>
    <row r="174" spans="1:41" ht="12.75" customHeight="1">
      <c r="A174"/>
      <c r="B174"/>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row>
    <row r="175" spans="1:41" ht="12.75" customHeight="1">
      <c r="A175"/>
      <c r="B175"/>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row>
    <row r="176" spans="1:41" ht="12.75" customHeight="1">
      <c r="A176"/>
      <c r="B176"/>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row>
    <row r="177" spans="1:41" ht="12.75" customHeight="1">
      <c r="A177"/>
      <c r="B17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row>
    <row r="178" spans="1:41" ht="12.75" customHeight="1">
      <c r="A178"/>
      <c r="B178"/>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row>
    <row r="179" spans="1:41" ht="12.75" customHeight="1">
      <c r="A179"/>
      <c r="B179"/>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row>
    <row r="180" spans="1:41" ht="12.75" customHeight="1">
      <c r="A180"/>
      <c r="B180"/>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row>
    <row r="181" spans="1:41" ht="12.75" customHeight="1">
      <c r="A181"/>
      <c r="B181"/>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row>
    <row r="182" spans="1:41" ht="12.75" customHeight="1">
      <c r="A182"/>
      <c r="B182"/>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row>
    <row r="183" spans="1:41" ht="12.75" customHeight="1">
      <c r="A183"/>
      <c r="B183"/>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row>
    <row r="184" spans="1:41" ht="12.75" customHeight="1">
      <c r="A184"/>
      <c r="B184"/>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row>
    <row r="185" spans="1:41" ht="12.75" customHeight="1">
      <c r="A185"/>
      <c r="B185"/>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row>
    <row r="186" spans="1:41" ht="12.75" customHeight="1">
      <c r="A186"/>
      <c r="B186"/>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row>
    <row r="187" spans="1:41" ht="12.75" customHeight="1">
      <c r="A187"/>
      <c r="B18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row>
    <row r="188" spans="1:41" ht="12.75" customHeight="1">
      <c r="A188"/>
      <c r="B188"/>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row>
    <row r="189" spans="1:41" ht="12.75" customHeight="1">
      <c r="A189"/>
      <c r="B18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row>
    <row r="190" spans="1:41" ht="12.75" customHeight="1">
      <c r="A190"/>
      <c r="B190"/>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row>
    <row r="191" spans="1:41" ht="12.75" customHeight="1">
      <c r="A191"/>
      <c r="B191"/>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row>
    <row r="192" spans="1:41" ht="12.75" customHeight="1">
      <c r="A192"/>
      <c r="B192"/>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row>
    <row r="193" spans="1:41" ht="12.75" customHeight="1">
      <c r="A193"/>
      <c r="B193"/>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row>
    <row r="194" spans="1:41" ht="12.75" customHeight="1">
      <c r="A194"/>
      <c r="B194"/>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row>
    <row r="195" spans="1:41" ht="12.75" customHeight="1">
      <c r="A195"/>
      <c r="B195"/>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row>
    <row r="196" spans="1:41" ht="12.75" customHeight="1">
      <c r="A196"/>
      <c r="B196"/>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row>
    <row r="197" spans="1:41" ht="12.75" customHeight="1">
      <c r="A197"/>
      <c r="B19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row>
    <row r="198" spans="1:41" ht="12.75" customHeight="1">
      <c r="A198"/>
      <c r="B198"/>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row>
    <row r="199" spans="1:41" ht="12.75" customHeight="1">
      <c r="A199"/>
      <c r="B199"/>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row>
    <row r="200" spans="1:41" ht="12.75" customHeight="1">
      <c r="A200"/>
      <c r="B200"/>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row>
    <row r="201" spans="1:41" ht="12.75" customHeight="1">
      <c r="A201"/>
      <c r="B201"/>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row>
    <row r="202" spans="1:41" ht="12.75" customHeight="1">
      <c r="A202"/>
      <c r="B202"/>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row>
    <row r="203" spans="1:41" ht="12.75" customHeight="1">
      <c r="A203"/>
      <c r="B203"/>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row>
    <row r="204" spans="1:41" ht="12.75" customHeight="1">
      <c r="A204"/>
      <c r="B204"/>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row>
    <row r="205" spans="1:41" ht="12.75" customHeight="1">
      <c r="A205"/>
      <c r="B205"/>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row>
    <row r="206" spans="1:41" ht="12.75" customHeight="1">
      <c r="A206"/>
      <c r="B206"/>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row>
    <row r="207" spans="1:41" ht="12.75" customHeight="1">
      <c r="A207"/>
      <c r="B20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row>
    <row r="208" spans="1:41" ht="12.75" customHeight="1">
      <c r="A208"/>
      <c r="B208"/>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row>
    <row r="209" spans="1:41" ht="12.75" customHeight="1">
      <c r="A209"/>
      <c r="B209"/>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row>
    <row r="210" spans="1:41" ht="12.75" customHeight="1">
      <c r="A210"/>
      <c r="B210"/>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row>
    <row r="211" spans="1:41" ht="12.75" customHeight="1">
      <c r="A211"/>
      <c r="B211"/>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row>
    <row r="212" spans="1:41" ht="12.75" customHeight="1">
      <c r="A212"/>
      <c r="B212"/>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row>
    <row r="213" spans="1:41" ht="12.75" customHeight="1">
      <c r="A213"/>
      <c r="B213"/>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row>
    <row r="214" spans="1:41" ht="12.75" customHeight="1">
      <c r="A214"/>
      <c r="B214"/>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row>
    <row r="215" spans="1:41" ht="12.75" customHeight="1">
      <c r="A215"/>
      <c r="B215"/>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row>
    <row r="216" spans="1:41" ht="12.75" customHeight="1">
      <c r="A216"/>
      <c r="B216"/>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row>
    <row r="217" spans="1:41" ht="12.75" customHeight="1">
      <c r="A217"/>
      <c r="B21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row>
    <row r="218" spans="1:41" ht="12.75" customHeight="1">
      <c r="A218"/>
      <c r="B218"/>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row>
    <row r="219" spans="1:41" ht="12.75" customHeight="1">
      <c r="A219"/>
      <c r="B21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row>
    <row r="220" spans="1:41" ht="12.75" customHeight="1">
      <c r="A220"/>
      <c r="B220"/>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row>
    <row r="221" spans="1:41" ht="12.75" customHeight="1">
      <c r="A221"/>
      <c r="B221"/>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row>
    <row r="222" spans="1:41" ht="12.75" customHeight="1">
      <c r="A222"/>
      <c r="B222"/>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row>
    <row r="223" spans="1:41" ht="12.75" customHeight="1">
      <c r="A223"/>
      <c r="B223"/>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row>
    <row r="224" spans="1:41" ht="12.75" customHeight="1">
      <c r="A224"/>
      <c r="B224"/>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row>
    <row r="225" spans="1:41" ht="12.75" customHeight="1">
      <c r="A225"/>
      <c r="B225"/>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row>
    <row r="226" spans="1:41" ht="12.75" customHeight="1">
      <c r="A226"/>
      <c r="B226"/>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row>
    <row r="227" spans="1:41" ht="12.75" customHeight="1">
      <c r="A227"/>
      <c r="B22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row>
    <row r="228" spans="1:41" ht="12.75" customHeight="1">
      <c r="A228"/>
      <c r="B228"/>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row>
    <row r="229" spans="1:41" ht="12.75" customHeight="1">
      <c r="A229"/>
      <c r="B229"/>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row>
    <row r="230" spans="1:41" ht="12.75" customHeight="1">
      <c r="A230"/>
      <c r="B230"/>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row>
    <row r="231" spans="1:41" ht="12.75" customHeight="1">
      <c r="A231"/>
      <c r="B231"/>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row>
    <row r="232" spans="1:41" ht="12.75" customHeight="1">
      <c r="A232"/>
      <c r="B232"/>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row>
    <row r="233" spans="1:41" ht="12.75" customHeight="1">
      <c r="A233"/>
      <c r="B233"/>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row>
    <row r="234" spans="1:41" ht="12.75" customHeight="1">
      <c r="A234"/>
      <c r="B234"/>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row>
    <row r="235" spans="1:41" ht="12.75" customHeight="1">
      <c r="A235"/>
      <c r="B235"/>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row>
    <row r="236" spans="1:41" ht="12.75" customHeight="1">
      <c r="A236"/>
      <c r="B236"/>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row>
    <row r="237" spans="1:41" ht="12.75" customHeight="1">
      <c r="A237"/>
      <c r="B2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row>
    <row r="238" spans="1:41" ht="12.75" customHeight="1">
      <c r="A238"/>
      <c r="B238"/>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row>
    <row r="239" spans="1:41" ht="12.75" customHeight="1">
      <c r="A239"/>
      <c r="B239"/>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row>
    <row r="240" spans="1:41" ht="12.75" customHeight="1">
      <c r="A240"/>
      <c r="B240"/>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row>
    <row r="241" spans="1:41" ht="12.75" customHeight="1">
      <c r="A241"/>
      <c r="B241"/>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row>
    <row r="242" spans="1:41" ht="12.75" customHeight="1">
      <c r="A242"/>
      <c r="B242"/>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row>
    <row r="243" spans="1:41" ht="12.75" customHeight="1">
      <c r="A243"/>
      <c r="B243"/>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row>
    <row r="244" spans="1:41" ht="12.75" customHeight="1">
      <c r="A244"/>
      <c r="B244"/>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row>
    <row r="245" spans="1:41" ht="12.75" customHeight="1">
      <c r="A245"/>
      <c r="B245"/>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row>
    <row r="246" spans="1:41" ht="12.75" customHeight="1">
      <c r="A246"/>
      <c r="B246"/>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row>
    <row r="247" spans="1:41" ht="12.75" customHeight="1">
      <c r="A247"/>
      <c r="B24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row>
    <row r="248" spans="1:41" ht="12.75" customHeight="1">
      <c r="A248"/>
      <c r="B248"/>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row>
    <row r="249" spans="1:41" ht="12.75" customHeight="1">
      <c r="A249"/>
      <c r="B249"/>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row>
    <row r="250" spans="1:41" ht="12.75" customHeight="1">
      <c r="A250"/>
      <c r="B250"/>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row>
    <row r="251" spans="1:41" ht="12.75" customHeight="1">
      <c r="A251"/>
      <c r="B251"/>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row>
    <row r="252" spans="1:41" ht="12.75" customHeight="1">
      <c r="A252"/>
      <c r="B252"/>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row>
    <row r="253" spans="1:41" ht="12.75" customHeight="1">
      <c r="A253"/>
      <c r="B253"/>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row>
    <row r="254" spans="1:41" ht="12.75" customHeight="1">
      <c r="A254"/>
      <c r="B254"/>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row>
    <row r="255" spans="1:41" ht="12.75" customHeight="1">
      <c r="A255"/>
      <c r="B255"/>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row>
    <row r="256" spans="1:41" ht="12.75" customHeight="1">
      <c r="A256"/>
      <c r="B256"/>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row>
    <row r="257" spans="1:41" ht="12.75" customHeight="1">
      <c r="A257"/>
      <c r="B25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row>
    <row r="258" spans="1:41" ht="12.75" customHeight="1">
      <c r="A258"/>
      <c r="B258"/>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row>
    <row r="259" spans="1:41" ht="12.75" customHeight="1">
      <c r="A259"/>
      <c r="B259"/>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row>
    <row r="260" spans="1:41" ht="12.75" customHeight="1">
      <c r="A260"/>
      <c r="B260"/>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row>
    <row r="261" spans="1:41" ht="12.75" customHeight="1">
      <c r="A261"/>
      <c r="B261"/>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row>
    <row r="262" spans="1:41" ht="12.75" customHeight="1">
      <c r="A262"/>
      <c r="B262"/>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row>
    <row r="263" spans="1:41" ht="12.75" customHeight="1">
      <c r="A263"/>
      <c r="B263"/>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row>
    <row r="264" spans="1:41" ht="12.75" customHeight="1">
      <c r="A264"/>
      <c r="B264"/>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row>
    <row r="265" spans="1:41" ht="12.75" customHeight="1">
      <c r="A265"/>
      <c r="B26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row>
    <row r="266" spans="1:41" ht="12.75" customHeight="1">
      <c r="A266"/>
      <c r="B266"/>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row>
    <row r="267" spans="1:41" ht="12.75" customHeight="1">
      <c r="A267"/>
      <c r="B26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row>
    <row r="268" spans="1:41" ht="12.75" customHeight="1">
      <c r="A268"/>
      <c r="B268"/>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row>
    <row r="269" spans="1:41" ht="12.75" customHeight="1">
      <c r="A269"/>
      <c r="B269"/>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row>
    <row r="270" spans="1:41" ht="12.75" customHeight="1">
      <c r="A270"/>
      <c r="B270"/>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row>
    <row r="271" spans="1:41" ht="12.75" customHeight="1">
      <c r="A271"/>
      <c r="B271"/>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row>
    <row r="272" spans="1:41" ht="12.75" customHeight="1">
      <c r="A272"/>
      <c r="B272"/>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row>
    <row r="273" spans="1:41" ht="12.75" customHeight="1">
      <c r="A273"/>
      <c r="B273"/>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row>
    <row r="274" spans="1:41" ht="12.75" customHeight="1">
      <c r="A274"/>
      <c r="B274"/>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row>
    <row r="275" spans="1:41" ht="12.75" customHeight="1">
      <c r="A275"/>
      <c r="B275"/>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row>
    <row r="276" spans="1:41" ht="12.75" customHeight="1">
      <c r="A276"/>
      <c r="B276"/>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row>
    <row r="277" spans="1:41" ht="12.75" customHeight="1">
      <c r="A277"/>
      <c r="B27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row>
    <row r="278" spans="1:41" ht="12.75" customHeight="1">
      <c r="A278"/>
      <c r="B278"/>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row>
    <row r="279" spans="1:41" ht="12.75" customHeight="1">
      <c r="A279"/>
      <c r="B279"/>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row>
    <row r="280" spans="1:41" ht="12.75" customHeight="1">
      <c r="A280"/>
      <c r="B280"/>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row>
    <row r="281" spans="1:41" ht="12.75" customHeight="1">
      <c r="A281"/>
      <c r="B281"/>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row>
    <row r="282" spans="1:41" ht="12.75" customHeight="1">
      <c r="A282"/>
      <c r="B282"/>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row>
    <row r="283" spans="1:41" ht="12.75" customHeight="1">
      <c r="A283"/>
      <c r="B283"/>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row>
    <row r="284" spans="1:41" ht="12.75" customHeight="1">
      <c r="A284"/>
      <c r="B284"/>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row>
    <row r="285" spans="1:41" ht="12.75" customHeight="1">
      <c r="A285"/>
      <c r="B285"/>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row>
    <row r="286" spans="1:41" ht="12.75" customHeight="1">
      <c r="A286"/>
      <c r="B286"/>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row>
    <row r="287" spans="1:41" ht="12.75" customHeight="1">
      <c r="A287"/>
      <c r="B28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row>
    <row r="288" spans="1:41" ht="12.75" customHeight="1">
      <c r="A288"/>
      <c r="B288"/>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row>
    <row r="289" spans="1:41" ht="12.75" customHeight="1">
      <c r="A289"/>
      <c r="B289"/>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row>
    <row r="290" spans="1:41" ht="12.75" customHeight="1">
      <c r="A290"/>
      <c r="B290"/>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row>
    <row r="291" spans="1:41" ht="12.75" customHeight="1">
      <c r="A291"/>
      <c r="B291"/>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row>
    <row r="292" spans="1:41" ht="12.75" customHeight="1">
      <c r="A292"/>
      <c r="B292"/>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row>
    <row r="293" spans="1:41" ht="12.75" customHeight="1">
      <c r="A293"/>
      <c r="B293"/>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row>
    <row r="294" spans="1:41" ht="12.75" customHeight="1">
      <c r="A294"/>
      <c r="B294"/>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row>
    <row r="295" spans="1:41" ht="12.75" customHeight="1">
      <c r="A295"/>
      <c r="B295"/>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row>
    <row r="296" spans="1:41" ht="12.75" customHeight="1">
      <c r="A296"/>
      <c r="B296"/>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row>
    <row r="297" spans="1:41" ht="12.75" customHeight="1">
      <c r="A297"/>
      <c r="B29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row>
    <row r="298" spans="1:41" ht="12.75" customHeight="1">
      <c r="A298"/>
      <c r="B298"/>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row>
    <row r="299" spans="1:41" ht="12.75" customHeight="1">
      <c r="A299"/>
      <c r="B299"/>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row>
    <row r="300" spans="1:41" ht="12.75" customHeight="1">
      <c r="A300"/>
      <c r="B300"/>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row>
    <row r="301" spans="1:41" ht="12.75" customHeight="1">
      <c r="A301"/>
      <c r="B301"/>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row>
    <row r="302" spans="1:41" ht="12.75" customHeight="1">
      <c r="A302"/>
      <c r="B302"/>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row>
    <row r="303" spans="1:41" ht="12.75" customHeight="1">
      <c r="A303"/>
      <c r="B303"/>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row>
    <row r="304" spans="1:41" ht="12.75" customHeight="1">
      <c r="A304"/>
      <c r="B304"/>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row>
    <row r="305" spans="1:41" ht="12.75" customHeight="1">
      <c r="A305"/>
      <c r="B305"/>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row>
    <row r="306" spans="1:41" ht="12.75" customHeight="1">
      <c r="A306"/>
      <c r="B306"/>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row>
    <row r="307" spans="1:41" ht="12.75" customHeight="1">
      <c r="A307"/>
      <c r="B30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row>
    <row r="308" spans="1:41" ht="12.75" customHeight="1">
      <c r="A308"/>
      <c r="B308"/>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row>
    <row r="309" spans="1:41" ht="12.75" customHeight="1">
      <c r="A309"/>
      <c r="B309"/>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row>
    <row r="310" spans="1:41" ht="12.75" customHeight="1">
      <c r="A310"/>
      <c r="B310"/>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row>
    <row r="311" spans="1:41" ht="12.75" customHeight="1">
      <c r="A311"/>
      <c r="B311"/>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row>
    <row r="312" spans="1:41" ht="12.75" customHeight="1">
      <c r="A312"/>
      <c r="B312"/>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row>
    <row r="313" spans="1:41" ht="12.75" customHeight="1">
      <c r="A313"/>
      <c r="B313"/>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row>
    <row r="314" spans="1:41" ht="12.75" customHeight="1">
      <c r="A314"/>
      <c r="B314"/>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row>
    <row r="315" spans="1:41" ht="12.75" customHeight="1">
      <c r="A315"/>
      <c r="B315"/>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row>
    <row r="316" spans="1:41" ht="12.75" customHeight="1">
      <c r="A316"/>
      <c r="B316"/>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row>
    <row r="317" spans="1:41" ht="12.75" customHeight="1">
      <c r="A317"/>
      <c r="B31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row>
    <row r="318" spans="1:41" ht="12.75" customHeight="1">
      <c r="A318"/>
      <c r="B318"/>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row>
    <row r="319" spans="1:41" ht="12.75" customHeight="1">
      <c r="A319"/>
      <c r="B319"/>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row>
    <row r="320" spans="1:41" ht="12.75" customHeight="1">
      <c r="A320"/>
      <c r="B320"/>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row>
    <row r="321" spans="1:41" ht="12.75" customHeight="1">
      <c r="A321"/>
      <c r="B321"/>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row>
    <row r="322" spans="1:41" ht="12.75" customHeight="1">
      <c r="A322"/>
      <c r="B322"/>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row>
    <row r="323" spans="1:41" ht="12.75" customHeight="1">
      <c r="A323"/>
      <c r="B323"/>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row>
    <row r="324" spans="1:41" ht="12.75" customHeight="1">
      <c r="A324"/>
      <c r="B324"/>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row>
    <row r="325" spans="1:41" ht="12.75" customHeight="1">
      <c r="A325"/>
      <c r="B325"/>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row>
    <row r="326" spans="1:41" ht="12.75" customHeight="1">
      <c r="A326"/>
      <c r="B326"/>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row>
    <row r="327" spans="1:41" ht="12.75" customHeight="1">
      <c r="A327"/>
      <c r="B32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row>
    <row r="328" spans="1:41" ht="12.75" customHeight="1">
      <c r="A328"/>
      <c r="B328"/>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row>
    <row r="329" spans="1:41" ht="12.75" customHeight="1">
      <c r="A329"/>
      <c r="B329"/>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row>
    <row r="330" spans="1:41" ht="12.75" customHeight="1">
      <c r="A330"/>
      <c r="B330"/>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row>
    <row r="331" spans="1:41" ht="12.75" customHeight="1">
      <c r="A331"/>
      <c r="B331"/>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row>
    <row r="332" spans="1:41" ht="12.75" customHeight="1">
      <c r="A332"/>
      <c r="B332"/>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row>
    <row r="333" spans="1:41" ht="12.75" customHeight="1">
      <c r="A333"/>
      <c r="B333"/>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row>
    <row r="334" spans="1:41" ht="12.75" customHeight="1">
      <c r="A334"/>
      <c r="B334"/>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row>
    <row r="335" spans="1:41" ht="12.75" customHeight="1">
      <c r="A335"/>
      <c r="B335"/>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row>
    <row r="336" spans="1:41" ht="12.75" customHeight="1">
      <c r="A336"/>
      <c r="B336"/>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row>
    <row r="337" spans="1:41" ht="12.75" customHeight="1">
      <c r="A337"/>
      <c r="B3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row>
    <row r="338" spans="1:41" ht="12.75" customHeight="1">
      <c r="A338"/>
      <c r="B338"/>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row>
    <row r="339" spans="1:41" ht="12.75" customHeight="1">
      <c r="A339"/>
      <c r="B339"/>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row>
    <row r="340" spans="1:41" ht="12.75" customHeight="1">
      <c r="A340"/>
      <c r="B340"/>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row>
    <row r="341" spans="1:41" ht="12.75" customHeight="1">
      <c r="A341"/>
      <c r="B341"/>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row>
    <row r="342" spans="1:41" ht="12.75" customHeight="1">
      <c r="A342"/>
      <c r="B342"/>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row>
    <row r="343" spans="1:41" ht="12.75" customHeight="1">
      <c r="A343"/>
      <c r="B343"/>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row>
    <row r="344" spans="1:41" ht="12.75" customHeight="1">
      <c r="A344"/>
      <c r="B344"/>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row>
    <row r="345" spans="1:41" ht="12.75" customHeight="1">
      <c r="A345"/>
      <c r="B345"/>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row>
    <row r="346" spans="1:41" ht="12.75" customHeight="1">
      <c r="A346"/>
      <c r="B346"/>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row>
    <row r="347" spans="1:41" ht="12.75" customHeight="1">
      <c r="A347"/>
      <c r="B34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row>
    <row r="348" spans="1:41" ht="12.75" customHeight="1">
      <c r="A348"/>
      <c r="B348"/>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row>
    <row r="349" spans="1:41" ht="12.75" customHeight="1">
      <c r="A349"/>
      <c r="B349"/>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row>
    <row r="350" spans="1:41" ht="12.75" customHeight="1">
      <c r="A350"/>
      <c r="B350"/>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row>
    <row r="351" spans="1:41" ht="12.75" customHeight="1">
      <c r="A351"/>
      <c r="B351"/>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row>
    <row r="352" spans="1:41" ht="12.75" customHeight="1">
      <c r="A352"/>
      <c r="B352"/>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row>
    <row r="353" spans="1:41" ht="12.75" customHeight="1">
      <c r="A353"/>
      <c r="B353"/>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row>
    <row r="354" spans="1:41" ht="12.75" customHeight="1">
      <c r="A354"/>
      <c r="B354"/>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row>
    <row r="355" spans="1:41" ht="12.75" customHeight="1">
      <c r="A355"/>
      <c r="B355"/>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row>
    <row r="356" spans="1:41" ht="12.75" customHeight="1">
      <c r="A356"/>
      <c r="B356"/>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row>
    <row r="357" spans="1:41" ht="12.75" customHeight="1">
      <c r="A357"/>
      <c r="B35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row>
    <row r="358" spans="1:41" ht="12.75" customHeight="1">
      <c r="A358"/>
      <c r="B358"/>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row>
    <row r="359" spans="1:41" ht="12.75" customHeight="1">
      <c r="A359"/>
      <c r="B359"/>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row>
    <row r="360" spans="1:41" ht="12.75" customHeight="1">
      <c r="A360"/>
      <c r="B360"/>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row>
    <row r="361" spans="1:41" ht="12.75" customHeight="1">
      <c r="A361"/>
      <c r="B361"/>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row>
    <row r="362" spans="1:41" ht="12.75" customHeight="1">
      <c r="A362"/>
      <c r="B362"/>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row>
    <row r="363" spans="1:41" ht="12.75" customHeight="1">
      <c r="A363"/>
      <c r="B363"/>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row>
    <row r="364" spans="1:41" ht="12.75" customHeight="1">
      <c r="A364"/>
      <c r="B364"/>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row>
    <row r="365" spans="1:41" ht="12.75" customHeight="1">
      <c r="A365"/>
      <c r="B365"/>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row>
    <row r="366" spans="1:41" ht="12.75" customHeight="1">
      <c r="A366"/>
      <c r="B366"/>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row>
    <row r="367" spans="1:41" ht="12.75" customHeight="1">
      <c r="A367"/>
      <c r="B36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row>
    <row r="368" spans="1:41" ht="12.75" customHeight="1">
      <c r="A368"/>
      <c r="B368"/>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row>
    <row r="369" spans="1:41" ht="12.75" customHeight="1">
      <c r="A369"/>
      <c r="B369"/>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row>
    <row r="370" spans="1:41" ht="12.75" customHeight="1">
      <c r="A370"/>
      <c r="B370"/>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row>
    <row r="371" spans="1:41" ht="12.75" customHeight="1">
      <c r="A371"/>
      <c r="B371"/>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row>
    <row r="372" spans="1:41" ht="12.75" customHeight="1">
      <c r="A372"/>
      <c r="B372"/>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row>
    <row r="373" spans="1:41" ht="12.75" customHeight="1">
      <c r="A373"/>
      <c r="B373"/>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row>
    <row r="374" spans="1:41" ht="12.75" customHeight="1">
      <c r="A374"/>
      <c r="B374"/>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row>
    <row r="375" spans="1:41" ht="12.75" customHeight="1">
      <c r="A375"/>
      <c r="B375"/>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row>
    <row r="376" spans="1:41" ht="12.75" customHeight="1">
      <c r="A376"/>
      <c r="B376"/>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row>
    <row r="377" spans="1:41" ht="12.75" customHeight="1">
      <c r="A377"/>
      <c r="B37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row>
    <row r="378" spans="1:41" ht="12.75" customHeight="1">
      <c r="A378"/>
      <c r="B378"/>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row>
    <row r="379" spans="1:41" ht="12.75" customHeight="1">
      <c r="A379"/>
      <c r="B379"/>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row>
    <row r="380" spans="1:41" ht="12.75" customHeight="1">
      <c r="A380"/>
      <c r="B380"/>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row>
    <row r="381" spans="1:41" ht="12.75" customHeight="1">
      <c r="A381"/>
      <c r="B381"/>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row>
    <row r="382" spans="1:41" ht="12.75" customHeight="1">
      <c r="A382"/>
      <c r="B382"/>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row>
    <row r="383" spans="1:41" ht="12.75" customHeight="1">
      <c r="A383"/>
      <c r="B383"/>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row>
    <row r="384" spans="1:41" ht="12.75" customHeight="1">
      <c r="A384"/>
      <c r="B384"/>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row>
    <row r="385" spans="1:41" ht="12.75" customHeight="1">
      <c r="A385"/>
      <c r="B385"/>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row>
    <row r="386" spans="1:41" ht="12.75" customHeight="1">
      <c r="A386"/>
      <c r="B386"/>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row>
    <row r="387" spans="1:41" ht="12.75" customHeight="1">
      <c r="A387"/>
      <c r="B38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row>
    <row r="388" spans="1:41" ht="12.75" customHeight="1">
      <c r="A388"/>
      <c r="B388"/>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row>
    <row r="389" spans="1:41" ht="12.75" customHeight="1">
      <c r="A389"/>
      <c r="B389"/>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row>
    <row r="390" spans="1:41" ht="12.75" customHeight="1">
      <c r="A390"/>
      <c r="B390"/>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row>
    <row r="391" spans="1:41" ht="12.75" customHeight="1">
      <c r="A391"/>
      <c r="B391"/>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row>
    <row r="392" spans="1:41" ht="12.75" customHeight="1">
      <c r="A392"/>
      <c r="B392"/>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row>
    <row r="393" spans="1:41" ht="12.75" customHeight="1">
      <c r="A393"/>
      <c r="B393"/>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row>
    <row r="394" spans="1:41" ht="12.75" customHeight="1">
      <c r="A394"/>
      <c r="B394"/>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row>
    <row r="395" spans="1:41" ht="12.75" customHeight="1">
      <c r="A395"/>
      <c r="B395"/>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row>
    <row r="396" spans="1:41" ht="12.75" customHeight="1">
      <c r="A396"/>
      <c r="B396"/>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row>
    <row r="397" spans="1:41" ht="12.75" customHeight="1">
      <c r="A397"/>
      <c r="B39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row>
    <row r="398" spans="1:41" ht="12.75" customHeight="1">
      <c r="A398"/>
      <c r="B398"/>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row>
    <row r="399" spans="1:41" ht="12.75" customHeight="1">
      <c r="A399"/>
      <c r="B399"/>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row>
    <row r="400" spans="1:41" ht="12.75" customHeight="1">
      <c r="A400"/>
      <c r="B400"/>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row>
    <row r="401" spans="1:41" ht="12.75" customHeight="1">
      <c r="A401"/>
      <c r="B401"/>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row>
    <row r="402" spans="1:41" ht="12.75" customHeight="1">
      <c r="A402"/>
      <c r="B402"/>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row>
    <row r="403" spans="1:41" ht="12.75" customHeight="1">
      <c r="A403"/>
      <c r="B403"/>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row>
    <row r="404" spans="1:41" ht="12.75" customHeight="1">
      <c r="A404"/>
      <c r="B404"/>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row>
    <row r="405" spans="1:41" ht="12.75" customHeight="1">
      <c r="A405"/>
      <c r="B405"/>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row>
    <row r="406" spans="1:41" ht="12.75" customHeight="1">
      <c r="A406"/>
      <c r="B406"/>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row>
    <row r="407" spans="1:41" ht="12.75" customHeight="1">
      <c r="A407"/>
      <c r="B40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row>
    <row r="408" spans="1:41" ht="12.75" customHeight="1">
      <c r="A408"/>
      <c r="B408"/>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row>
    <row r="409" spans="1:41" ht="12.75" customHeight="1">
      <c r="A409"/>
      <c r="B409"/>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row>
    <row r="410" spans="1:41" ht="12.75" customHeight="1">
      <c r="A410"/>
      <c r="B410"/>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row>
    <row r="411" spans="1:41" ht="12.75" customHeight="1">
      <c r="A411"/>
      <c r="B411"/>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row>
    <row r="412" spans="1:41" ht="12.75" customHeight="1">
      <c r="A412"/>
      <c r="B412"/>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row>
    <row r="413" spans="1:41" ht="12.75" customHeight="1">
      <c r="A413"/>
      <c r="B413"/>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row>
    <row r="414" spans="1:41" ht="12.75" customHeight="1">
      <c r="A414"/>
      <c r="B414"/>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row>
    <row r="415" spans="1:41" ht="12.75" customHeight="1">
      <c r="A415"/>
      <c r="B415"/>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row>
    <row r="416" spans="1:41" ht="12.75" customHeight="1">
      <c r="A416"/>
      <c r="B41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row>
    <row r="417" spans="1:41" ht="12.75" customHeight="1">
      <c r="A417"/>
      <c r="B41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row>
    <row r="418" spans="1:41" ht="12.75" customHeight="1">
      <c r="A418"/>
      <c r="B418"/>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row>
    <row r="419" spans="1:41" ht="12.75" customHeight="1">
      <c r="A419"/>
      <c r="B419"/>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row>
    <row r="420" spans="1:41" ht="12.75" customHeight="1">
      <c r="A420"/>
      <c r="B420"/>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row>
    <row r="421" spans="1:41" ht="12.75" customHeight="1">
      <c r="A421"/>
      <c r="B421"/>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row>
    <row r="422" spans="1:41" ht="12.75" customHeight="1">
      <c r="A422"/>
      <c r="B422"/>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row>
    <row r="423" spans="1:41" ht="12.75" customHeight="1">
      <c r="A423"/>
      <c r="B423"/>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row>
    <row r="424" spans="1:41" ht="12.75" customHeight="1">
      <c r="A424"/>
      <c r="B424"/>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row>
    <row r="425" spans="1:41" ht="12.75" customHeight="1">
      <c r="A425"/>
      <c r="B425"/>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row>
    <row r="426" spans="1:41" ht="12.75" customHeight="1">
      <c r="A426"/>
      <c r="B42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row>
    <row r="427" spans="1:41" ht="12.75" customHeight="1">
      <c r="A427"/>
      <c r="B42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row>
    <row r="428" spans="1:41" ht="12.75" customHeight="1">
      <c r="A428"/>
      <c r="B428"/>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row>
    <row r="429" spans="1:41" ht="12.75" customHeight="1">
      <c r="A429"/>
      <c r="B429"/>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row>
    <row r="430" spans="1:41" ht="12.75" customHeight="1">
      <c r="A430"/>
      <c r="B430"/>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row>
    <row r="431" spans="1:41" ht="12.75" customHeight="1">
      <c r="A431"/>
      <c r="B431"/>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row>
    <row r="432" spans="1:41" ht="12.75" customHeight="1">
      <c r="A432"/>
      <c r="B432"/>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row>
    <row r="433" spans="1:41" ht="12.75" customHeight="1">
      <c r="A433"/>
      <c r="B433"/>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row>
    <row r="434" spans="1:41" ht="12.75" customHeight="1">
      <c r="A434"/>
      <c r="B434"/>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row>
    <row r="435" spans="1:41" ht="12.75" customHeight="1">
      <c r="A435"/>
      <c r="B435"/>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row>
    <row r="436" spans="1:41" ht="12.75" customHeight="1">
      <c r="A436"/>
      <c r="B436"/>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row>
    <row r="437" spans="1:41" ht="12.75" customHeight="1">
      <c r="A437"/>
      <c r="B4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row>
    <row r="438" spans="1:41" ht="12.75" customHeight="1">
      <c r="A438"/>
      <c r="B438"/>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row>
    <row r="439" spans="1:41" ht="12.75" customHeight="1">
      <c r="A439"/>
      <c r="B439"/>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row>
    <row r="440" spans="1:41" ht="12.75" customHeight="1">
      <c r="A440"/>
      <c r="B440"/>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row>
    <row r="441" spans="1:41" ht="12.75" customHeight="1">
      <c r="A441"/>
      <c r="B441"/>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row>
    <row r="442" spans="1:41" ht="12.75" customHeight="1">
      <c r="A442"/>
      <c r="B442"/>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row>
    <row r="443" spans="1:41" ht="12.75" customHeight="1">
      <c r="A443"/>
      <c r="B443"/>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row>
    <row r="444" spans="1:41" ht="12.75" customHeight="1">
      <c r="A444"/>
      <c r="B444"/>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row>
    <row r="445" spans="1:41" ht="12.75" customHeight="1">
      <c r="A445"/>
      <c r="B445"/>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row>
    <row r="446" spans="1:41" ht="12.75" customHeight="1">
      <c r="A446"/>
      <c r="B44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row>
    <row r="447" spans="1:41" ht="12.75" customHeight="1">
      <c r="A447"/>
      <c r="B44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row>
    <row r="448" spans="1:41" ht="12.75" customHeight="1">
      <c r="A448"/>
      <c r="B448"/>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row>
    <row r="449" spans="1:41" ht="12.75" customHeight="1">
      <c r="A449"/>
      <c r="B449"/>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row>
    <row r="450" spans="1:41" ht="12.75" customHeight="1">
      <c r="A450"/>
      <c r="B450"/>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row>
    <row r="451" spans="1:41" ht="12.75" customHeight="1">
      <c r="A451"/>
      <c r="B451"/>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row>
    <row r="452" spans="1:41" ht="12.75" customHeight="1">
      <c r="A452"/>
      <c r="B452"/>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row>
    <row r="453" spans="1:41" ht="12.75" customHeight="1">
      <c r="A453"/>
      <c r="B453"/>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row>
    <row r="454" spans="1:41" ht="12.75" customHeight="1">
      <c r="A454"/>
      <c r="B454"/>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row>
    <row r="455" spans="1:41" ht="12.75" customHeight="1">
      <c r="A455"/>
      <c r="B455"/>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row>
    <row r="456" spans="1:41" ht="12.75" customHeight="1">
      <c r="A456"/>
      <c r="B45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row>
    <row r="457" spans="1:41" ht="12.75" customHeight="1">
      <c r="A457"/>
      <c r="B45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row>
    <row r="458" spans="1:41" ht="12.75" customHeight="1">
      <c r="A458"/>
      <c r="B458"/>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row>
    <row r="459" spans="1:41" ht="12.75" customHeight="1">
      <c r="A459"/>
      <c r="B459"/>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row>
    <row r="460" spans="1:41" ht="12.75" customHeight="1">
      <c r="A460"/>
      <c r="B460"/>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row>
    <row r="461" spans="1:41" ht="12.75" customHeight="1">
      <c r="A461"/>
      <c r="B461"/>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row>
    <row r="462" spans="1:41" ht="12.75" customHeight="1">
      <c r="A462"/>
      <c r="B462"/>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row>
    <row r="463" spans="1:41" ht="12.75" customHeight="1">
      <c r="A463"/>
      <c r="B463"/>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row>
    <row r="464" spans="1:41" ht="12.75" customHeight="1">
      <c r="A464"/>
      <c r="B464"/>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row>
    <row r="465" spans="1:41" ht="12.75" customHeight="1">
      <c r="A465"/>
      <c r="B465"/>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row>
    <row r="466" spans="1:41" ht="12.75" customHeight="1">
      <c r="A466"/>
      <c r="B466"/>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row>
    <row r="467" spans="1:41" ht="12.75" customHeight="1">
      <c r="A467"/>
      <c r="B46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row>
    <row r="468" spans="1:41" ht="12.75" customHeight="1">
      <c r="A468"/>
      <c r="B468"/>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row>
    <row r="469" spans="1:41" ht="12.75" customHeight="1">
      <c r="A469"/>
      <c r="B469"/>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row>
    <row r="470" spans="1:41" ht="12.75" customHeight="1">
      <c r="A470"/>
      <c r="B470"/>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row>
    <row r="471" spans="1:41" ht="12.75" customHeight="1">
      <c r="A471"/>
      <c r="B471"/>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row>
    <row r="472" spans="1:41" ht="12.75" customHeight="1">
      <c r="A472"/>
      <c r="B472"/>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row>
    <row r="473" spans="1:41" ht="12.75" customHeight="1">
      <c r="A473"/>
      <c r="B473"/>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row>
    <row r="474" spans="1:41" ht="12.75" customHeight="1">
      <c r="A474"/>
      <c r="B474"/>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row>
    <row r="475" spans="1:41" ht="12.75" customHeight="1">
      <c r="A475"/>
      <c r="B475"/>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row>
    <row r="476" spans="1:41" ht="12.75" customHeight="1">
      <c r="A476"/>
      <c r="B476"/>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row>
    <row r="477" spans="1:41" ht="12.75" customHeight="1">
      <c r="A477"/>
      <c r="B47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row>
    <row r="478" spans="1:41" ht="12.75" customHeight="1">
      <c r="A478"/>
      <c r="B478"/>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row>
    <row r="479" spans="1:41" ht="12.75" customHeight="1">
      <c r="A479"/>
      <c r="B479"/>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row>
    <row r="480" spans="1:41" ht="12.75" customHeight="1">
      <c r="A480"/>
      <c r="B480"/>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row>
    <row r="481" spans="1:41" ht="12.75" customHeight="1">
      <c r="A481"/>
      <c r="B481"/>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row>
    <row r="482" spans="1:41" ht="12.75" customHeight="1">
      <c r="A482"/>
      <c r="B482"/>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row>
    <row r="483" spans="1:41" ht="12.75" customHeight="1">
      <c r="A483"/>
      <c r="B483"/>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row>
    <row r="484" spans="1:41" ht="12.75" customHeight="1">
      <c r="A484"/>
      <c r="B484"/>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row>
    <row r="485" spans="1:41" ht="12.75" customHeight="1">
      <c r="A485"/>
      <c r="B485"/>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row>
    <row r="486" spans="1:41" ht="12.75" customHeight="1">
      <c r="A486"/>
      <c r="B486"/>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row>
    <row r="487" spans="1:41" ht="12.75" customHeight="1">
      <c r="A487"/>
      <c r="B48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row>
    <row r="488" spans="1:41" ht="12.75" customHeight="1">
      <c r="A488"/>
      <c r="B488"/>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row>
    <row r="489" spans="1:41" ht="12.75" customHeight="1">
      <c r="A489"/>
      <c r="B489"/>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row>
    <row r="490" spans="1:41" ht="12.75" customHeight="1">
      <c r="A490"/>
      <c r="B490"/>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row>
    <row r="491" spans="1:41" ht="12.75" customHeight="1">
      <c r="A491"/>
      <c r="B491"/>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row>
    <row r="492" spans="1:41" ht="12.75" customHeight="1">
      <c r="A492"/>
      <c r="B492"/>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row>
    <row r="493" spans="1:41" ht="12.75" customHeight="1">
      <c r="A493"/>
      <c r="B493"/>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row>
    <row r="494" spans="1:41" ht="12.75" customHeight="1">
      <c r="A494"/>
      <c r="B494"/>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row>
    <row r="495" spans="1:41" ht="12.75" customHeight="1">
      <c r="A495"/>
      <c r="B495"/>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row>
    <row r="496" spans="1:41" ht="12.75" customHeight="1">
      <c r="A496"/>
      <c r="B496"/>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row>
    <row r="497" spans="1:41" ht="12.75" customHeight="1">
      <c r="A497"/>
      <c r="B49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row>
    <row r="498" spans="1:41" ht="12.75" customHeight="1">
      <c r="A498"/>
      <c r="B498"/>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row>
    <row r="499" spans="1:41" ht="12.75" customHeight="1">
      <c r="A499"/>
      <c r="B499"/>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row>
    <row r="500" spans="1:41" ht="12.75" customHeight="1">
      <c r="A500"/>
      <c r="B500"/>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row>
    <row r="501" spans="1:41" ht="12.75" customHeight="1">
      <c r="A501"/>
      <c r="B501"/>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row>
    <row r="502" spans="1:41" ht="12.75" customHeight="1">
      <c r="A502"/>
      <c r="B502"/>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row>
    <row r="503" spans="1:41" ht="12.75" customHeight="1">
      <c r="A503"/>
      <c r="B503"/>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row>
    <row r="504" spans="1:41" ht="12.75" customHeight="1">
      <c r="A504"/>
      <c r="B504"/>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row>
    <row r="505" spans="1:41" ht="12.75" customHeight="1">
      <c r="A505"/>
      <c r="B505"/>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row>
    <row r="506" spans="1:41" ht="12.75" customHeight="1">
      <c r="A506"/>
      <c r="B506"/>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row>
    <row r="507" spans="1:41" ht="12.75" customHeight="1">
      <c r="A507"/>
      <c r="B50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row>
    <row r="508" spans="1:41" ht="12.75" customHeight="1">
      <c r="A508"/>
      <c r="B508"/>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row>
    <row r="509" spans="3:41" ht="12.75">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row>
    <row r="510" spans="3:41" ht="12.75">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row>
    <row r="511" spans="3:41" ht="12.75">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row>
    <row r="512" spans="3:41" ht="12.75">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row>
  </sheetData>
  <printOptions gridLines="1"/>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L43"/>
  <sheetViews>
    <sheetView zoomScale="72" zoomScaleNormal="72" workbookViewId="0" topLeftCell="A19">
      <selection activeCell="C25" sqref="C25"/>
    </sheetView>
  </sheetViews>
  <sheetFormatPr defaultColWidth="9.140625" defaultRowHeight="12.75"/>
  <cols>
    <col min="1" max="1" width="26.00390625" style="0" customWidth="1"/>
    <col min="2" max="2" width="75.421875" style="0" customWidth="1"/>
    <col min="4" max="4" width="12.421875" style="0" customWidth="1"/>
    <col min="5" max="5" width="14.8515625" style="0" customWidth="1"/>
    <col min="6" max="6" width="11.57421875" style="0" customWidth="1"/>
    <col min="7" max="7" width="14.421875" style="0" customWidth="1"/>
    <col min="8" max="8" width="19.57421875" style="0" customWidth="1"/>
    <col min="9" max="9" width="16.7109375" style="0" customWidth="1"/>
  </cols>
  <sheetData>
    <row r="1" ht="12.75">
      <c r="A1" t="s">
        <v>165</v>
      </c>
    </row>
    <row r="4" spans="1:4" s="5" customFormat="1" ht="25.5">
      <c r="A4" s="100" t="s">
        <v>166</v>
      </c>
      <c r="B4" s="101" t="s">
        <v>401</v>
      </c>
      <c r="C4" s="102" t="s">
        <v>402</v>
      </c>
      <c r="D4" s="101" t="s">
        <v>167</v>
      </c>
    </row>
    <row r="5" spans="1:4" s="5" customFormat="1" ht="12.75">
      <c r="A5" s="100" t="s">
        <v>168</v>
      </c>
      <c r="B5" s="103" t="s">
        <v>169</v>
      </c>
      <c r="C5" s="104">
        <v>1.8</v>
      </c>
      <c r="D5" s="105">
        <v>1536</v>
      </c>
    </row>
    <row r="6" spans="1:4" s="5" customFormat="1" ht="12.75">
      <c r="A6" s="100" t="s">
        <v>168</v>
      </c>
      <c r="B6" s="103" t="s">
        <v>170</v>
      </c>
      <c r="C6" s="104">
        <v>2.5</v>
      </c>
      <c r="D6" s="105">
        <v>1141</v>
      </c>
    </row>
    <row r="7" spans="1:4" s="5" customFormat="1" ht="12.75">
      <c r="A7" s="100" t="s">
        <v>168</v>
      </c>
      <c r="B7" s="106" t="s">
        <v>171</v>
      </c>
      <c r="C7" s="107">
        <v>1.8</v>
      </c>
      <c r="D7" s="108">
        <v>1536</v>
      </c>
    </row>
    <row r="8" spans="1:4" s="5" customFormat="1" ht="12.75">
      <c r="A8" s="100" t="s">
        <v>168</v>
      </c>
      <c r="B8" s="106" t="s">
        <v>172</v>
      </c>
      <c r="C8" s="107">
        <v>2.5</v>
      </c>
      <c r="D8" s="108">
        <v>1141</v>
      </c>
    </row>
    <row r="9" spans="1:4" s="5" customFormat="1" ht="12.75">
      <c r="A9" s="109" t="s">
        <v>403</v>
      </c>
      <c r="B9" s="106" t="s">
        <v>174</v>
      </c>
      <c r="C9" s="107">
        <v>1.8</v>
      </c>
      <c r="D9" s="108">
        <v>1536</v>
      </c>
    </row>
    <row r="10" spans="1:6" s="5" customFormat="1" ht="12.75">
      <c r="A10" s="109" t="s">
        <v>403</v>
      </c>
      <c r="B10" s="106" t="s">
        <v>174</v>
      </c>
      <c r="C10" s="107">
        <v>2.3</v>
      </c>
      <c r="D10" s="108">
        <v>1245</v>
      </c>
      <c r="F10" s="110"/>
    </row>
    <row r="11" ht="13.5" thickBot="1"/>
    <row r="12" spans="1:8" ht="75" customHeight="1" thickBot="1">
      <c r="A12" s="220" t="s">
        <v>175</v>
      </c>
      <c r="B12" s="221" t="s">
        <v>176</v>
      </c>
      <c r="C12" s="222" t="s">
        <v>177</v>
      </c>
      <c r="D12" s="223" t="s">
        <v>178</v>
      </c>
      <c r="E12" s="223" t="s">
        <v>179</v>
      </c>
      <c r="F12" s="224" t="s">
        <v>180</v>
      </c>
      <c r="G12" s="224" t="s">
        <v>464</v>
      </c>
      <c r="H12" s="224" t="s">
        <v>465</v>
      </c>
    </row>
    <row r="13" spans="1:10" ht="16.5" thickBot="1">
      <c r="A13" s="214">
        <v>30</v>
      </c>
      <c r="B13" s="215" t="s">
        <v>462</v>
      </c>
      <c r="C13" s="234">
        <f>VLOOKUP(A13,'Federal Standards'!$A$2:$B$33,2,0)</f>
        <v>0.89</v>
      </c>
      <c r="D13" s="216">
        <v>180</v>
      </c>
      <c r="E13" s="217"/>
      <c r="F13" s="218">
        <v>3594.758841863336</v>
      </c>
      <c r="G13" s="219"/>
      <c r="H13" s="219"/>
      <c r="J13" s="99"/>
    </row>
    <row r="14" spans="1:10" ht="16.5" thickBot="1">
      <c r="A14" s="214">
        <v>30</v>
      </c>
      <c r="B14" s="215" t="s">
        <v>463</v>
      </c>
      <c r="C14" s="234">
        <f>VLOOKUP(A14,'Federal Standards'!$A$2:$D$33,3,0)</f>
        <v>0.93</v>
      </c>
      <c r="D14" s="216"/>
      <c r="E14" s="217"/>
      <c r="F14" s="176">
        <f>C$13*F$13/C14</f>
        <v>3440.145558342332</v>
      </c>
      <c r="G14" s="115">
        <f>F$13-F14</f>
        <v>154.61328352100372</v>
      </c>
      <c r="H14" s="115">
        <f>G14*(1-'Space Conditioning Interaction'!$B$29)</f>
        <v>151.0235520222015</v>
      </c>
      <c r="J14" s="99"/>
    </row>
    <row r="15" spans="1:10" ht="31.5">
      <c r="A15" s="111">
        <v>30</v>
      </c>
      <c r="B15" s="112" t="s">
        <v>457</v>
      </c>
      <c r="C15" s="113">
        <v>0.93</v>
      </c>
      <c r="D15" s="114">
        <v>210</v>
      </c>
      <c r="E15" s="114">
        <f>D15-$D13</f>
        <v>30</v>
      </c>
      <c r="F15" s="176">
        <f>C$13*F$13/C15</f>
        <v>3440.145558342332</v>
      </c>
      <c r="G15" s="115">
        <f>F$13-F15</f>
        <v>154.61328352100372</v>
      </c>
      <c r="H15" s="115">
        <f>G15*(1-'Space Conditioning Interaction'!$B$29)</f>
        <v>151.0235520222015</v>
      </c>
      <c r="J15" s="99"/>
    </row>
    <row r="16" spans="1:10" ht="32.25" thickBot="1">
      <c r="A16" s="111">
        <v>30</v>
      </c>
      <c r="B16" s="112" t="s">
        <v>453</v>
      </c>
      <c r="C16" s="113">
        <v>0.94</v>
      </c>
      <c r="D16" s="114">
        <v>245</v>
      </c>
      <c r="E16" s="114">
        <f>D16-D13</f>
        <v>65</v>
      </c>
      <c r="F16" s="176">
        <f>C$13*F$13/C16</f>
        <v>3403.548265168478</v>
      </c>
      <c r="G16" s="115">
        <f>F$13-F16</f>
        <v>191.210576694858</v>
      </c>
      <c r="H16" s="115">
        <f>G16*(1-'Space Conditioning Interaction'!$B$29)</f>
        <v>186.77114811256268</v>
      </c>
      <c r="J16" s="99"/>
    </row>
    <row r="17" spans="1:10" ht="16.5" thickBot="1">
      <c r="A17" s="116">
        <v>40</v>
      </c>
      <c r="B17" s="117" t="s">
        <v>462</v>
      </c>
      <c r="C17" s="234">
        <f>VLOOKUP(A17,'Federal Standards'!$A$2:$B$33,2,0)</f>
        <v>0.88</v>
      </c>
      <c r="D17" s="119">
        <v>180</v>
      </c>
      <c r="E17" s="119"/>
      <c r="F17" s="175">
        <v>3636.059115328372</v>
      </c>
      <c r="G17" s="121"/>
      <c r="H17" s="121"/>
      <c r="J17" s="99"/>
    </row>
    <row r="18" spans="1:10" ht="16.5" thickBot="1">
      <c r="A18" s="116">
        <v>40</v>
      </c>
      <c r="B18" s="117" t="s">
        <v>463</v>
      </c>
      <c r="C18" s="234">
        <f>VLOOKUP(A18,'Federal Standards'!$A$2:$D$33,3,0)</f>
        <v>0.92</v>
      </c>
      <c r="D18" s="119"/>
      <c r="E18" s="119"/>
      <c r="F18" s="175">
        <f>C$17*F$17/C18</f>
        <v>3477.9695885749643</v>
      </c>
      <c r="G18" s="120">
        <f>F$17-F18</f>
        <v>158.08952675340788</v>
      </c>
      <c r="H18" s="120">
        <f>G18*(1-'Space Conditioning Interaction'!$B$29)</f>
        <v>154.41908563157276</v>
      </c>
      <c r="J18" s="99"/>
    </row>
    <row r="19" spans="1:10" ht="31.5">
      <c r="A19" s="116">
        <v>40</v>
      </c>
      <c r="B19" s="117" t="s">
        <v>457</v>
      </c>
      <c r="C19" s="118">
        <v>0.93</v>
      </c>
      <c r="D19" s="119">
        <v>210</v>
      </c>
      <c r="E19" s="119">
        <f>D19-D17</f>
        <v>30</v>
      </c>
      <c r="F19" s="175">
        <f>C$17*F$17/C19</f>
        <v>3440.572066117169</v>
      </c>
      <c r="G19" s="120">
        <f>F$17-F19</f>
        <v>195.48704921120316</v>
      </c>
      <c r="H19" s="120">
        <f>G19*(1-'Space Conditioning Interaction'!$B$29)</f>
        <v>190.94833169495544</v>
      </c>
      <c r="J19" s="99"/>
    </row>
    <row r="20" spans="1:10" ht="32.25" thickBot="1">
      <c r="A20" s="116">
        <v>40</v>
      </c>
      <c r="B20" s="117" t="s">
        <v>453</v>
      </c>
      <c r="C20" s="118">
        <v>0.94</v>
      </c>
      <c r="D20" s="119">
        <v>265</v>
      </c>
      <c r="E20" s="119">
        <f>D20-D17</f>
        <v>85</v>
      </c>
      <c r="F20" s="175">
        <f>C$17*F$17/C20</f>
        <v>3403.970235626561</v>
      </c>
      <c r="G20" s="120">
        <f>F$17-F20</f>
        <v>232.08887970181104</v>
      </c>
      <c r="H20" s="120">
        <f>G20*(1-'Space Conditioning Interaction'!$B$29)</f>
        <v>226.7003597569893</v>
      </c>
      <c r="J20" s="99"/>
    </row>
    <row r="21" spans="1:12" ht="16.5" thickBot="1">
      <c r="A21" s="111">
        <v>50</v>
      </c>
      <c r="B21" s="215" t="s">
        <v>462</v>
      </c>
      <c r="C21" s="234">
        <f>VLOOKUP(A21,'Federal Standards'!$A$2:$B$33,2,0)</f>
        <v>0.86</v>
      </c>
      <c r="D21" s="114">
        <v>168</v>
      </c>
      <c r="E21" s="114"/>
      <c r="F21" s="176">
        <v>3721.163276507144</v>
      </c>
      <c r="G21" s="122"/>
      <c r="H21" s="122"/>
      <c r="I21" s="48"/>
      <c r="L21" s="180"/>
    </row>
    <row r="22" spans="1:12" ht="16.5" thickBot="1">
      <c r="A22" s="111">
        <v>50</v>
      </c>
      <c r="B22" s="215" t="s">
        <v>463</v>
      </c>
      <c r="C22" s="234">
        <f>VLOOKUP(A22,'Federal Standards'!$A$2:$D$33,3,0)</f>
        <v>0.9</v>
      </c>
      <c r="D22" s="114">
        <v>228</v>
      </c>
      <c r="E22" s="114">
        <f>D22-D21</f>
        <v>60</v>
      </c>
      <c r="F22" s="176">
        <f>C21*F21/C22</f>
        <v>3555.7782419957152</v>
      </c>
      <c r="G22" s="122">
        <f>F21-F22</f>
        <v>165.38503451142878</v>
      </c>
      <c r="H22" s="115">
        <f>G22*(1-'Space Conditioning Interaction'!$B$29)</f>
        <v>161.54521005200246</v>
      </c>
      <c r="I22" s="48"/>
      <c r="J22" s="99"/>
      <c r="L22" s="180"/>
    </row>
    <row r="23" spans="1:12" ht="31.5" customHeight="1">
      <c r="A23" s="111">
        <v>50</v>
      </c>
      <c r="B23" s="112" t="s">
        <v>457</v>
      </c>
      <c r="C23" s="113">
        <v>0.93</v>
      </c>
      <c r="D23" s="114">
        <v>248</v>
      </c>
      <c r="E23" s="114">
        <f>D23-D22</f>
        <v>20</v>
      </c>
      <c r="F23" s="176">
        <f>C$21*F$21/C23</f>
        <v>3441.0757180603696</v>
      </c>
      <c r="G23" s="122">
        <f>F22-F23</f>
        <v>114.70252393534565</v>
      </c>
      <c r="H23" s="115">
        <f>G23*(1-'Space Conditioning Interaction'!$B$29)</f>
        <v>112.03941987477577</v>
      </c>
      <c r="I23" s="48"/>
      <c r="J23" s="99"/>
      <c r="L23" s="99"/>
    </row>
    <row r="24" spans="1:12" ht="31.5" customHeight="1">
      <c r="A24" s="111">
        <v>50</v>
      </c>
      <c r="B24" s="112" t="s">
        <v>467</v>
      </c>
      <c r="C24" s="113">
        <v>0.95</v>
      </c>
      <c r="D24" s="114">
        <v>268</v>
      </c>
      <c r="E24" s="114">
        <f>D24-D23</f>
        <v>20</v>
      </c>
      <c r="F24" s="176">
        <f>C$21*F$21/C24</f>
        <v>3368.6320187327833</v>
      </c>
      <c r="G24" s="122">
        <f>F23-F24</f>
        <v>72.44369932758627</v>
      </c>
      <c r="H24" s="115">
        <f>G24*(1-'Space Conditioning Interaction'!$B$29)</f>
        <v>70.761738868279</v>
      </c>
      <c r="I24" s="48"/>
      <c r="J24" s="99"/>
      <c r="L24" s="99"/>
    </row>
    <row r="25" spans="1:10" ht="32.25" thickBot="1">
      <c r="A25" s="111">
        <v>50</v>
      </c>
      <c r="B25" s="112" t="s">
        <v>451</v>
      </c>
      <c r="C25" s="113">
        <v>2.3</v>
      </c>
      <c r="D25" s="114">
        <f>'OOE and FDTech Alert Data'!$H$4</f>
        <v>985</v>
      </c>
      <c r="E25" s="114">
        <f>D25-D24</f>
        <v>717</v>
      </c>
      <c r="F25" s="176">
        <f>C$21*F$21/C25</f>
        <v>1391.3914859983236</v>
      </c>
      <c r="G25" s="122">
        <f>F24-F25</f>
        <v>1977.2405327344597</v>
      </c>
      <c r="H25" s="115">
        <f>G25*(1-'Space Conditioning Interaction'!$B$29)</f>
        <v>1931.333981502714</v>
      </c>
      <c r="J25" s="99"/>
    </row>
    <row r="26" spans="1:10" ht="16.5" thickBot="1">
      <c r="A26" s="116">
        <v>65</v>
      </c>
      <c r="B26" s="117" t="s">
        <v>462</v>
      </c>
      <c r="C26" s="234">
        <f>VLOOKUP(A26,'Federal Standards'!$A$2:$B$33,2,0)</f>
        <v>0.84</v>
      </c>
      <c r="D26" s="119">
        <v>370</v>
      </c>
      <c r="E26" s="119"/>
      <c r="F26" s="175">
        <v>3811.0936076325706</v>
      </c>
      <c r="G26" s="121"/>
      <c r="H26" s="121"/>
      <c r="J26" s="99"/>
    </row>
    <row r="27" spans="1:10" ht="16.5" thickBot="1">
      <c r="A27" s="116">
        <v>65</v>
      </c>
      <c r="B27" s="117" t="s">
        <v>463</v>
      </c>
      <c r="C27" s="234">
        <f>VLOOKUP(A27,'Federal Standards'!$A$2:$D$33,3,0)</f>
        <v>0.88</v>
      </c>
      <c r="D27" s="119"/>
      <c r="E27" s="119"/>
      <c r="F27" s="175">
        <f>C$26*F$26/C27</f>
        <v>3637.8620800129083</v>
      </c>
      <c r="G27" s="120">
        <f>F$26-F27</f>
        <v>173.2315276196623</v>
      </c>
      <c r="H27" s="121"/>
      <c r="J27" s="99"/>
    </row>
    <row r="28" spans="1:10" ht="31.5">
      <c r="A28" s="116">
        <v>65</v>
      </c>
      <c r="B28" s="117" t="s">
        <v>457</v>
      </c>
      <c r="C28" s="118">
        <v>0.91</v>
      </c>
      <c r="D28" s="119">
        <v>405</v>
      </c>
      <c r="E28" s="119">
        <f>D28-D$26</f>
        <v>35</v>
      </c>
      <c r="F28" s="175">
        <f>C$26*F$26/C28</f>
        <v>3517.9325608916033</v>
      </c>
      <c r="G28" s="120">
        <f>F$26-F28</f>
        <v>293.1610467409673</v>
      </c>
      <c r="H28" s="120">
        <f>G28*(1-'Space Conditioning Interaction'!$B$29)</f>
        <v>286.35458471039465</v>
      </c>
      <c r="J28" s="99"/>
    </row>
    <row r="29" spans="1:10" ht="32.25" thickBot="1">
      <c r="A29" s="116">
        <v>65</v>
      </c>
      <c r="B29" s="117" t="s">
        <v>453</v>
      </c>
      <c r="C29" s="118">
        <v>0.94</v>
      </c>
      <c r="D29" s="119">
        <v>465</v>
      </c>
      <c r="E29" s="119">
        <f>D29-D$26</f>
        <v>95</v>
      </c>
      <c r="F29" s="175">
        <f>C$26*F$26/C29</f>
        <v>3405.658117458893</v>
      </c>
      <c r="G29" s="120">
        <f>F$26-F29</f>
        <v>405.43549017367786</v>
      </c>
      <c r="H29" s="120">
        <f>G29*(1-'Space Conditioning Interaction'!$B$29)</f>
        <v>396.0222980037369</v>
      </c>
      <c r="J29" s="99"/>
    </row>
    <row r="30" spans="1:10" ht="16.5" thickBot="1">
      <c r="A30" s="111">
        <v>80</v>
      </c>
      <c r="B30" s="112" t="s">
        <v>462</v>
      </c>
      <c r="C30" s="234">
        <f>VLOOKUP(A30,'Federal Standards'!$A$2:$B$33,2,0)</f>
        <v>0.82</v>
      </c>
      <c r="D30" s="114">
        <v>400</v>
      </c>
      <c r="E30" s="114"/>
      <c r="F30" s="176">
        <v>3905.0145547226284</v>
      </c>
      <c r="G30" s="122"/>
      <c r="H30" s="122"/>
      <c r="J30" s="99"/>
    </row>
    <row r="31" spans="1:10" ht="16.5" thickBot="1">
      <c r="A31" s="111">
        <v>80</v>
      </c>
      <c r="B31" s="215" t="s">
        <v>463</v>
      </c>
      <c r="C31" s="234">
        <f>VLOOKUP(A31,'Federal Standards'!$A$2:$D$33,3,0)</f>
        <v>0.86</v>
      </c>
      <c r="D31" s="114"/>
      <c r="E31" s="114"/>
      <c r="F31" s="176">
        <f>C$30*F$30/C31</f>
        <v>3723.385970782041</v>
      </c>
      <c r="G31" s="122">
        <f>F$30-F31</f>
        <v>181.6285839405873</v>
      </c>
      <c r="H31" s="122"/>
      <c r="J31" s="99"/>
    </row>
    <row r="32" spans="1:8" ht="31.5">
      <c r="A32" s="111">
        <v>80</v>
      </c>
      <c r="B32" s="112" t="s">
        <v>457</v>
      </c>
      <c r="C32" s="113">
        <v>0.91</v>
      </c>
      <c r="D32" s="114">
        <v>445</v>
      </c>
      <c r="E32" s="114">
        <f>D32-D$30</f>
        <v>45</v>
      </c>
      <c r="F32" s="176">
        <f>C$30*F$30/C32</f>
        <v>3518.8043240357747</v>
      </c>
      <c r="G32" s="122">
        <f>F$30-F32</f>
        <v>386.2102306868537</v>
      </c>
      <c r="H32" s="115">
        <f>G32*(1-'Space Conditioning Interaction'!$B$29)</f>
        <v>377.2434006792112</v>
      </c>
    </row>
    <row r="33" spans="1:8" ht="31.5">
      <c r="A33" s="111">
        <v>80</v>
      </c>
      <c r="B33" s="112" t="s">
        <v>453</v>
      </c>
      <c r="C33" s="113">
        <v>0.92</v>
      </c>
      <c r="D33" s="114">
        <v>505</v>
      </c>
      <c r="E33" s="114">
        <f>D33-D$30</f>
        <v>105</v>
      </c>
      <c r="F33" s="176">
        <f>C$30*F$30/C33</f>
        <v>3480.5564509484293</v>
      </c>
      <c r="G33" s="122">
        <f>F$30-F33</f>
        <v>424.4581037741991</v>
      </c>
      <c r="H33" s="115">
        <f>G33*(1-'Space Conditioning Interaction'!$B$29)</f>
        <v>414.6032543696645</v>
      </c>
    </row>
    <row r="34" spans="1:9" ht="32.25" thickBot="1">
      <c r="A34" s="111">
        <v>80</v>
      </c>
      <c r="B34" s="112" t="s">
        <v>452</v>
      </c>
      <c r="C34" s="232">
        <v>2.5</v>
      </c>
      <c r="D34" s="114">
        <f>'OOE and FDTech Alert Data'!H6</f>
        <v>1696</v>
      </c>
      <c r="E34" s="114">
        <f>D34-D$30</f>
        <v>1296</v>
      </c>
      <c r="F34" s="176">
        <f>C$30*F$30/C34</f>
        <v>1280.844773949022</v>
      </c>
      <c r="G34" s="122">
        <f>F30-F34</f>
        <v>2624.1697807736064</v>
      </c>
      <c r="H34" s="236">
        <f>G34*(1-'Space Conditioning Interaction'!$B$29)</f>
        <v>2563.2431598150115</v>
      </c>
      <c r="I34" s="99"/>
    </row>
    <row r="35" spans="1:9" ht="16.5" thickBot="1">
      <c r="A35" s="213">
        <v>105</v>
      </c>
      <c r="B35" s="230" t="s">
        <v>462</v>
      </c>
      <c r="C35" s="234">
        <f>VLOOKUP(A35,'Federal Standards'!$A$2:$B$33,2,0)</f>
        <v>0.79</v>
      </c>
      <c r="D35" s="231">
        <v>700</v>
      </c>
      <c r="E35" s="119"/>
      <c r="F35" s="175">
        <v>4054.8125209675313</v>
      </c>
      <c r="G35" s="121"/>
      <c r="H35" s="121"/>
      <c r="I35" s="99"/>
    </row>
    <row r="36" spans="1:9" ht="16.5" thickBot="1">
      <c r="A36" s="213">
        <v>105</v>
      </c>
      <c r="B36" s="117" t="s">
        <v>463</v>
      </c>
      <c r="C36" s="234">
        <f>VLOOKUP(A36,'Federal Standards'!$A$2:$D$33,3,0)</f>
        <v>0.83</v>
      </c>
      <c r="D36" s="231"/>
      <c r="E36" s="119"/>
      <c r="F36" s="175">
        <f>C34*F34/C36</f>
        <v>3857.96618659344</v>
      </c>
      <c r="G36" s="120">
        <f>F$35-F36</f>
        <v>196.84633437409138</v>
      </c>
      <c r="H36" s="121"/>
      <c r="I36" s="99"/>
    </row>
    <row r="37" spans="1:9" ht="32.25" thickBot="1">
      <c r="A37" s="213">
        <v>105</v>
      </c>
      <c r="B37" s="117" t="s">
        <v>453</v>
      </c>
      <c r="C37" s="233">
        <v>0.91</v>
      </c>
      <c r="D37" s="119">
        <v>800</v>
      </c>
      <c r="E37" s="119">
        <f>D37-D35</f>
        <v>100</v>
      </c>
      <c r="F37" s="175">
        <f>C35*F35/C37</f>
        <v>3520.1119687520327</v>
      </c>
      <c r="G37" s="120">
        <f>F$35-F37</f>
        <v>534.7005522154986</v>
      </c>
      <c r="H37" s="120">
        <f>G37*(1-'Space Conditioning Interaction'!$B$29)</f>
        <v>522.2861504836179</v>
      </c>
      <c r="I37" s="99"/>
    </row>
    <row r="38" spans="1:9" ht="16.5" thickBot="1">
      <c r="A38" s="111">
        <v>119</v>
      </c>
      <c r="B38" s="112" t="s">
        <v>462</v>
      </c>
      <c r="C38" s="234">
        <f>VLOOKUP(A38,'Federal Standards'!$A$2:$B$33,2,0)</f>
        <v>0.77</v>
      </c>
      <c r="D38" s="114">
        <v>700</v>
      </c>
      <c r="E38" s="114"/>
      <c r="F38" s="176">
        <v>4161.162592240969</v>
      </c>
      <c r="G38" s="122"/>
      <c r="H38" s="115"/>
      <c r="I38" s="99"/>
    </row>
    <row r="39" spans="1:9" ht="16.5" thickBot="1">
      <c r="A39" s="111">
        <v>119</v>
      </c>
      <c r="B39" s="215" t="s">
        <v>463</v>
      </c>
      <c r="C39" s="234">
        <f>VLOOKUP(A39,'Federal Standards'!$A$2:$D$33,3,0)</f>
        <v>0.81</v>
      </c>
      <c r="D39" s="114"/>
      <c r="E39" s="114"/>
      <c r="F39" s="176">
        <f>C37*F37/C39</f>
        <v>3954.6936932893204</v>
      </c>
      <c r="G39" s="122">
        <f>F$38-F39</f>
        <v>206.46889895164895</v>
      </c>
      <c r="H39" s="115"/>
      <c r="I39" s="99"/>
    </row>
    <row r="40" spans="1:9" ht="31.5">
      <c r="A40" s="111">
        <v>119</v>
      </c>
      <c r="B40" s="112" t="s">
        <v>457</v>
      </c>
      <c r="C40" s="113">
        <v>0.85</v>
      </c>
      <c r="D40" s="114">
        <v>750</v>
      </c>
      <c r="E40" s="114">
        <f>D40-D38</f>
        <v>50</v>
      </c>
      <c r="F40" s="176">
        <f>C38*F38/C40</f>
        <v>3769.5237600300547</v>
      </c>
      <c r="G40" s="122">
        <f>F$38-F40</f>
        <v>391.63883221091464</v>
      </c>
      <c r="H40" s="115">
        <f>G40*(1-'Space Conditioning Interaction'!$B$29)</f>
        <v>382.5459637320517</v>
      </c>
      <c r="I40" s="99"/>
    </row>
    <row r="42" ht="12.75">
      <c r="A42" t="s">
        <v>181</v>
      </c>
    </row>
    <row r="43" spans="1:7" ht="12.75">
      <c r="A43" t="s">
        <v>182</v>
      </c>
      <c r="G43" s="177"/>
    </row>
  </sheetData>
  <printOptions/>
  <pageMargins left="0.75" right="0.75" top="1" bottom="1" header="0.5" footer="0.5"/>
  <pageSetup fitToHeight="1" fitToWidth="1" horizontalDpi="600" verticalDpi="600" orientation="landscape" scale="67" r:id="rId3"/>
  <legacyDrawing r:id="rId2"/>
</worksheet>
</file>

<file path=xl/worksheets/sheet5.xml><?xml version="1.0" encoding="utf-8"?>
<worksheet xmlns="http://schemas.openxmlformats.org/spreadsheetml/2006/main" xmlns:r="http://schemas.openxmlformats.org/officeDocument/2006/relationships">
  <sheetPr codeName="Sheet10"/>
  <dimension ref="A1:D33"/>
  <sheetViews>
    <sheetView workbookViewId="0" topLeftCell="A1">
      <selection activeCell="E31" sqref="E31"/>
    </sheetView>
  </sheetViews>
  <sheetFormatPr defaultColWidth="9.140625" defaultRowHeight="12.75"/>
  <cols>
    <col min="1" max="1" width="10.421875" style="228" customWidth="1"/>
    <col min="2" max="2" width="10.421875" style="229" customWidth="1"/>
    <col min="3" max="3" width="9.28125" style="16" bestFit="1" customWidth="1"/>
    <col min="8" max="8" width="31.57421875" style="0" customWidth="1"/>
  </cols>
  <sheetData>
    <row r="1" spans="1:4" s="124" customFormat="1" ht="63.75">
      <c r="A1" s="225" t="s">
        <v>458</v>
      </c>
      <c r="B1" s="226" t="s">
        <v>459</v>
      </c>
      <c r="C1" s="226" t="s">
        <v>460</v>
      </c>
      <c r="D1" s="226" t="s">
        <v>461</v>
      </c>
    </row>
    <row r="2" spans="1:4" ht="12.75">
      <c r="A2" s="227">
        <v>0.3</v>
      </c>
      <c r="B2" s="174">
        <v>0.93</v>
      </c>
      <c r="C2" s="174">
        <v>0.97</v>
      </c>
      <c r="D2" s="174">
        <v>0.98</v>
      </c>
    </row>
    <row r="3" spans="1:4" ht="12.75">
      <c r="A3" s="227">
        <v>0.5</v>
      </c>
      <c r="B3" s="174">
        <v>0.93</v>
      </c>
      <c r="C3" s="174">
        <v>0.97</v>
      </c>
      <c r="D3" s="174">
        <v>0.98</v>
      </c>
    </row>
    <row r="4" spans="1:4" ht="12.75">
      <c r="A4" s="227">
        <v>2.5</v>
      </c>
      <c r="B4" s="174">
        <v>0.93</v>
      </c>
      <c r="C4" s="174">
        <v>0.97</v>
      </c>
      <c r="D4" s="174">
        <v>0.98</v>
      </c>
    </row>
    <row r="5" spans="1:4" ht="12.75">
      <c r="A5" s="227">
        <v>6</v>
      </c>
      <c r="B5" s="174">
        <v>0.92</v>
      </c>
      <c r="C5" s="174">
        <v>0.96</v>
      </c>
      <c r="D5" s="174">
        <v>0.97</v>
      </c>
    </row>
    <row r="6" spans="1:4" ht="12.75">
      <c r="A6" s="227">
        <v>9.5</v>
      </c>
      <c r="B6" s="174">
        <v>0.92</v>
      </c>
      <c r="C6" s="174">
        <v>0.96</v>
      </c>
      <c r="D6" s="174">
        <v>0.97</v>
      </c>
    </row>
    <row r="7" spans="1:4" ht="12.75">
      <c r="A7" s="227">
        <v>12</v>
      </c>
      <c r="B7" s="174">
        <v>0.91</v>
      </c>
      <c r="C7" s="174">
        <v>0.95</v>
      </c>
      <c r="D7" s="174">
        <v>0.96</v>
      </c>
    </row>
    <row r="8" spans="1:4" ht="12.75">
      <c r="A8" s="227">
        <v>14</v>
      </c>
      <c r="B8" s="174">
        <v>0.91</v>
      </c>
      <c r="C8" s="174">
        <v>0.95</v>
      </c>
      <c r="D8" s="174">
        <v>0.96</v>
      </c>
    </row>
    <row r="9" spans="1:4" ht="12.75">
      <c r="A9" s="227">
        <v>15</v>
      </c>
      <c r="B9" s="174">
        <v>0.91</v>
      </c>
      <c r="C9" s="174">
        <v>0.95</v>
      </c>
      <c r="D9" s="174">
        <v>0.96</v>
      </c>
    </row>
    <row r="10" spans="1:4" ht="12.75">
      <c r="A10" s="227">
        <v>18</v>
      </c>
      <c r="B10" s="174">
        <v>0.91</v>
      </c>
      <c r="C10" s="174">
        <v>0.95</v>
      </c>
      <c r="D10" s="174">
        <v>0.96</v>
      </c>
    </row>
    <row r="11" spans="1:4" ht="12.75">
      <c r="A11" s="227">
        <v>19</v>
      </c>
      <c r="B11" s="174">
        <v>0.9</v>
      </c>
      <c r="C11" s="174">
        <v>0.94</v>
      </c>
      <c r="D11" s="174">
        <v>0.95</v>
      </c>
    </row>
    <row r="12" spans="1:4" ht="12.75">
      <c r="A12" s="227">
        <v>20</v>
      </c>
      <c r="B12" s="174">
        <v>0.9</v>
      </c>
      <c r="C12" s="174">
        <v>0.94</v>
      </c>
      <c r="D12" s="174">
        <v>0.95</v>
      </c>
    </row>
    <row r="13" spans="1:4" ht="12.75">
      <c r="A13" s="227">
        <v>27</v>
      </c>
      <c r="B13" s="174">
        <v>0.89</v>
      </c>
      <c r="C13" s="174">
        <v>0.93</v>
      </c>
      <c r="D13" s="174">
        <v>0.94</v>
      </c>
    </row>
    <row r="14" spans="1:4" ht="12.75">
      <c r="A14" s="227">
        <v>28</v>
      </c>
      <c r="B14" s="174">
        <v>0.89</v>
      </c>
      <c r="C14" s="174">
        <v>0.93</v>
      </c>
      <c r="D14" s="174">
        <v>0.94</v>
      </c>
    </row>
    <row r="15" spans="1:4" ht="12.75">
      <c r="A15" s="227">
        <v>30</v>
      </c>
      <c r="B15" s="174">
        <v>0.89</v>
      </c>
      <c r="C15" s="174">
        <v>0.93</v>
      </c>
      <c r="D15" s="174">
        <v>0.94</v>
      </c>
    </row>
    <row r="16" spans="1:4" ht="12.75">
      <c r="A16" s="227">
        <v>38</v>
      </c>
      <c r="B16" s="174">
        <v>0.88</v>
      </c>
      <c r="C16" s="174">
        <v>0.92</v>
      </c>
      <c r="D16" s="174">
        <v>0.94</v>
      </c>
    </row>
    <row r="17" spans="1:4" ht="12.75">
      <c r="A17" s="227">
        <v>40</v>
      </c>
      <c r="B17" s="174">
        <v>0.88</v>
      </c>
      <c r="C17" s="174">
        <v>0.92</v>
      </c>
      <c r="D17" s="174">
        <v>0.94</v>
      </c>
    </row>
    <row r="18" spans="1:4" ht="12.75">
      <c r="A18" s="227">
        <v>47</v>
      </c>
      <c r="B18" s="174">
        <v>0.87</v>
      </c>
      <c r="C18" s="174">
        <v>0.91</v>
      </c>
      <c r="D18" s="174">
        <v>0.93</v>
      </c>
    </row>
    <row r="19" spans="1:4" ht="12.75">
      <c r="A19" s="227">
        <v>50</v>
      </c>
      <c r="B19" s="174">
        <v>0.86</v>
      </c>
      <c r="C19" s="174">
        <v>0.9</v>
      </c>
      <c r="D19" s="174">
        <v>0.93</v>
      </c>
    </row>
    <row r="20" spans="1:4" ht="12.75">
      <c r="A20" s="227">
        <v>52</v>
      </c>
      <c r="B20" s="174">
        <v>0.86</v>
      </c>
      <c r="C20" s="174">
        <v>0.9</v>
      </c>
      <c r="D20" s="174">
        <v>0.93</v>
      </c>
    </row>
    <row r="21" spans="1:4" ht="12.75">
      <c r="A21" s="227">
        <v>52</v>
      </c>
      <c r="B21" s="174">
        <v>0.86</v>
      </c>
      <c r="C21" s="174">
        <v>0.9</v>
      </c>
      <c r="D21" s="174">
        <v>0.93</v>
      </c>
    </row>
    <row r="22" spans="1:4" ht="12.75">
      <c r="A22" s="227">
        <v>55</v>
      </c>
      <c r="B22" s="174">
        <v>0.86</v>
      </c>
      <c r="C22" s="174">
        <v>0.9</v>
      </c>
      <c r="D22" s="174">
        <v>0.92</v>
      </c>
    </row>
    <row r="23" spans="1:4" ht="12.75">
      <c r="A23" s="227">
        <v>60</v>
      </c>
      <c r="B23" s="174">
        <v>0.85</v>
      </c>
      <c r="C23" s="174">
        <v>0.89</v>
      </c>
      <c r="D23" s="174">
        <v>0.92</v>
      </c>
    </row>
    <row r="24" spans="1:4" ht="12.75">
      <c r="A24" s="227">
        <v>65</v>
      </c>
      <c r="B24" s="174">
        <v>0.84</v>
      </c>
      <c r="C24" s="174">
        <v>0.88</v>
      </c>
      <c r="D24" s="174">
        <v>0.91</v>
      </c>
    </row>
    <row r="25" spans="1:4" ht="12.75">
      <c r="A25" s="227">
        <v>66</v>
      </c>
      <c r="B25" s="174">
        <v>0.84</v>
      </c>
      <c r="C25" s="174">
        <v>0.88</v>
      </c>
      <c r="D25" s="174">
        <v>0.91</v>
      </c>
    </row>
    <row r="26" spans="1:4" ht="12.75">
      <c r="A26" s="227">
        <v>70</v>
      </c>
      <c r="B26" s="174">
        <v>0.84</v>
      </c>
      <c r="C26" s="174">
        <v>0.88</v>
      </c>
      <c r="D26" s="174">
        <v>0.9</v>
      </c>
    </row>
    <row r="27" spans="1:4" ht="12.75">
      <c r="A27" s="227">
        <v>75</v>
      </c>
      <c r="B27" s="174">
        <v>0.83</v>
      </c>
      <c r="C27" s="174">
        <v>0.87</v>
      </c>
      <c r="D27" s="174">
        <v>0.9</v>
      </c>
    </row>
    <row r="28" spans="1:4" ht="12.75">
      <c r="A28" s="227">
        <v>80</v>
      </c>
      <c r="B28" s="174">
        <v>0.82</v>
      </c>
      <c r="C28" s="174">
        <v>0.86</v>
      </c>
      <c r="D28" s="174">
        <v>0.89</v>
      </c>
    </row>
    <row r="29" spans="1:4" ht="12.75">
      <c r="A29" s="227">
        <v>85</v>
      </c>
      <c r="B29" s="174">
        <v>0.82</v>
      </c>
      <c r="C29" s="174">
        <v>0.86</v>
      </c>
      <c r="D29" s="174">
        <v>0.88</v>
      </c>
    </row>
    <row r="30" spans="1:4" ht="12.75">
      <c r="A30" s="227">
        <v>100</v>
      </c>
      <c r="B30" s="174">
        <v>0.8</v>
      </c>
      <c r="C30" s="174">
        <v>0.84</v>
      </c>
      <c r="D30" s="174">
        <v>0.86</v>
      </c>
    </row>
    <row r="31" spans="1:4" ht="12.75">
      <c r="A31" s="227">
        <v>105</v>
      </c>
      <c r="B31" s="174">
        <v>0.79</v>
      </c>
      <c r="C31" s="174">
        <v>0.83</v>
      </c>
      <c r="D31" s="174">
        <v>0.86</v>
      </c>
    </row>
    <row r="32" spans="1:4" ht="12.75">
      <c r="A32" s="227">
        <v>119</v>
      </c>
      <c r="B32" s="174">
        <v>0.77</v>
      </c>
      <c r="C32" s="174">
        <v>0.81</v>
      </c>
      <c r="D32" s="174">
        <v>0.84</v>
      </c>
    </row>
    <row r="33" spans="1:4" ht="12.75">
      <c r="A33" s="227">
        <v>120</v>
      </c>
      <c r="B33" s="174">
        <v>0.77</v>
      </c>
      <c r="C33" s="174">
        <v>0.81</v>
      </c>
      <c r="D33" s="174">
        <v>0.84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O75"/>
  <sheetViews>
    <sheetView zoomScale="80" zoomScaleNormal="80" workbookViewId="0" topLeftCell="A37">
      <selection activeCell="E67" sqref="E67"/>
    </sheetView>
  </sheetViews>
  <sheetFormatPr defaultColWidth="9.140625" defaultRowHeight="12.75"/>
  <cols>
    <col min="1" max="1" width="49.8515625" style="0" customWidth="1"/>
    <col min="2" max="2" width="9.00390625" style="0" customWidth="1"/>
    <col min="3" max="3" width="9.28125" style="0" bestFit="1" customWidth="1"/>
    <col min="4" max="4" width="11.7109375" style="0" customWidth="1"/>
    <col min="5" max="5" width="13.421875" style="0" customWidth="1"/>
    <col min="6" max="6" width="13.28125" style="0" customWidth="1"/>
    <col min="7" max="12" width="11.421875" style="0" bestFit="1" customWidth="1"/>
  </cols>
  <sheetData>
    <row r="1" spans="1:7" ht="12.75">
      <c r="A1" s="123" t="s">
        <v>431</v>
      </c>
      <c r="F1" s="182" t="s">
        <v>414</v>
      </c>
      <c r="G1" s="183"/>
    </row>
    <row r="2" spans="6:7" ht="13.5" thickBot="1">
      <c r="F2" s="184" t="s">
        <v>415</v>
      </c>
      <c r="G2" s="185"/>
    </row>
    <row r="3" ht="13.5" thickBot="1">
      <c r="A3" s="123" t="s">
        <v>416</v>
      </c>
    </row>
    <row r="4" spans="1:5" ht="39" thickBot="1">
      <c r="A4" s="186"/>
      <c r="B4" s="187" t="s">
        <v>417</v>
      </c>
      <c r="C4" s="187" t="s">
        <v>418</v>
      </c>
      <c r="D4" s="187" t="s">
        <v>419</v>
      </c>
      <c r="E4" s="188" t="s">
        <v>420</v>
      </c>
    </row>
    <row r="5" spans="1:5" ht="12.75">
      <c r="A5" s="189" t="s">
        <v>23</v>
      </c>
      <c r="B5" s="190">
        <f>'[1]Summary of Residential Units'!$G$12</f>
        <v>0.3026173121835001</v>
      </c>
      <c r="C5" s="190">
        <f>'[1]Summary of Residential Units'!$G$14</f>
        <v>0.4966034117366874</v>
      </c>
      <c r="D5" s="190">
        <f>'[1]Summary of Residential Units'!$G$13</f>
        <v>0.20077927607981252</v>
      </c>
      <c r="E5" s="191">
        <f>SUM(B5:D5)</f>
        <v>0.9999999999999999</v>
      </c>
    </row>
    <row r="6" spans="1:5" ht="12.75">
      <c r="A6" s="192" t="s">
        <v>421</v>
      </c>
      <c r="B6" s="193">
        <v>0.75</v>
      </c>
      <c r="C6" s="193">
        <v>1</v>
      </c>
      <c r="D6" s="193">
        <f>7.7/3.413*B6</f>
        <v>1.6920597714620569</v>
      </c>
      <c r="E6" s="194">
        <f>SUMPRODUCT(B$5:D$5,B6:D6)</f>
        <v>1.0632969318722372</v>
      </c>
    </row>
    <row r="7" spans="1:5" ht="12.75">
      <c r="A7" s="192" t="s">
        <v>472</v>
      </c>
      <c r="B7" s="195">
        <f>'[1]Summary of Residential Units'!$F$12</f>
        <v>0.30437009175225693</v>
      </c>
      <c r="C7" s="195">
        <f>'[1]Summary of Residential Units'!$F$14</f>
        <v>0.5838102108781936</v>
      </c>
      <c r="D7" s="195">
        <f>'[1]Summary of Residential Units'!$F$13</f>
        <v>0.1118196973695496</v>
      </c>
      <c r="E7" s="196">
        <f>'[2]PNW Existing Characteristics'!$F$20</f>
        <v>0.419631940634978</v>
      </c>
    </row>
    <row r="8" spans="1:5" ht="12.75">
      <c r="A8" s="192" t="s">
        <v>471</v>
      </c>
      <c r="B8" s="85"/>
      <c r="C8" s="85"/>
      <c r="D8" s="85"/>
      <c r="E8" s="197">
        <f>'[1]Summary of Residential Units'!$H$18</f>
        <v>0.39716767160370814</v>
      </c>
    </row>
    <row r="9" spans="1:5" ht="12.75">
      <c r="A9" s="192" t="s">
        <v>23</v>
      </c>
      <c r="B9" s="193">
        <f>B11/E11</f>
        <v>0.5757338394883961</v>
      </c>
      <c r="C9" s="193">
        <v>0</v>
      </c>
      <c r="D9" s="193">
        <f>D11/E11</f>
        <v>0.424266160511604</v>
      </c>
      <c r="E9" s="198"/>
    </row>
    <row r="10" spans="1:5" ht="12.75">
      <c r="A10" s="192" t="s">
        <v>422</v>
      </c>
      <c r="B10" s="195">
        <f>12*0.65/3.413*$B6</f>
        <v>1.714034573688837</v>
      </c>
      <c r="C10" s="195">
        <f>12*0.65/3.413*$B6</f>
        <v>1.714034573688837</v>
      </c>
      <c r="D10" s="195">
        <f>12*0.65/3.413*$B6</f>
        <v>1.714034573688837</v>
      </c>
      <c r="E10" s="194">
        <f>SUMPRODUCT(B$9:D$9,B10:D10)</f>
        <v>1.7140345736888372</v>
      </c>
    </row>
    <row r="11" spans="1:5" ht="13.5" thickBot="1">
      <c r="A11" s="199" t="s">
        <v>423</v>
      </c>
      <c r="B11" s="201">
        <f>'[1]Summary of Residential Units'!$E$18</f>
        <v>0.2724596827796487</v>
      </c>
      <c r="C11" s="200">
        <v>0</v>
      </c>
      <c r="D11" s="200">
        <f>D5</f>
        <v>0.20077927607981252</v>
      </c>
      <c r="E11" s="201">
        <f>SUM(B11:D11)</f>
        <v>0.4732389588594612</v>
      </c>
    </row>
    <row r="12" spans="1:5" ht="12.75">
      <c r="A12" s="235" t="s">
        <v>473</v>
      </c>
      <c r="B12" s="202"/>
      <c r="C12" s="202"/>
      <c r="D12" s="202"/>
      <c r="E12" s="202"/>
    </row>
    <row r="13" ht="12.75">
      <c r="A13" s="203" t="s">
        <v>474</v>
      </c>
    </row>
    <row r="14" ht="12.75">
      <c r="A14" s="203"/>
    </row>
    <row r="15" ht="12.75">
      <c r="A15" t="s">
        <v>475</v>
      </c>
    </row>
    <row r="16" ht="12.75">
      <c r="A16" s="204" t="s">
        <v>476</v>
      </c>
    </row>
    <row r="17" ht="12.75">
      <c r="A17" s="204"/>
    </row>
    <row r="19" ht="13.5" thickBot="1">
      <c r="A19" s="123" t="s">
        <v>432</v>
      </c>
    </row>
    <row r="20" spans="1:2" ht="13.5" thickBot="1">
      <c r="A20" s="205" t="s">
        <v>424</v>
      </c>
      <c r="B20" s="210" t="s">
        <v>433</v>
      </c>
    </row>
    <row r="21" spans="1:3" ht="12.75">
      <c r="A21" s="189" t="s">
        <v>434</v>
      </c>
      <c r="B21" s="193">
        <f>'[1]Summary of Residential Units'!$E$22</f>
        <v>0.6380307253225604</v>
      </c>
      <c r="C21" t="s">
        <v>469</v>
      </c>
    </row>
    <row r="22" spans="1:3" ht="12.75">
      <c r="A22" s="192" t="s">
        <v>435</v>
      </c>
      <c r="B22" s="193">
        <v>0.515</v>
      </c>
      <c r="C22" t="s">
        <v>470</v>
      </c>
    </row>
    <row r="23" spans="1:2" ht="12.75">
      <c r="A23" s="192" t="s">
        <v>481</v>
      </c>
      <c r="B23" s="193">
        <v>0.5</v>
      </c>
    </row>
    <row r="24" spans="1:2" ht="12.75">
      <c r="A24" s="192" t="s">
        <v>425</v>
      </c>
      <c r="B24" s="206">
        <f>E8</f>
        <v>0.39716767160370814</v>
      </c>
    </row>
    <row r="25" spans="1:2" ht="12.75">
      <c r="A25" s="192" t="s">
        <v>426</v>
      </c>
      <c r="B25" s="206">
        <f>E11</f>
        <v>0.4732389588594612</v>
      </c>
    </row>
    <row r="26" spans="1:2" ht="12.75">
      <c r="A26" s="192" t="s">
        <v>427</v>
      </c>
      <c r="B26" s="206">
        <f>-B39</f>
        <v>-0.2683033757124068</v>
      </c>
    </row>
    <row r="27" spans="1:2" ht="12.75">
      <c r="A27" s="192" t="s">
        <v>428</v>
      </c>
      <c r="B27" s="207">
        <f>B21*B22*B23*B24/E6</f>
        <v>0.06136746121707702</v>
      </c>
    </row>
    <row r="28" spans="1:2" ht="12.75">
      <c r="A28" s="192" t="s">
        <v>429</v>
      </c>
      <c r="B28" s="212">
        <f>B22*B25*B26/E10</f>
        <v>-0.038149976813063556</v>
      </c>
    </row>
    <row r="29" spans="1:2" ht="13.5" thickBot="1">
      <c r="A29" s="208" t="s">
        <v>430</v>
      </c>
      <c r="B29" s="209">
        <f>B27+B28</f>
        <v>0.023217484404013465</v>
      </c>
    </row>
    <row r="30" ht="12.75">
      <c r="A30" s="237" t="s">
        <v>480</v>
      </c>
    </row>
    <row r="31" ht="12.75">
      <c r="H31" s="181">
        <f>SUM(F33:L33)/B33</f>
        <v>0.5366067514248136</v>
      </c>
    </row>
    <row r="32" spans="1:15" ht="12.75">
      <c r="A32" s="211"/>
      <c r="B32" s="211"/>
      <c r="C32" s="211" t="s">
        <v>436</v>
      </c>
      <c r="D32" s="211" t="s">
        <v>437</v>
      </c>
      <c r="E32" s="211" t="s">
        <v>438</v>
      </c>
      <c r="F32" s="211" t="s">
        <v>439</v>
      </c>
      <c r="G32" s="211" t="s">
        <v>440</v>
      </c>
      <c r="H32" s="211" t="s">
        <v>441</v>
      </c>
      <c r="I32" s="211" t="s">
        <v>442</v>
      </c>
      <c r="J32" s="211" t="s">
        <v>443</v>
      </c>
      <c r="K32" s="211" t="s">
        <v>444</v>
      </c>
      <c r="L32" s="211" t="s">
        <v>445</v>
      </c>
      <c r="M32" s="211" t="s">
        <v>446</v>
      </c>
      <c r="N32" s="211" t="s">
        <v>447</v>
      </c>
      <c r="O32" s="85"/>
    </row>
    <row r="33" spans="1:15" ht="12.75">
      <c r="A33" s="211" t="s">
        <v>448</v>
      </c>
      <c r="B33" s="238">
        <f>'Input Assumptions'!F21</f>
        <v>3721.163276507144</v>
      </c>
      <c r="C33" s="238">
        <f>$B33*C34</f>
        <v>369.5061298241421</v>
      </c>
      <c r="D33" s="238">
        <f aca="true" t="shared" si="0" ref="D33:N33">$B33*D34</f>
        <v>333.6159097087729</v>
      </c>
      <c r="E33" s="238">
        <f t="shared" si="0"/>
        <v>352.37670658726137</v>
      </c>
      <c r="F33" s="238">
        <f t="shared" si="0"/>
        <v>318.93354693430365</v>
      </c>
      <c r="G33" s="238">
        <f t="shared" si="0"/>
        <v>311.59236554706905</v>
      </c>
      <c r="H33" s="238">
        <f t="shared" si="0"/>
        <v>274.886458610896</v>
      </c>
      <c r="I33" s="238">
        <f t="shared" si="0"/>
        <v>261.83546947803444</v>
      </c>
      <c r="J33" s="238">
        <f t="shared" si="0"/>
        <v>259.3884090156229</v>
      </c>
      <c r="K33" s="238">
        <f t="shared" si="0"/>
        <v>270.8080245068768</v>
      </c>
      <c r="L33" s="238">
        <f t="shared" si="0"/>
        <v>299.35706323501137</v>
      </c>
      <c r="M33" s="238">
        <f t="shared" si="0"/>
        <v>320.56492057591134</v>
      </c>
      <c r="N33" s="238">
        <f t="shared" si="0"/>
        <v>348.2982724832421</v>
      </c>
      <c r="O33" s="85"/>
    </row>
    <row r="34" spans="1:15" ht="12.75">
      <c r="A34" s="211" t="s">
        <v>478</v>
      </c>
      <c r="B34" s="211"/>
      <c r="C34" s="239">
        <v>0.09929855326611135</v>
      </c>
      <c r="D34" s="239">
        <v>0.08965366067514248</v>
      </c>
      <c r="E34" s="239">
        <v>0.09469530907496712</v>
      </c>
      <c r="F34" s="239">
        <v>0.08570802279701885</v>
      </c>
      <c r="G34" s="239">
        <v>0.08373520385795703</v>
      </c>
      <c r="H34" s="239">
        <v>0.07387110916264795</v>
      </c>
      <c r="I34" s="239">
        <v>0.07036387549320473</v>
      </c>
      <c r="J34" s="239">
        <v>0.06970626918018413</v>
      </c>
      <c r="K34" s="239">
        <v>0.07277509864094696</v>
      </c>
      <c r="L34" s="239">
        <v>0.08044717229285402</v>
      </c>
      <c r="M34" s="239">
        <v>0.08614642700569926</v>
      </c>
      <c r="N34" s="239">
        <v>0.09359929855326611</v>
      </c>
      <c r="O34" s="85"/>
    </row>
    <row r="35" spans="1:15" ht="12.75">
      <c r="A35" s="85" t="s">
        <v>477</v>
      </c>
      <c r="B35" s="85"/>
      <c r="C35" s="240">
        <v>0</v>
      </c>
      <c r="D35" s="240">
        <v>0</v>
      </c>
      <c r="E35" s="240">
        <v>0</v>
      </c>
      <c r="F35" s="241">
        <v>0.0040100495893241805</v>
      </c>
      <c r="G35" s="240">
        <v>0.04534132801403668</v>
      </c>
      <c r="H35" s="240">
        <v>0.0818697611232761</v>
      </c>
      <c r="I35" s="240">
        <v>0.5046524897065825</v>
      </c>
      <c r="J35" s="240">
        <v>0.3240374394075517</v>
      </c>
      <c r="K35" s="240">
        <v>0.09889843062136863</v>
      </c>
      <c r="L35" s="240">
        <v>0.0026733663928827883</v>
      </c>
      <c r="M35" s="240">
        <v>0</v>
      </c>
      <c r="N35" s="240">
        <v>0</v>
      </c>
      <c r="O35" s="85"/>
    </row>
    <row r="36" spans="1:15" ht="12.75">
      <c r="A36" s="85"/>
      <c r="B36" s="85"/>
      <c r="C36" s="85"/>
      <c r="D36" s="85"/>
      <c r="E36" s="85"/>
      <c r="F36" s="85"/>
      <c r="G36" s="85"/>
      <c r="H36" s="85"/>
      <c r="I36" s="85"/>
      <c r="J36" s="85"/>
      <c r="K36" s="85"/>
      <c r="L36" s="85"/>
      <c r="M36" s="85"/>
      <c r="N36" s="85"/>
      <c r="O36" s="85"/>
    </row>
    <row r="37" spans="1:15" ht="12.75">
      <c r="A37" s="85" t="s">
        <v>479</v>
      </c>
      <c r="B37" s="85"/>
      <c r="C37" s="242">
        <f>C34*'Input Assumptions'!$G22</f>
        <v>16.422494658850777</v>
      </c>
      <c r="D37" s="242">
        <f>D34*'Input Assumptions'!$G22</f>
        <v>14.827373764834364</v>
      </c>
      <c r="E37" s="242">
        <f>E34*'Input Assumptions'!$G22</f>
        <v>15.661186959433852</v>
      </c>
      <c r="F37" s="242">
        <f>F34*'Input Assumptions'!$G22</f>
        <v>14.174824308191287</v>
      </c>
      <c r="G37" s="242">
        <f>G34*'Input Assumptions'!$G22</f>
        <v>13.848549579869749</v>
      </c>
      <c r="H37" s="242">
        <f>H34*'Input Assumptions'!$G22</f>
        <v>12.217175938262056</v>
      </c>
      <c r="I37" s="242">
        <f>I34*'Input Assumptions'!$G22</f>
        <v>11.637131976801543</v>
      </c>
      <c r="J37" s="242">
        <f>J34*'Input Assumptions'!$G22</f>
        <v>11.528373734027697</v>
      </c>
      <c r="K37" s="242">
        <f>K34*'Input Assumptions'!$G22</f>
        <v>12.035912200305647</v>
      </c>
      <c r="L37" s="242">
        <f>L34*'Input Assumptions'!$G22</f>
        <v>13.304758366000518</v>
      </c>
      <c r="M37" s="242">
        <f>M34*'Input Assumptions'!$G22</f>
        <v>14.247329803373853</v>
      </c>
      <c r="N37" s="242">
        <f>N34*'Input Assumptions'!$G22</f>
        <v>15.479923221477442</v>
      </c>
      <c r="O37" s="242">
        <f>'Input Assumptions'!$G22</f>
        <v>165.38503451142878</v>
      </c>
    </row>
    <row r="38" spans="1:15" ht="13.5" thickBot="1">
      <c r="A38" s="247" t="s">
        <v>449</v>
      </c>
      <c r="B38" s="245">
        <f>SUM(C38:N38)</f>
        <v>44.37336305172924</v>
      </c>
      <c r="C38" s="243">
        <f>IF(C35&gt;0,C37*0.5,0)</f>
        <v>0</v>
      </c>
      <c r="D38" s="243">
        <f aca="true" t="shared" si="1" ref="D38:N38">IF(D35&gt;0,D37*0.5,0)</f>
        <v>0</v>
      </c>
      <c r="E38" s="243">
        <f t="shared" si="1"/>
        <v>0</v>
      </c>
      <c r="F38" s="243">
        <f t="shared" si="1"/>
        <v>7.087412154095643</v>
      </c>
      <c r="G38" s="243">
        <f t="shared" si="1"/>
        <v>6.924274789934874</v>
      </c>
      <c r="H38" s="243">
        <f t="shared" si="1"/>
        <v>6.108587969131028</v>
      </c>
      <c r="I38" s="243">
        <f t="shared" si="1"/>
        <v>5.818565988400771</v>
      </c>
      <c r="J38" s="243">
        <f t="shared" si="1"/>
        <v>5.764186867013849</v>
      </c>
      <c r="K38" s="243">
        <f t="shared" si="1"/>
        <v>6.017956100152824</v>
      </c>
      <c r="L38" s="243">
        <f t="shared" si="1"/>
        <v>6.652379183000259</v>
      </c>
      <c r="M38" s="243">
        <f t="shared" si="1"/>
        <v>0</v>
      </c>
      <c r="N38" s="243">
        <f t="shared" si="1"/>
        <v>0</v>
      </c>
      <c r="O38" s="244">
        <f>SUM(C38:N38)</f>
        <v>44.37336305172924</v>
      </c>
    </row>
    <row r="39" spans="1:2" ht="13.5" thickBot="1">
      <c r="A39" s="248" t="s">
        <v>450</v>
      </c>
      <c r="B39" s="246">
        <f>B38/O37</f>
        <v>0.2683033757124068</v>
      </c>
    </row>
    <row r="41" spans="1:14" ht="12.75">
      <c r="A41" s="85"/>
      <c r="B41" s="85" t="s">
        <v>57</v>
      </c>
      <c r="C41" s="85" t="s">
        <v>436</v>
      </c>
      <c r="D41" s="85" t="s">
        <v>437</v>
      </c>
      <c r="E41" s="85" t="s">
        <v>438</v>
      </c>
      <c r="F41" s="85" t="s">
        <v>439</v>
      </c>
      <c r="G41" s="85" t="s">
        <v>440</v>
      </c>
      <c r="H41" s="85" t="s">
        <v>441</v>
      </c>
      <c r="I41" s="85" t="s">
        <v>442</v>
      </c>
      <c r="J41" s="85" t="s">
        <v>443</v>
      </c>
      <c r="K41" s="85" t="s">
        <v>444</v>
      </c>
      <c r="L41" s="85" t="s">
        <v>445</v>
      </c>
      <c r="M41" s="85" t="s">
        <v>446</v>
      </c>
      <c r="N41" s="85" t="s">
        <v>447</v>
      </c>
    </row>
    <row r="42" spans="1:14" ht="12.75">
      <c r="A42" s="85" t="s">
        <v>541</v>
      </c>
      <c r="B42" s="277">
        <f>SUM(C42:N42)</f>
        <v>8171</v>
      </c>
      <c r="C42" s="277">
        <v>1545</v>
      </c>
      <c r="D42" s="277">
        <v>1193</v>
      </c>
      <c r="E42" s="85">
        <v>916</v>
      </c>
      <c r="F42" s="85">
        <v>538</v>
      </c>
      <c r="G42" s="85">
        <v>343</v>
      </c>
      <c r="H42" s="85">
        <v>181</v>
      </c>
      <c r="I42" s="85">
        <v>183</v>
      </c>
      <c r="J42" s="85">
        <v>171</v>
      </c>
      <c r="K42" s="85">
        <v>178</v>
      </c>
      <c r="L42" s="85">
        <v>464</v>
      </c>
      <c r="M42" s="85">
        <v>953</v>
      </c>
      <c r="N42" s="277">
        <v>1506</v>
      </c>
    </row>
    <row r="43" spans="1:14" ht="12.75">
      <c r="A43" s="85" t="s">
        <v>542</v>
      </c>
      <c r="B43" s="277">
        <f>SUM(C43:N43)</f>
        <v>5073</v>
      </c>
      <c r="C43" s="277">
        <v>1137</v>
      </c>
      <c r="D43" s="85">
        <v>828</v>
      </c>
      <c r="E43" s="85">
        <v>579</v>
      </c>
      <c r="F43" s="85">
        <v>299</v>
      </c>
      <c r="G43" s="85">
        <v>158</v>
      </c>
      <c r="H43" s="85">
        <v>74</v>
      </c>
      <c r="I43" s="85">
        <v>81</v>
      </c>
      <c r="J43" s="85">
        <v>79</v>
      </c>
      <c r="K43" s="85">
        <v>73</v>
      </c>
      <c r="L43" s="85">
        <v>197</v>
      </c>
      <c r="M43" s="85">
        <v>583</v>
      </c>
      <c r="N43" s="85">
        <v>985</v>
      </c>
    </row>
    <row r="44" spans="1:14" ht="12.75">
      <c r="A44" s="85" t="s">
        <v>544</v>
      </c>
      <c r="B44" s="277"/>
      <c r="C44" s="278">
        <f>C42/$B42</f>
        <v>0.18908334353200343</v>
      </c>
      <c r="D44" s="278">
        <f aca="true" t="shared" si="2" ref="D44:N44">D42/$B42</f>
        <v>0.1460041610573981</v>
      </c>
      <c r="E44" s="278">
        <f t="shared" si="2"/>
        <v>0.11210378166687064</v>
      </c>
      <c r="F44" s="278">
        <f t="shared" si="2"/>
        <v>0.06584261412311834</v>
      </c>
      <c r="G44" s="278">
        <f t="shared" si="2"/>
        <v>0.04197772610451597</v>
      </c>
      <c r="H44" s="278">
        <f t="shared" si="2"/>
        <v>0.022151511442907845</v>
      </c>
      <c r="I44" s="278">
        <f t="shared" si="2"/>
        <v>0.02239627952514992</v>
      </c>
      <c r="J44" s="278">
        <f t="shared" si="2"/>
        <v>0.020927671031697466</v>
      </c>
      <c r="K44" s="278">
        <f t="shared" si="2"/>
        <v>0.02178435931954473</v>
      </c>
      <c r="L44" s="278">
        <f t="shared" si="2"/>
        <v>0.05678619508016155</v>
      </c>
      <c r="M44" s="278">
        <f t="shared" si="2"/>
        <v>0.11663199118834904</v>
      </c>
      <c r="N44" s="278">
        <f t="shared" si="2"/>
        <v>0.18431036592828295</v>
      </c>
    </row>
    <row r="45" spans="1:14" ht="12.75">
      <c r="A45" s="85" t="s">
        <v>545</v>
      </c>
      <c r="B45" s="85"/>
      <c r="C45" s="278">
        <f>C43/$B43</f>
        <v>0.2241277350680071</v>
      </c>
      <c r="D45" s="278">
        <f aca="true" t="shared" si="3" ref="D45:N45">D43/$B43</f>
        <v>0.16321703134240095</v>
      </c>
      <c r="E45" s="278">
        <f t="shared" si="3"/>
        <v>0.11413364872856298</v>
      </c>
      <c r="F45" s="278">
        <f t="shared" si="3"/>
        <v>0.058939483540311456</v>
      </c>
      <c r="G45" s="278">
        <f t="shared" si="3"/>
        <v>0.031145278927656218</v>
      </c>
      <c r="H45" s="278">
        <f t="shared" si="3"/>
        <v>0.014587029371180761</v>
      </c>
      <c r="I45" s="278">
        <f t="shared" si="3"/>
        <v>0.01596688350088705</v>
      </c>
      <c r="J45" s="278">
        <f t="shared" si="3"/>
        <v>0.015572639463828109</v>
      </c>
      <c r="K45" s="278">
        <f t="shared" si="3"/>
        <v>0.01438990735265129</v>
      </c>
      <c r="L45" s="278">
        <f t="shared" si="3"/>
        <v>0.03883303765030554</v>
      </c>
      <c r="M45" s="278">
        <f t="shared" si="3"/>
        <v>0.11492213680268086</v>
      </c>
      <c r="N45" s="278">
        <f t="shared" si="3"/>
        <v>0.1941651882515277</v>
      </c>
    </row>
    <row r="46" spans="1:15" ht="12.75">
      <c r="A46" s="211" t="s">
        <v>478</v>
      </c>
      <c r="B46" s="211"/>
      <c r="C46" s="239">
        <v>0.09929855326611135</v>
      </c>
      <c r="D46" s="239">
        <v>0.08965366067514248</v>
      </c>
      <c r="E46" s="239">
        <v>0.09469530907496712</v>
      </c>
      <c r="F46" s="239">
        <v>0.08570802279701885</v>
      </c>
      <c r="G46" s="239">
        <v>0.08373520385795703</v>
      </c>
      <c r="H46" s="239">
        <v>0.07387110916264795</v>
      </c>
      <c r="I46" s="239">
        <v>0.07036387549320473</v>
      </c>
      <c r="J46" s="239">
        <v>0.06970626918018413</v>
      </c>
      <c r="K46" s="239">
        <v>0.07277509864094696</v>
      </c>
      <c r="L46" s="239">
        <v>0.08044717229285402</v>
      </c>
      <c r="M46" s="239">
        <v>0.08614642700569926</v>
      </c>
      <c r="N46" s="239">
        <v>0.09359929855326611</v>
      </c>
      <c r="O46" s="152"/>
    </row>
    <row r="47" spans="1:14" ht="12.75">
      <c r="A47" s="276" t="s">
        <v>543</v>
      </c>
      <c r="B47" s="85">
        <v>1560</v>
      </c>
      <c r="C47" s="244">
        <f>$B47*C46</f>
        <v>154.90574309513372</v>
      </c>
      <c r="D47" s="244">
        <f aca="true" t="shared" si="4" ref="D47:N47">$B47*D46</f>
        <v>139.85971065322227</v>
      </c>
      <c r="E47" s="244">
        <f t="shared" si="4"/>
        <v>147.72468215694872</v>
      </c>
      <c r="F47" s="244">
        <f t="shared" si="4"/>
        <v>133.70451556334942</v>
      </c>
      <c r="G47" s="244">
        <f t="shared" si="4"/>
        <v>130.62691801841297</v>
      </c>
      <c r="H47" s="244">
        <f t="shared" si="4"/>
        <v>115.2389302937308</v>
      </c>
      <c r="I47" s="244">
        <f t="shared" si="4"/>
        <v>109.76764576939938</v>
      </c>
      <c r="J47" s="244">
        <f t="shared" si="4"/>
        <v>108.74177992108724</v>
      </c>
      <c r="K47" s="244">
        <f t="shared" si="4"/>
        <v>113.52915387987726</v>
      </c>
      <c r="L47" s="244">
        <f t="shared" si="4"/>
        <v>125.49758877685227</v>
      </c>
      <c r="M47" s="244">
        <f t="shared" si="4"/>
        <v>134.38842612889084</v>
      </c>
      <c r="N47" s="244">
        <f t="shared" si="4"/>
        <v>146.01490574309514</v>
      </c>
    </row>
    <row r="48" spans="1:14" ht="12.75">
      <c r="A48" s="276" t="s">
        <v>547</v>
      </c>
      <c r="B48" s="85">
        <v>1560</v>
      </c>
      <c r="C48" s="244">
        <f>IF(C44&gt;0.02,C47,0)/2.3</f>
        <v>67.35032308484075</v>
      </c>
      <c r="D48" s="244">
        <f aca="true" t="shared" si="5" ref="D48:N48">IF(D44&gt;0.02,D47,0)/2.3</f>
        <v>60.80856984922708</v>
      </c>
      <c r="E48" s="244">
        <f t="shared" si="5"/>
        <v>64.22812267693423</v>
      </c>
      <c r="F48" s="244">
        <f t="shared" si="5"/>
        <v>58.13239807102149</v>
      </c>
      <c r="G48" s="244">
        <f t="shared" si="5"/>
        <v>56.794312181918684</v>
      </c>
      <c r="H48" s="244">
        <f t="shared" si="5"/>
        <v>50.1038827364047</v>
      </c>
      <c r="I48" s="244">
        <f t="shared" si="5"/>
        <v>47.72506337799973</v>
      </c>
      <c r="J48" s="244">
        <f t="shared" si="5"/>
        <v>47.279034748298805</v>
      </c>
      <c r="K48" s="244">
        <f t="shared" si="5"/>
        <v>49.360501686903156</v>
      </c>
      <c r="L48" s="244">
        <f t="shared" si="5"/>
        <v>54.56416903341403</v>
      </c>
      <c r="M48" s="244">
        <f t="shared" si="5"/>
        <v>58.42975049082211</v>
      </c>
      <c r="N48" s="244">
        <f t="shared" si="5"/>
        <v>63.484741627432676</v>
      </c>
    </row>
    <row r="49" spans="1:14" ht="12.75">
      <c r="A49" s="276" t="s">
        <v>546</v>
      </c>
      <c r="B49" s="244">
        <f>SUM(C49:N49)</f>
        <v>483.79238701561115</v>
      </c>
      <c r="C49" s="244">
        <f>IF(C45&gt;0.02,C47,0)/2.3</f>
        <v>67.35032308484075</v>
      </c>
      <c r="D49" s="244">
        <f aca="true" t="shared" si="6" ref="D49:N49">IF(D45&gt;0.02,D47,0)/2.3</f>
        <v>60.80856984922708</v>
      </c>
      <c r="E49" s="244">
        <f t="shared" si="6"/>
        <v>64.22812267693423</v>
      </c>
      <c r="F49" s="244">
        <f t="shared" si="6"/>
        <v>58.13239807102149</v>
      </c>
      <c r="G49" s="244">
        <f t="shared" si="6"/>
        <v>56.794312181918684</v>
      </c>
      <c r="H49" s="244">
        <f t="shared" si="6"/>
        <v>0</v>
      </c>
      <c r="I49" s="244">
        <f t="shared" si="6"/>
        <v>0</v>
      </c>
      <c r="J49" s="244">
        <f t="shared" si="6"/>
        <v>0</v>
      </c>
      <c r="K49" s="244">
        <f t="shared" si="6"/>
        <v>0</v>
      </c>
      <c r="L49" s="244">
        <f t="shared" si="6"/>
        <v>54.56416903341403</v>
      </c>
      <c r="M49" s="244">
        <f t="shared" si="6"/>
        <v>58.42975049082211</v>
      </c>
      <c r="N49" s="244">
        <f t="shared" si="6"/>
        <v>63.484741627432676</v>
      </c>
    </row>
    <row r="50" spans="1:14" ht="12.75">
      <c r="A50" s="276" t="s">
        <v>548</v>
      </c>
      <c r="B50" s="279">
        <f>SUM(C50:N50)</f>
        <v>881.7391304347826</v>
      </c>
      <c r="C50" s="244">
        <f>C47-C48</f>
        <v>87.55542001029296</v>
      </c>
      <c r="D50" s="244">
        <f aca="true" t="shared" si="7" ref="D50:N50">D47-D48</f>
        <v>79.0511408039952</v>
      </c>
      <c r="E50" s="244">
        <f t="shared" si="7"/>
        <v>83.49655948001448</v>
      </c>
      <c r="F50" s="244">
        <f t="shared" si="7"/>
        <v>75.57211749232792</v>
      </c>
      <c r="G50" s="244">
        <f t="shared" si="7"/>
        <v>73.83260583649428</v>
      </c>
      <c r="H50" s="244">
        <f t="shared" si="7"/>
        <v>65.1350475573261</v>
      </c>
      <c r="I50" s="244">
        <f t="shared" si="7"/>
        <v>62.04258239139965</v>
      </c>
      <c r="J50" s="244">
        <f t="shared" si="7"/>
        <v>61.46274517278844</v>
      </c>
      <c r="K50" s="244">
        <f t="shared" si="7"/>
        <v>64.1686521929741</v>
      </c>
      <c r="L50" s="244">
        <f t="shared" si="7"/>
        <v>70.93341974343824</v>
      </c>
      <c r="M50" s="244">
        <f t="shared" si="7"/>
        <v>75.95867563806874</v>
      </c>
      <c r="N50" s="244">
        <f t="shared" si="7"/>
        <v>82.53016411566247</v>
      </c>
    </row>
    <row r="51" spans="1:14" ht="12.75">
      <c r="A51" s="276" t="s">
        <v>549</v>
      </c>
      <c r="B51" s="279">
        <f>SUM(C51:N51)</f>
        <v>1076.207612984389</v>
      </c>
      <c r="C51" s="244">
        <f>C47-C49</f>
        <v>87.55542001029296</v>
      </c>
      <c r="D51" s="244">
        <f aca="true" t="shared" si="8" ref="D51:N51">D47-D49</f>
        <v>79.0511408039952</v>
      </c>
      <c r="E51" s="244">
        <f t="shared" si="8"/>
        <v>83.49655948001448</v>
      </c>
      <c r="F51" s="244">
        <f t="shared" si="8"/>
        <v>75.57211749232792</v>
      </c>
      <c r="G51" s="244">
        <f t="shared" si="8"/>
        <v>73.83260583649428</v>
      </c>
      <c r="H51" s="244">
        <f t="shared" si="8"/>
        <v>115.2389302937308</v>
      </c>
      <c r="I51" s="244">
        <f t="shared" si="8"/>
        <v>109.76764576939938</v>
      </c>
      <c r="J51" s="244">
        <f t="shared" si="8"/>
        <v>108.74177992108724</v>
      </c>
      <c r="K51" s="244">
        <f t="shared" si="8"/>
        <v>113.52915387987726</v>
      </c>
      <c r="L51" s="244">
        <f t="shared" si="8"/>
        <v>70.93341974343824</v>
      </c>
      <c r="M51" s="244">
        <f t="shared" si="8"/>
        <v>75.95867563806874</v>
      </c>
      <c r="N51" s="244">
        <f t="shared" si="8"/>
        <v>82.53016411566247</v>
      </c>
    </row>
    <row r="55" spans="1:14" ht="12.75">
      <c r="A55" s="276" t="s">
        <v>543</v>
      </c>
      <c r="B55" s="85">
        <v>1560</v>
      </c>
      <c r="C55" s="244">
        <v>154.90574309513372</v>
      </c>
      <c r="D55" s="244">
        <v>139.85971065322227</v>
      </c>
      <c r="E55" s="244">
        <v>147.72468215694872</v>
      </c>
      <c r="F55" s="244">
        <v>133.70451556334942</v>
      </c>
      <c r="G55" s="244">
        <v>130.62691801841297</v>
      </c>
      <c r="H55" s="244">
        <v>115.2389302937308</v>
      </c>
      <c r="I55" s="244">
        <v>109.76764576939938</v>
      </c>
      <c r="J55" s="244">
        <v>108.74177992108724</v>
      </c>
      <c r="K55" s="244">
        <v>113.52915387987726</v>
      </c>
      <c r="L55" s="244">
        <v>125.49758877685227</v>
      </c>
      <c r="M55" s="244">
        <v>134.38842612889084</v>
      </c>
      <c r="N55" s="244">
        <v>146.01490574309514</v>
      </c>
    </row>
    <row r="56" spans="1:14" ht="12.75">
      <c r="A56" s="276" t="s">
        <v>548</v>
      </c>
      <c r="B56" s="244">
        <v>881.7391304347826</v>
      </c>
      <c r="C56" s="244">
        <v>87.55542001029296</v>
      </c>
      <c r="D56" s="244">
        <v>79.0511408039952</v>
      </c>
      <c r="E56" s="244">
        <v>83.49655948001448</v>
      </c>
      <c r="F56" s="244">
        <v>75.57211749232792</v>
      </c>
      <c r="G56" s="244">
        <v>73.83260583649428</v>
      </c>
      <c r="H56" s="244">
        <v>65.1350475573261</v>
      </c>
      <c r="I56" s="244">
        <v>62.04258239139965</v>
      </c>
      <c r="J56" s="244">
        <v>61.46274517278844</v>
      </c>
      <c r="K56" s="244">
        <v>64.1686521929741</v>
      </c>
      <c r="L56" s="244">
        <v>70.93341974343824</v>
      </c>
      <c r="M56" s="244">
        <v>75.95867563806874</v>
      </c>
      <c r="N56" s="244">
        <v>82.53016411566247</v>
      </c>
    </row>
    <row r="57" spans="1:14" ht="12.75">
      <c r="A57" s="276" t="s">
        <v>549</v>
      </c>
      <c r="B57" s="279">
        <v>1076.2076129843888</v>
      </c>
      <c r="C57" s="244">
        <v>87.55542001029296</v>
      </c>
      <c r="D57" s="244">
        <v>79.0511408039952</v>
      </c>
      <c r="E57" s="244">
        <v>83.49655948001448</v>
      </c>
      <c r="F57" s="244">
        <v>75.57211749232792</v>
      </c>
      <c r="G57" s="244">
        <v>73.83260583649428</v>
      </c>
      <c r="H57" s="244">
        <v>115.2389302937308</v>
      </c>
      <c r="I57" s="244">
        <v>109.76764576939938</v>
      </c>
      <c r="J57" s="244">
        <v>108.74177992108724</v>
      </c>
      <c r="K57" s="244">
        <v>113.52915387987726</v>
      </c>
      <c r="L57" s="244">
        <v>70.93341974343824</v>
      </c>
      <c r="M57" s="244">
        <v>75.95867563806874</v>
      </c>
      <c r="N57" s="244">
        <v>82.53016411566247</v>
      </c>
    </row>
    <row r="59" spans="2:4" ht="12.75">
      <c r="B59" s="276" t="s">
        <v>543</v>
      </c>
      <c r="C59" s="276" t="s">
        <v>550</v>
      </c>
      <c r="D59" s="276" t="s">
        <v>551</v>
      </c>
    </row>
    <row r="60" spans="1:4" ht="12.75">
      <c r="A60" s="85" t="s">
        <v>436</v>
      </c>
      <c r="B60" s="244">
        <v>154.90574309513372</v>
      </c>
      <c r="C60" s="244">
        <v>87.55542001029296</v>
      </c>
      <c r="D60" s="244">
        <v>87.55542001029296</v>
      </c>
    </row>
    <row r="61" spans="1:4" ht="12.75">
      <c r="A61" s="85" t="s">
        <v>437</v>
      </c>
      <c r="B61" s="244">
        <v>139.85971065322227</v>
      </c>
      <c r="C61" s="244">
        <v>79.0511408039952</v>
      </c>
      <c r="D61" s="244">
        <v>79.0511408039952</v>
      </c>
    </row>
    <row r="62" spans="1:4" ht="12.75">
      <c r="A62" s="85" t="s">
        <v>438</v>
      </c>
      <c r="B62" s="244">
        <v>147.72468215694872</v>
      </c>
      <c r="C62" s="244">
        <v>83.49655948001448</v>
      </c>
      <c r="D62" s="244">
        <v>83.49655948001448</v>
      </c>
    </row>
    <row r="63" spans="1:4" ht="12.75">
      <c r="A63" s="85" t="s">
        <v>439</v>
      </c>
      <c r="B63" s="244">
        <v>133.70451556334942</v>
      </c>
      <c r="C63" s="244">
        <v>75.57211749232792</v>
      </c>
      <c r="D63" s="244">
        <v>75.57211749232792</v>
      </c>
    </row>
    <row r="64" spans="1:4" ht="12.75">
      <c r="A64" s="85" t="s">
        <v>440</v>
      </c>
      <c r="B64" s="244">
        <v>130.62691801841297</v>
      </c>
      <c r="C64" s="244">
        <v>73.83260583649428</v>
      </c>
      <c r="D64" s="244">
        <v>73.83260583649428</v>
      </c>
    </row>
    <row r="65" spans="1:4" ht="12.75">
      <c r="A65" s="85" t="s">
        <v>441</v>
      </c>
      <c r="B65" s="244">
        <v>115.2389302937308</v>
      </c>
      <c r="C65" s="244">
        <v>115.2389302937308</v>
      </c>
      <c r="D65" s="244">
        <v>65.1350475573261</v>
      </c>
    </row>
    <row r="66" spans="1:4" ht="12.75">
      <c r="A66" s="85" t="s">
        <v>442</v>
      </c>
      <c r="B66" s="244">
        <v>109.76764576939938</v>
      </c>
      <c r="C66" s="244">
        <v>109.76764576939938</v>
      </c>
      <c r="D66" s="244">
        <v>62.04258239139965</v>
      </c>
    </row>
    <row r="67" spans="1:4" ht="12.75">
      <c r="A67" s="85" t="s">
        <v>443</v>
      </c>
      <c r="B67" s="244">
        <v>108.74177992108724</v>
      </c>
      <c r="C67" s="244">
        <v>108.74177992108724</v>
      </c>
      <c r="D67" s="244">
        <v>61.46274517278844</v>
      </c>
    </row>
    <row r="68" spans="1:4" ht="12.75">
      <c r="A68" s="85" t="s">
        <v>444</v>
      </c>
      <c r="B68" s="244">
        <v>113.52915387987726</v>
      </c>
      <c r="C68" s="244">
        <v>113.52915387987726</v>
      </c>
      <c r="D68" s="244">
        <v>64.1686521929741</v>
      </c>
    </row>
    <row r="69" spans="1:4" ht="12.75">
      <c r="A69" s="85" t="s">
        <v>445</v>
      </c>
      <c r="B69" s="244">
        <v>125.49758877685227</v>
      </c>
      <c r="C69" s="244">
        <v>70.93341974343824</v>
      </c>
      <c r="D69" s="244">
        <v>70.93341974343824</v>
      </c>
    </row>
    <row r="70" spans="1:4" ht="12.75">
      <c r="A70" s="85" t="s">
        <v>446</v>
      </c>
      <c r="B70" s="244">
        <v>134.38842612889084</v>
      </c>
      <c r="C70" s="244">
        <v>75.95867563806874</v>
      </c>
      <c r="D70" s="244">
        <v>75.95867563806874</v>
      </c>
    </row>
    <row r="71" spans="1:4" ht="12.75">
      <c r="A71" s="85" t="s">
        <v>447</v>
      </c>
      <c r="B71" s="244">
        <v>146.01490574309514</v>
      </c>
      <c r="C71" s="244">
        <v>82.53016411566247</v>
      </c>
      <c r="D71" s="244">
        <v>82.53016411566247</v>
      </c>
    </row>
    <row r="74" ht="12.75">
      <c r="B74">
        <f>(B55-B57)/B55</f>
        <v>0.31012332501000717</v>
      </c>
    </row>
    <row r="75" ht="12.75">
      <c r="B75">
        <f>(B55-B56)/B55</f>
        <v>0.43478260869565216</v>
      </c>
    </row>
  </sheetData>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Q43"/>
  <sheetViews>
    <sheetView workbookViewId="0" topLeftCell="A1">
      <selection activeCell="G27" sqref="G27"/>
    </sheetView>
  </sheetViews>
  <sheetFormatPr defaultColWidth="9.140625" defaultRowHeight="12.75"/>
  <cols>
    <col min="2" max="2" width="27.140625" style="0" customWidth="1"/>
    <col min="3" max="3" width="9.00390625" style="0" customWidth="1"/>
    <col min="8" max="8" width="10.28125" style="0" bestFit="1" customWidth="1"/>
    <col min="11" max="11" width="17.8515625" style="0" customWidth="1"/>
    <col min="13" max="13" width="10.421875" style="0" customWidth="1"/>
  </cols>
  <sheetData>
    <row r="1" spans="1:17" ht="41.25" customHeight="1">
      <c r="A1" s="123" t="s">
        <v>183</v>
      </c>
      <c r="B1" s="123"/>
      <c r="C1" s="123"/>
      <c r="K1" s="124" t="s">
        <v>184</v>
      </c>
      <c r="L1" s="124" t="s">
        <v>185</v>
      </c>
      <c r="M1" s="124" t="s">
        <v>186</v>
      </c>
      <c r="N1" s="124" t="s">
        <v>187</v>
      </c>
      <c r="O1" s="124" t="s">
        <v>188</v>
      </c>
      <c r="P1" t="s">
        <v>189</v>
      </c>
      <c r="Q1" t="s">
        <v>190</v>
      </c>
    </row>
    <row r="2" spans="1:17" ht="12.75">
      <c r="A2" s="123" t="s">
        <v>191</v>
      </c>
      <c r="B2" s="123"/>
      <c r="C2" s="123"/>
      <c r="K2">
        <v>1998</v>
      </c>
      <c r="L2">
        <f>E5</f>
        <v>1553</v>
      </c>
      <c r="M2" s="125">
        <f>E6</f>
        <v>186.12951062459751</v>
      </c>
      <c r="N2" s="125">
        <f>+M2</f>
        <v>186.12951062459751</v>
      </c>
      <c r="O2" s="48">
        <v>112.7</v>
      </c>
      <c r="P2" s="126">
        <v>0.045</v>
      </c>
      <c r="Q2" s="125">
        <f aca="true" t="shared" si="0" ref="Q2:Q7">N2*(1+P$2)</f>
        <v>194.5053386027044</v>
      </c>
    </row>
    <row r="3" spans="1:17" ht="12.75">
      <c r="A3">
        <v>1998</v>
      </c>
      <c r="K3">
        <v>1997</v>
      </c>
      <c r="L3">
        <f>+E12</f>
        <v>1094</v>
      </c>
      <c r="M3" s="125">
        <f>+E13</f>
        <v>203.1755118829982</v>
      </c>
      <c r="N3" s="125">
        <f>M3*(O$2/O3)</f>
        <v>204.79277514724888</v>
      </c>
      <c r="O3" s="48">
        <v>111.81</v>
      </c>
      <c r="Q3" s="125">
        <f t="shared" si="0"/>
        <v>214.00845002887505</v>
      </c>
    </row>
    <row r="4" spans="1:17" ht="12.75">
      <c r="A4" s="85" t="s">
        <v>192</v>
      </c>
      <c r="B4" s="85"/>
      <c r="C4" s="85" t="s">
        <v>193</v>
      </c>
      <c r="D4" s="85" t="s">
        <v>194</v>
      </c>
      <c r="E4" s="85" t="s">
        <v>195</v>
      </c>
      <c r="F4" s="85" t="s">
        <v>196</v>
      </c>
      <c r="G4" s="85" t="s">
        <v>197</v>
      </c>
      <c r="H4" s="85" t="s">
        <v>57</v>
      </c>
      <c r="K4">
        <v>1996</v>
      </c>
      <c r="L4">
        <f>+E19</f>
        <v>898</v>
      </c>
      <c r="M4" s="125">
        <f>+E20</f>
        <v>199.53340757238308</v>
      </c>
      <c r="N4" s="125">
        <f>M4*(O$2/O4)</f>
        <v>204.09706873668156</v>
      </c>
      <c r="O4" s="48">
        <v>110.18</v>
      </c>
      <c r="Q4" s="125">
        <f t="shared" si="0"/>
        <v>213.28143682983222</v>
      </c>
    </row>
    <row r="5" spans="1:17" ht="12.75">
      <c r="A5" s="85">
        <v>50</v>
      </c>
      <c r="B5" s="127" t="s">
        <v>198</v>
      </c>
      <c r="C5" s="127"/>
      <c r="D5" s="127"/>
      <c r="E5" s="127">
        <v>1553</v>
      </c>
      <c r="F5" s="127"/>
      <c r="G5" s="127">
        <v>136</v>
      </c>
      <c r="H5" s="127">
        <f>SUM(C5:G5)</f>
        <v>1689</v>
      </c>
      <c r="K5">
        <v>1995</v>
      </c>
      <c r="L5">
        <f>+E26</f>
        <v>770</v>
      </c>
      <c r="M5" s="125">
        <f>+E27</f>
        <v>187.90685714285718</v>
      </c>
      <c r="N5" s="125">
        <f>M5*(O$2/O5)</f>
        <v>196.5757244964263</v>
      </c>
      <c r="O5" s="48">
        <v>107.73</v>
      </c>
      <c r="Q5" s="125">
        <f t="shared" si="0"/>
        <v>205.42163209876546</v>
      </c>
    </row>
    <row r="6" spans="1:17" ht="12.75">
      <c r="A6" s="85"/>
      <c r="B6" s="128" t="s">
        <v>199</v>
      </c>
      <c r="C6" s="128"/>
      <c r="D6" s="128"/>
      <c r="E6" s="128">
        <v>186.12951062459751</v>
      </c>
      <c r="F6" s="128"/>
      <c r="G6" s="128">
        <v>188.10294117647055</v>
      </c>
      <c r="H6" s="129">
        <f>SUM(C6:G6)</f>
        <v>374.23245180106807</v>
      </c>
      <c r="K6">
        <v>1994</v>
      </c>
      <c r="L6">
        <f>+E33</f>
        <v>966</v>
      </c>
      <c r="M6" s="125">
        <f>+E34</f>
        <v>191.19565217391303</v>
      </c>
      <c r="N6" s="125">
        <f>M6*(O$2/O6)</f>
        <v>205.06043014845832</v>
      </c>
      <c r="O6" s="48">
        <v>105.08</v>
      </c>
      <c r="Q6" s="125">
        <f t="shared" si="0"/>
        <v>214.28814950513893</v>
      </c>
    </row>
    <row r="7" spans="1:17" ht="12.75">
      <c r="A7" s="85"/>
      <c r="B7" s="128" t="s">
        <v>200</v>
      </c>
      <c r="C7" s="128"/>
      <c r="D7" s="128"/>
      <c r="E7" s="128">
        <v>100</v>
      </c>
      <c r="F7" s="128"/>
      <c r="G7" s="128">
        <v>100</v>
      </c>
      <c r="H7" s="129">
        <f>SUM(C7:G7)</f>
        <v>200</v>
      </c>
      <c r="K7">
        <v>1993</v>
      </c>
      <c r="L7">
        <f>+E40</f>
        <v>79</v>
      </c>
      <c r="M7" s="125">
        <f>+E41</f>
        <v>190.72151898734177</v>
      </c>
      <c r="N7" s="125">
        <f>M7*(O$2/O7)</f>
        <v>209.43501110662984</v>
      </c>
      <c r="O7" s="48">
        <v>102.63</v>
      </c>
      <c r="Q7" s="125">
        <f t="shared" si="0"/>
        <v>218.85958660642817</v>
      </c>
    </row>
    <row r="8" spans="1:8" ht="12.75">
      <c r="A8" s="85"/>
      <c r="B8" s="128" t="s">
        <v>201</v>
      </c>
      <c r="C8" s="128"/>
      <c r="D8" s="128"/>
      <c r="E8" s="128">
        <v>795</v>
      </c>
      <c r="F8" s="128"/>
      <c r="G8" s="128">
        <v>506.62</v>
      </c>
      <c r="H8" s="129">
        <f>SUM(C8:G8)</f>
        <v>1301.62</v>
      </c>
    </row>
    <row r="10" spans="1:13" ht="12.75">
      <c r="A10">
        <v>1997</v>
      </c>
      <c r="K10" s="124" t="s">
        <v>184</v>
      </c>
      <c r="L10" t="s">
        <v>185</v>
      </c>
      <c r="M10" s="124" t="s">
        <v>187</v>
      </c>
    </row>
    <row r="11" spans="1:13" ht="12.75">
      <c r="A11" s="85" t="s">
        <v>192</v>
      </c>
      <c r="B11" s="85"/>
      <c r="C11" s="85" t="s">
        <v>193</v>
      </c>
      <c r="D11" s="85" t="s">
        <v>194</v>
      </c>
      <c r="E11" s="85" t="s">
        <v>195</v>
      </c>
      <c r="F11" s="85" t="s">
        <v>196</v>
      </c>
      <c r="G11" s="85" t="s">
        <v>197</v>
      </c>
      <c r="H11" s="85" t="s">
        <v>57</v>
      </c>
      <c r="K11" t="s">
        <v>202</v>
      </c>
      <c r="L11">
        <v>79</v>
      </c>
      <c r="M11" s="125">
        <v>218.85958660642817</v>
      </c>
    </row>
    <row r="12" spans="1:13" ht="12.75">
      <c r="A12" s="85">
        <v>50</v>
      </c>
      <c r="B12" s="127" t="s">
        <v>198</v>
      </c>
      <c r="C12" s="127"/>
      <c r="D12" s="127"/>
      <c r="E12" s="127">
        <v>1094</v>
      </c>
      <c r="F12" s="127">
        <v>0</v>
      </c>
      <c r="G12" s="127">
        <v>80</v>
      </c>
      <c r="H12" s="127">
        <f>SUM(C12:G12)</f>
        <v>1174</v>
      </c>
      <c r="K12" t="s">
        <v>203</v>
      </c>
      <c r="L12">
        <v>966</v>
      </c>
      <c r="M12" s="125">
        <v>214.28814950513893</v>
      </c>
    </row>
    <row r="13" spans="1:13" ht="12.75">
      <c r="A13" s="85"/>
      <c r="B13" s="128" t="s">
        <v>199</v>
      </c>
      <c r="C13" s="128"/>
      <c r="D13" s="128"/>
      <c r="E13" s="128">
        <v>203.1755118829982</v>
      </c>
      <c r="F13" s="128">
        <v>0</v>
      </c>
      <c r="G13" s="128">
        <v>221.49875</v>
      </c>
      <c r="H13" s="129">
        <f>SUM(C13:G13)</f>
        <v>424.67426188299817</v>
      </c>
      <c r="K13" t="s">
        <v>204</v>
      </c>
      <c r="L13">
        <v>770</v>
      </c>
      <c r="M13" s="125">
        <v>205.42163209876546</v>
      </c>
    </row>
    <row r="14" spans="1:13" ht="12.75">
      <c r="A14" s="85"/>
      <c r="B14" s="128" t="s">
        <v>200</v>
      </c>
      <c r="C14" s="128"/>
      <c r="D14" s="128"/>
      <c r="E14" s="128">
        <v>139</v>
      </c>
      <c r="F14" s="128">
        <v>0</v>
      </c>
      <c r="G14" s="128">
        <v>136</v>
      </c>
      <c r="H14" s="129">
        <f>SUM(C14:G14)</f>
        <v>275</v>
      </c>
      <c r="K14" t="s">
        <v>205</v>
      </c>
      <c r="L14">
        <v>898</v>
      </c>
      <c r="M14" s="125">
        <v>213.28143682983222</v>
      </c>
    </row>
    <row r="15" spans="1:13" ht="12.75">
      <c r="A15" s="85"/>
      <c r="B15" s="128" t="s">
        <v>201</v>
      </c>
      <c r="C15" s="128"/>
      <c r="D15" s="128"/>
      <c r="E15" s="128">
        <v>750</v>
      </c>
      <c r="F15" s="128">
        <v>0</v>
      </c>
      <c r="G15" s="128">
        <v>490</v>
      </c>
      <c r="H15" s="129">
        <f>SUM(C15:G15)</f>
        <v>1240</v>
      </c>
      <c r="K15" t="s">
        <v>206</v>
      </c>
      <c r="L15">
        <v>1094</v>
      </c>
      <c r="M15" s="125">
        <v>214.00845002887505</v>
      </c>
    </row>
    <row r="16" spans="11:13" ht="12.75">
      <c r="K16" t="s">
        <v>207</v>
      </c>
      <c r="L16">
        <v>1553</v>
      </c>
      <c r="M16" s="125">
        <v>194.5053386027044</v>
      </c>
    </row>
    <row r="17" spans="1:13" ht="12.75">
      <c r="A17">
        <v>1996</v>
      </c>
      <c r="M17" s="125"/>
    </row>
    <row r="18" spans="1:13" ht="12.75">
      <c r="A18" s="85" t="s">
        <v>192</v>
      </c>
      <c r="B18" s="85"/>
      <c r="C18" s="85" t="s">
        <v>193</v>
      </c>
      <c r="D18" s="85" t="s">
        <v>194</v>
      </c>
      <c r="E18" s="85" t="s">
        <v>195</v>
      </c>
      <c r="F18" s="85" t="s">
        <v>196</v>
      </c>
      <c r="G18" s="85" t="s">
        <v>197</v>
      </c>
      <c r="H18" s="85" t="s">
        <v>57</v>
      </c>
      <c r="M18" s="125"/>
    </row>
    <row r="19" spans="1:13" ht="12.75">
      <c r="A19" s="85">
        <v>50</v>
      </c>
      <c r="B19" s="127" t="s">
        <v>198</v>
      </c>
      <c r="C19" s="127"/>
      <c r="D19" s="127">
        <v>1</v>
      </c>
      <c r="E19" s="127">
        <v>898</v>
      </c>
      <c r="F19" s="127">
        <v>1</v>
      </c>
      <c r="G19" s="127">
        <v>87</v>
      </c>
      <c r="H19" s="127">
        <f>SUM(C19:G19)</f>
        <v>987</v>
      </c>
      <c r="M19" s="125"/>
    </row>
    <row r="20" spans="1:8" ht="12.75">
      <c r="A20" s="85"/>
      <c r="B20" s="128" t="s">
        <v>199</v>
      </c>
      <c r="C20" s="128"/>
      <c r="D20" s="128">
        <v>130</v>
      </c>
      <c r="E20" s="128">
        <v>199.53340757238308</v>
      </c>
      <c r="F20" s="128">
        <v>170</v>
      </c>
      <c r="G20" s="128">
        <v>237.1264367816092</v>
      </c>
      <c r="H20" s="129">
        <f>SUM(C20:G20)</f>
        <v>736.6598443539923</v>
      </c>
    </row>
    <row r="21" spans="1:8" ht="12.75">
      <c r="A21" s="85"/>
      <c r="B21" s="128" t="s">
        <v>200</v>
      </c>
      <c r="C21" s="128"/>
      <c r="D21" s="128">
        <v>130</v>
      </c>
      <c r="E21" s="128">
        <v>141</v>
      </c>
      <c r="F21" s="128">
        <v>170</v>
      </c>
      <c r="G21" s="128">
        <v>120</v>
      </c>
      <c r="H21" s="129">
        <f>SUM(C21:G21)</f>
        <v>561</v>
      </c>
    </row>
    <row r="22" spans="1:8" ht="12.75">
      <c r="A22" s="85"/>
      <c r="B22" s="128" t="s">
        <v>201</v>
      </c>
      <c r="C22" s="128"/>
      <c r="D22" s="128">
        <v>130</v>
      </c>
      <c r="E22" s="128">
        <v>596</v>
      </c>
      <c r="F22" s="128">
        <v>170</v>
      </c>
      <c r="G22" s="128">
        <v>516</v>
      </c>
      <c r="H22" s="129">
        <f>SUM(C22:G22)</f>
        <v>1412</v>
      </c>
    </row>
    <row r="24" ht="12.75">
      <c r="A24">
        <v>1995</v>
      </c>
    </row>
    <row r="25" spans="1:8" ht="12.75">
      <c r="A25" s="85" t="s">
        <v>192</v>
      </c>
      <c r="B25" s="85"/>
      <c r="C25" s="85" t="s">
        <v>193</v>
      </c>
      <c r="D25" s="85" t="s">
        <v>194</v>
      </c>
      <c r="E25" s="85" t="s">
        <v>195</v>
      </c>
      <c r="F25" s="85" t="s">
        <v>196</v>
      </c>
      <c r="G25" s="85" t="s">
        <v>197</v>
      </c>
      <c r="H25" s="85" t="s">
        <v>57</v>
      </c>
    </row>
    <row r="26" spans="1:8" ht="12.75">
      <c r="A26" s="85">
        <v>50</v>
      </c>
      <c r="B26" s="127" t="s">
        <v>198</v>
      </c>
      <c r="C26" s="127">
        <v>1</v>
      </c>
      <c r="D26" s="127">
        <v>1</v>
      </c>
      <c r="E26" s="127">
        <v>770</v>
      </c>
      <c r="F26" s="127"/>
      <c r="G26" s="127">
        <v>85</v>
      </c>
      <c r="H26" s="127">
        <f>SUM(C26:G26)</f>
        <v>857</v>
      </c>
    </row>
    <row r="27" spans="1:8" ht="12.75">
      <c r="A27" s="85"/>
      <c r="B27" s="128" t="s">
        <v>199</v>
      </c>
      <c r="C27" s="128">
        <v>340</v>
      </c>
      <c r="D27" s="128">
        <v>164</v>
      </c>
      <c r="E27" s="128">
        <v>187.90685714285718</v>
      </c>
      <c r="F27" s="128"/>
      <c r="G27" s="128">
        <v>239.5081176470588</v>
      </c>
      <c r="H27" s="129">
        <f>SUM(C27:G27)</f>
        <v>931.4149747899161</v>
      </c>
    </row>
    <row r="28" spans="1:8" ht="12.75">
      <c r="A28" s="85"/>
      <c r="B28" s="128" t="s">
        <v>200</v>
      </c>
      <c r="C28" s="128">
        <v>340</v>
      </c>
      <c r="D28" s="128">
        <v>164</v>
      </c>
      <c r="E28" s="128">
        <v>150</v>
      </c>
      <c r="F28" s="128"/>
      <c r="G28" s="128">
        <v>154</v>
      </c>
      <c r="H28" s="129">
        <f>SUM(C28:G28)</f>
        <v>808</v>
      </c>
    </row>
    <row r="29" spans="1:8" ht="12.75">
      <c r="A29" s="85"/>
      <c r="B29" s="128" t="s">
        <v>201</v>
      </c>
      <c r="C29" s="128">
        <v>340</v>
      </c>
      <c r="D29" s="128">
        <v>164</v>
      </c>
      <c r="E29" s="128">
        <v>720</v>
      </c>
      <c r="F29" s="128"/>
      <c r="G29" s="128">
        <v>525</v>
      </c>
      <c r="H29" s="129">
        <f>SUM(C29:G29)</f>
        <v>1749</v>
      </c>
    </row>
    <row r="31" ht="12.75">
      <c r="A31">
        <v>1994</v>
      </c>
    </row>
    <row r="32" spans="1:8" ht="12.75">
      <c r="A32" s="85" t="s">
        <v>192</v>
      </c>
      <c r="B32" s="85"/>
      <c r="C32" s="85" t="s">
        <v>193</v>
      </c>
      <c r="D32" s="85" t="s">
        <v>194</v>
      </c>
      <c r="E32" s="85" t="s">
        <v>195</v>
      </c>
      <c r="F32" s="85" t="s">
        <v>196</v>
      </c>
      <c r="G32" s="85" t="s">
        <v>197</v>
      </c>
      <c r="H32" s="85" t="s">
        <v>57</v>
      </c>
    </row>
    <row r="33" spans="1:8" ht="12.75">
      <c r="A33" s="85">
        <v>50</v>
      </c>
      <c r="B33" s="127" t="s">
        <v>198</v>
      </c>
      <c r="C33" s="127"/>
      <c r="D33" s="127"/>
      <c r="E33" s="127">
        <v>966</v>
      </c>
      <c r="F33" s="127">
        <v>1</v>
      </c>
      <c r="G33" s="127">
        <v>126</v>
      </c>
      <c r="H33" s="127">
        <f>SUM(C33:G33)</f>
        <v>1093</v>
      </c>
    </row>
    <row r="34" spans="1:8" ht="12.75">
      <c r="A34" s="85"/>
      <c r="B34" s="128" t="s">
        <v>199</v>
      </c>
      <c r="C34" s="128"/>
      <c r="D34" s="128"/>
      <c r="E34" s="128">
        <v>191.19565217391303</v>
      </c>
      <c r="F34" s="128">
        <v>325</v>
      </c>
      <c r="G34" s="128">
        <v>233.35714285714286</v>
      </c>
      <c r="H34" s="129">
        <f>SUM(C34:G34)</f>
        <v>749.5527950310559</v>
      </c>
    </row>
    <row r="35" spans="1:8" ht="12.75">
      <c r="A35" s="85"/>
      <c r="B35" s="128" t="s">
        <v>200</v>
      </c>
      <c r="C35" s="128"/>
      <c r="D35" s="128"/>
      <c r="E35" s="128">
        <v>128</v>
      </c>
      <c r="F35" s="128">
        <v>325</v>
      </c>
      <c r="G35" s="128">
        <v>143</v>
      </c>
      <c r="H35" s="129">
        <f>SUM(C35:G35)</f>
        <v>596</v>
      </c>
    </row>
    <row r="36" spans="1:8" ht="12.75">
      <c r="A36" s="85"/>
      <c r="B36" s="128" t="s">
        <v>201</v>
      </c>
      <c r="C36" s="128"/>
      <c r="D36" s="128"/>
      <c r="E36" s="128">
        <v>540</v>
      </c>
      <c r="F36" s="128">
        <v>325</v>
      </c>
      <c r="G36" s="128">
        <v>460</v>
      </c>
      <c r="H36" s="129">
        <f>SUM(C36:G36)</f>
        <v>1325</v>
      </c>
    </row>
    <row r="38" ht="12.75">
      <c r="A38">
        <v>1993</v>
      </c>
    </row>
    <row r="39" spans="1:8" ht="12.75">
      <c r="A39" s="85" t="s">
        <v>192</v>
      </c>
      <c r="B39" s="85"/>
      <c r="C39" s="85" t="s">
        <v>193</v>
      </c>
      <c r="D39" s="85" t="s">
        <v>194</v>
      </c>
      <c r="E39" s="85" t="s">
        <v>195</v>
      </c>
      <c r="F39" s="85" t="s">
        <v>196</v>
      </c>
      <c r="G39" s="85" t="s">
        <v>197</v>
      </c>
      <c r="H39" s="85" t="s">
        <v>57</v>
      </c>
    </row>
    <row r="40" spans="1:8" ht="12.75">
      <c r="A40" s="85">
        <v>50</v>
      </c>
      <c r="B40" s="127" t="s">
        <v>198</v>
      </c>
      <c r="C40" s="127"/>
      <c r="D40" s="127"/>
      <c r="E40" s="127">
        <v>79</v>
      </c>
      <c r="F40" s="127"/>
      <c r="G40" s="127">
        <v>5</v>
      </c>
      <c r="H40" s="127">
        <f>SUM(C40:G40)</f>
        <v>84</v>
      </c>
    </row>
    <row r="41" spans="1:8" ht="12.75">
      <c r="A41" s="85"/>
      <c r="B41" s="128" t="s">
        <v>199</v>
      </c>
      <c r="C41" s="128"/>
      <c r="D41" s="128"/>
      <c r="E41" s="128">
        <v>190.72151898734177</v>
      </c>
      <c r="F41" s="128"/>
      <c r="G41" s="128">
        <v>176.4</v>
      </c>
      <c r="H41" s="129">
        <f>SUM(C41:G41)</f>
        <v>367.1215189873418</v>
      </c>
    </row>
    <row r="42" spans="1:8" ht="12.75">
      <c r="A42" s="85"/>
      <c r="B42" s="128" t="s">
        <v>200</v>
      </c>
      <c r="C42" s="128"/>
      <c r="D42" s="128"/>
      <c r="E42" s="128">
        <v>166</v>
      </c>
      <c r="F42" s="128"/>
      <c r="G42" s="128">
        <v>163</v>
      </c>
      <c r="H42" s="129">
        <f>SUM(C42:G42)</f>
        <v>329</v>
      </c>
    </row>
    <row r="43" spans="1:8" ht="12.75">
      <c r="A43" s="85"/>
      <c r="B43" s="128" t="s">
        <v>201</v>
      </c>
      <c r="C43" s="128"/>
      <c r="D43" s="128"/>
      <c r="E43" s="128">
        <v>292</v>
      </c>
      <c r="F43" s="128"/>
      <c r="G43" s="128">
        <v>188</v>
      </c>
      <c r="H43" s="129">
        <f>SUM(C43:G43)</f>
        <v>480</v>
      </c>
    </row>
  </sheetData>
  <printOptions gridLines="1"/>
  <pageMargins left="0.75" right="0.75" top="1" bottom="1" header="0.5" footer="0.5"/>
  <pageSetup blackAndWhite="1"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J29"/>
  <sheetViews>
    <sheetView workbookViewId="0" topLeftCell="A10">
      <selection activeCell="A1" sqref="A1"/>
    </sheetView>
  </sheetViews>
  <sheetFormatPr defaultColWidth="9.140625" defaultRowHeight="12.75"/>
  <cols>
    <col min="1" max="1" width="34.28125" style="0" customWidth="1"/>
    <col min="2" max="2" width="23.28125" style="0" customWidth="1"/>
    <col min="3" max="3" width="14.00390625" style="0" customWidth="1"/>
    <col min="5" max="5" width="12.8515625" style="0" customWidth="1"/>
    <col min="7" max="7" width="10.421875" style="0" customWidth="1"/>
    <col min="10" max="10" width="13.421875" style="0" customWidth="1"/>
  </cols>
  <sheetData>
    <row r="1" spans="1:8" ht="33.75">
      <c r="A1" s="130" t="s">
        <v>208</v>
      </c>
      <c r="B1" s="131" t="s">
        <v>209</v>
      </c>
      <c r="C1" s="131" t="s">
        <v>210</v>
      </c>
      <c r="D1" s="132" t="s">
        <v>404</v>
      </c>
      <c r="E1" s="131" t="s">
        <v>167</v>
      </c>
      <c r="F1" s="131" t="s">
        <v>211</v>
      </c>
      <c r="G1" s="131" t="s">
        <v>212</v>
      </c>
      <c r="H1" s="131" t="s">
        <v>213</v>
      </c>
    </row>
    <row r="2" spans="1:8" ht="12.75" customHeight="1">
      <c r="A2" s="133" t="s">
        <v>173</v>
      </c>
      <c r="B2" s="85"/>
      <c r="C2" s="85"/>
      <c r="D2" s="85"/>
      <c r="E2" s="85"/>
      <c r="F2" s="85"/>
      <c r="G2" s="85"/>
      <c r="H2" s="85"/>
    </row>
    <row r="3" spans="1:8" ht="12.75">
      <c r="A3" s="133" t="s">
        <v>173</v>
      </c>
      <c r="B3" s="134" t="s">
        <v>174</v>
      </c>
      <c r="C3" s="134" t="s">
        <v>214</v>
      </c>
      <c r="D3" s="134">
        <v>1.8</v>
      </c>
      <c r="E3" s="135">
        <v>1536</v>
      </c>
      <c r="F3" s="136">
        <f>J13</f>
        <v>709</v>
      </c>
      <c r="G3" s="136">
        <v>276</v>
      </c>
      <c r="H3" s="136">
        <f>SUM(F3:G3)</f>
        <v>985</v>
      </c>
    </row>
    <row r="4" spans="1:8" ht="12.75">
      <c r="A4" s="133" t="s">
        <v>173</v>
      </c>
      <c r="B4" s="134" t="s">
        <v>174</v>
      </c>
      <c r="C4" s="134" t="s">
        <v>215</v>
      </c>
      <c r="D4" s="137">
        <v>2.3</v>
      </c>
      <c r="E4" s="135">
        <v>1245</v>
      </c>
      <c r="F4" s="136">
        <f>J13</f>
        <v>709</v>
      </c>
      <c r="G4" s="136">
        <v>276</v>
      </c>
      <c r="H4" s="136">
        <f>SUM(F4:G4)</f>
        <v>985</v>
      </c>
    </row>
    <row r="5" spans="1:8" ht="12.75" customHeight="1">
      <c r="A5" s="85"/>
      <c r="B5" s="138"/>
      <c r="C5" s="138"/>
      <c r="D5" s="139"/>
      <c r="E5" s="138"/>
      <c r="F5" s="85"/>
      <c r="G5" s="85"/>
      <c r="H5" s="85"/>
    </row>
    <row r="6" spans="1:8" ht="12.75">
      <c r="A6" s="133" t="s">
        <v>168</v>
      </c>
      <c r="B6" s="134" t="s">
        <v>170</v>
      </c>
      <c r="C6" s="134" t="s">
        <v>215</v>
      </c>
      <c r="D6" s="134">
        <v>2.5</v>
      </c>
      <c r="E6" s="135">
        <v>1141</v>
      </c>
      <c r="F6" s="136">
        <f>J24</f>
        <v>1521</v>
      </c>
      <c r="G6" s="136">
        <v>175</v>
      </c>
      <c r="H6" s="136">
        <f>SUM(F6:G6)</f>
        <v>1696</v>
      </c>
    </row>
    <row r="7" spans="1:8" ht="12.75">
      <c r="A7" s="133" t="s">
        <v>168</v>
      </c>
      <c r="B7" s="137" t="s">
        <v>172</v>
      </c>
      <c r="C7" s="137" t="s">
        <v>215</v>
      </c>
      <c r="D7" s="137">
        <v>2.5</v>
      </c>
      <c r="E7" s="140">
        <v>1141</v>
      </c>
      <c r="F7" s="136">
        <f>J16</f>
        <v>1748</v>
      </c>
      <c r="G7" s="136">
        <v>175</v>
      </c>
      <c r="H7" s="136">
        <f>SUM(F7:G7)</f>
        <v>1923</v>
      </c>
    </row>
    <row r="8" ht="12.75">
      <c r="A8" t="s">
        <v>216</v>
      </c>
    </row>
    <row r="11" spans="1:10" ht="51">
      <c r="A11" s="141" t="s">
        <v>217</v>
      </c>
      <c r="B11" s="142" t="s">
        <v>218</v>
      </c>
      <c r="C11" s="142" t="s">
        <v>219</v>
      </c>
      <c r="D11" s="142" t="s">
        <v>220</v>
      </c>
      <c r="E11" s="142" t="s">
        <v>221</v>
      </c>
      <c r="F11" s="142" t="s">
        <v>405</v>
      </c>
      <c r="G11" s="142" t="s">
        <v>222</v>
      </c>
      <c r="H11" s="142" t="s">
        <v>223</v>
      </c>
      <c r="I11" s="142" t="s">
        <v>224</v>
      </c>
      <c r="J11" s="142" t="s">
        <v>225</v>
      </c>
    </row>
    <row r="12" spans="1:10" ht="12.75" customHeight="1">
      <c r="A12" s="143" t="s">
        <v>226</v>
      </c>
      <c r="B12" s="144"/>
      <c r="C12" s="144"/>
      <c r="D12" s="144"/>
      <c r="E12" s="144"/>
      <c r="F12" s="144"/>
      <c r="G12" s="144"/>
      <c r="H12" s="144"/>
      <c r="I12" s="144"/>
      <c r="J12" s="145"/>
    </row>
    <row r="13" spans="1:10" ht="12.75">
      <c r="A13" s="146" t="s">
        <v>227</v>
      </c>
      <c r="B13" s="147" t="s">
        <v>228</v>
      </c>
      <c r="C13" s="148">
        <v>6000</v>
      </c>
      <c r="D13" s="148">
        <v>4000</v>
      </c>
      <c r="E13" s="149" t="s">
        <v>229</v>
      </c>
      <c r="F13" s="149">
        <v>2.61</v>
      </c>
      <c r="G13" s="149">
        <v>16.9</v>
      </c>
      <c r="H13" s="149">
        <v>0.5</v>
      </c>
      <c r="I13" s="149" t="s">
        <v>230</v>
      </c>
      <c r="J13" s="150">
        <v>709</v>
      </c>
    </row>
    <row r="14" spans="2:10" ht="12.75" customHeight="1">
      <c r="B14" s="85"/>
      <c r="C14" s="151"/>
      <c r="D14" s="151"/>
      <c r="E14" s="151"/>
      <c r="F14" s="151"/>
      <c r="G14" s="151"/>
      <c r="H14" s="151"/>
      <c r="I14" s="151"/>
      <c r="J14" s="152"/>
    </row>
    <row r="15" spans="1:10" ht="12.75">
      <c r="A15" s="146" t="s">
        <v>231</v>
      </c>
      <c r="B15" s="147" t="s">
        <v>232</v>
      </c>
      <c r="C15" s="148">
        <v>10600</v>
      </c>
      <c r="D15" s="148">
        <v>7500</v>
      </c>
      <c r="E15" s="149">
        <v>2.5</v>
      </c>
      <c r="F15" s="149">
        <v>2.5</v>
      </c>
      <c r="G15" s="149">
        <v>62</v>
      </c>
      <c r="H15" s="149">
        <v>0.8</v>
      </c>
      <c r="I15" s="149">
        <v>80</v>
      </c>
      <c r="J15" s="150">
        <v>1425</v>
      </c>
    </row>
    <row r="16" spans="1:10" ht="14.25">
      <c r="A16" s="146" t="s">
        <v>231</v>
      </c>
      <c r="B16" s="147" t="s">
        <v>233</v>
      </c>
      <c r="C16" s="153">
        <v>10600</v>
      </c>
      <c r="D16" s="153">
        <v>7700</v>
      </c>
      <c r="E16" s="154" t="s">
        <v>406</v>
      </c>
      <c r="F16" s="154">
        <v>2.5</v>
      </c>
      <c r="G16" s="154">
        <v>99</v>
      </c>
      <c r="H16" s="154">
        <v>6.8</v>
      </c>
      <c r="I16" s="154">
        <v>120</v>
      </c>
      <c r="J16" s="155">
        <v>1748</v>
      </c>
    </row>
    <row r="17" spans="1:10" ht="12.75" customHeight="1">
      <c r="A17" s="146" t="s">
        <v>231</v>
      </c>
      <c r="B17" s="147" t="s">
        <v>234</v>
      </c>
      <c r="C17" s="156">
        <v>15300</v>
      </c>
      <c r="D17" s="157">
        <v>10200</v>
      </c>
      <c r="E17" s="147" t="s">
        <v>407</v>
      </c>
      <c r="F17" s="147" t="s">
        <v>230</v>
      </c>
      <c r="G17" s="147" t="s">
        <v>230</v>
      </c>
      <c r="H17" s="147">
        <v>1.5</v>
      </c>
      <c r="I17" s="147">
        <v>120</v>
      </c>
      <c r="J17" s="155">
        <v>2761.5</v>
      </c>
    </row>
    <row r="18" spans="1:10" ht="12.75">
      <c r="A18" s="292"/>
      <c r="B18" s="292"/>
      <c r="C18" s="292"/>
      <c r="D18" s="292"/>
      <c r="E18" s="292"/>
      <c r="F18" s="292"/>
      <c r="G18" s="292"/>
      <c r="H18" s="292"/>
      <c r="I18" s="292"/>
      <c r="J18" s="292"/>
    </row>
    <row r="19" spans="1:10" ht="12.75" customHeight="1">
      <c r="A19" s="158" t="s">
        <v>235</v>
      </c>
      <c r="B19" s="159" t="s">
        <v>236</v>
      </c>
      <c r="C19" s="160">
        <v>9300</v>
      </c>
      <c r="D19" s="160">
        <v>6000</v>
      </c>
      <c r="E19" s="154" t="s">
        <v>237</v>
      </c>
      <c r="F19" s="159" t="s">
        <v>230</v>
      </c>
      <c r="G19" s="159">
        <v>70</v>
      </c>
      <c r="H19" s="159">
        <v>1.5</v>
      </c>
      <c r="I19" s="159">
        <v>70</v>
      </c>
      <c r="J19" s="161">
        <v>2700</v>
      </c>
    </row>
    <row r="20" spans="1:10" ht="12.75">
      <c r="A20" s="291"/>
      <c r="B20" s="291"/>
      <c r="C20" s="291"/>
      <c r="D20" s="291"/>
      <c r="E20" s="291"/>
      <c r="F20" s="291"/>
      <c r="G20" s="291"/>
      <c r="H20" s="291"/>
      <c r="I20" s="291"/>
      <c r="J20" s="291"/>
    </row>
    <row r="21" spans="1:10" ht="12.75">
      <c r="A21" s="293" t="s">
        <v>238</v>
      </c>
      <c r="B21" s="294"/>
      <c r="C21" s="294"/>
      <c r="D21" s="294"/>
      <c r="E21" s="294"/>
      <c r="F21" s="294"/>
      <c r="G21" s="294"/>
      <c r="H21" s="294"/>
      <c r="I21" s="294"/>
      <c r="J21" s="295"/>
    </row>
    <row r="22" spans="1:10" ht="12.75" customHeight="1">
      <c r="A22" s="146" t="s">
        <v>239</v>
      </c>
      <c r="B22" s="147" t="s">
        <v>240</v>
      </c>
      <c r="C22" s="157">
        <v>8300</v>
      </c>
      <c r="D22" s="157">
        <v>7000</v>
      </c>
      <c r="E22" s="147">
        <v>2.1</v>
      </c>
      <c r="F22" s="147">
        <v>2.1</v>
      </c>
      <c r="G22" s="147">
        <v>70</v>
      </c>
      <c r="H22" s="147">
        <v>1.2</v>
      </c>
      <c r="I22" s="147">
        <v>80</v>
      </c>
      <c r="J22" s="155">
        <v>2082</v>
      </c>
    </row>
    <row r="23" spans="1:10" ht="12.75">
      <c r="A23" s="162" t="s">
        <v>239</v>
      </c>
      <c r="B23" s="147" t="s">
        <v>241</v>
      </c>
      <c r="C23" s="148">
        <v>8300</v>
      </c>
      <c r="D23" s="148">
        <v>7000</v>
      </c>
      <c r="E23" s="149">
        <v>2.2</v>
      </c>
      <c r="F23" s="149">
        <v>2.2</v>
      </c>
      <c r="G23" s="149">
        <v>103</v>
      </c>
      <c r="H23" s="149">
        <v>1.1</v>
      </c>
      <c r="I23" s="149">
        <v>120</v>
      </c>
      <c r="J23" s="150">
        <v>2229</v>
      </c>
    </row>
    <row r="24" spans="1:10" ht="14.25">
      <c r="A24" s="162" t="s">
        <v>239</v>
      </c>
      <c r="B24" s="147" t="s">
        <v>242</v>
      </c>
      <c r="C24" s="148">
        <v>7100</v>
      </c>
      <c r="D24" s="149" t="s">
        <v>408</v>
      </c>
      <c r="E24" s="149">
        <v>2.5</v>
      </c>
      <c r="F24" s="149">
        <v>2.65</v>
      </c>
      <c r="G24" s="149">
        <v>64</v>
      </c>
      <c r="H24" s="149">
        <v>3.3</v>
      </c>
      <c r="I24" s="149">
        <v>80</v>
      </c>
      <c r="J24" s="150">
        <v>1521</v>
      </c>
    </row>
    <row r="25" spans="1:10" ht="12.75">
      <c r="A25" s="296" t="s">
        <v>243</v>
      </c>
      <c r="B25" s="297"/>
      <c r="C25" s="297"/>
      <c r="D25" s="297"/>
      <c r="E25" s="297"/>
      <c r="F25" s="297"/>
      <c r="G25" s="297"/>
      <c r="H25" s="297"/>
      <c r="I25" s="297"/>
      <c r="J25" s="298"/>
    </row>
    <row r="26" spans="1:10" ht="25.5" customHeight="1">
      <c r="A26" s="299" t="s">
        <v>244</v>
      </c>
      <c r="B26" s="300"/>
      <c r="C26" s="300"/>
      <c r="D26" s="300"/>
      <c r="E26" s="300"/>
      <c r="F26" s="300"/>
      <c r="G26" s="300"/>
      <c r="H26" s="300"/>
      <c r="I26" s="300"/>
      <c r="J26" s="301"/>
    </row>
    <row r="27" spans="1:10" ht="12.75" customHeight="1">
      <c r="A27" s="299" t="s">
        <v>245</v>
      </c>
      <c r="B27" s="300"/>
      <c r="C27" s="300"/>
      <c r="D27" s="300"/>
      <c r="E27" s="300"/>
      <c r="F27" s="300"/>
      <c r="G27" s="300"/>
      <c r="H27" s="300"/>
      <c r="I27" s="300"/>
      <c r="J27" s="301"/>
    </row>
    <row r="28" spans="1:10" ht="12.75" customHeight="1">
      <c r="A28" s="288" t="s">
        <v>246</v>
      </c>
      <c r="B28" s="289"/>
      <c r="C28" s="289"/>
      <c r="D28" s="289"/>
      <c r="E28" s="289"/>
      <c r="F28" s="289"/>
      <c r="G28" s="289"/>
      <c r="H28" s="289"/>
      <c r="I28" s="289"/>
      <c r="J28" s="290"/>
    </row>
    <row r="29" ht="12.75" customHeight="1">
      <c r="A29" t="s">
        <v>247</v>
      </c>
    </row>
  </sheetData>
  <mergeCells count="7">
    <mergeCell ref="A28:J28"/>
    <mergeCell ref="A20:J20"/>
    <mergeCell ref="A18:J18"/>
    <mergeCell ref="A21:J21"/>
    <mergeCell ref="A25:J25"/>
    <mergeCell ref="A26:J26"/>
    <mergeCell ref="A27:J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pageSetUpPr fitToPage="1"/>
  </sheetPr>
  <dimension ref="A1:M117"/>
  <sheetViews>
    <sheetView workbookViewId="0" topLeftCell="A71">
      <selection activeCell="A1" sqref="A1"/>
    </sheetView>
  </sheetViews>
  <sheetFormatPr defaultColWidth="9.140625" defaultRowHeight="12.75"/>
  <cols>
    <col min="1" max="1" width="18.7109375" style="0" customWidth="1"/>
    <col min="2" max="2" width="16.7109375" style="0" customWidth="1"/>
    <col min="3" max="3" width="13.7109375" style="0" customWidth="1"/>
    <col min="10" max="11" width="12.7109375" style="0" customWidth="1"/>
    <col min="12" max="12" width="15.7109375" style="0" customWidth="1"/>
    <col min="13" max="13" width="19.7109375" style="0" customWidth="1"/>
  </cols>
  <sheetData>
    <row r="1" spans="1:11" ht="18">
      <c r="A1" s="163" t="s">
        <v>248</v>
      </c>
      <c r="B1" s="163"/>
      <c r="C1" s="163"/>
      <c r="D1" s="163"/>
      <c r="E1" s="163"/>
      <c r="F1" s="163"/>
      <c r="G1" s="163"/>
      <c r="H1" s="163"/>
      <c r="I1" s="163"/>
      <c r="J1" s="163"/>
      <c r="K1" s="163"/>
    </row>
    <row r="3" ht="12.75">
      <c r="A3" s="123" t="s">
        <v>249</v>
      </c>
    </row>
    <row r="4" spans="5:9" ht="12.75">
      <c r="E4" s="164" t="s">
        <v>250</v>
      </c>
      <c r="F4" s="164"/>
      <c r="G4" s="164"/>
      <c r="H4" s="164"/>
      <c r="I4" s="164"/>
    </row>
    <row r="5" spans="1:13" ht="38.25">
      <c r="A5" s="165" t="s">
        <v>166</v>
      </c>
      <c r="B5" s="165" t="s">
        <v>251</v>
      </c>
      <c r="C5" s="166" t="s">
        <v>252</v>
      </c>
      <c r="D5" s="165" t="s">
        <v>253</v>
      </c>
      <c r="E5" s="165" t="s">
        <v>254</v>
      </c>
      <c r="F5" s="165" t="s">
        <v>255</v>
      </c>
      <c r="G5" s="165" t="s">
        <v>256</v>
      </c>
      <c r="H5" s="165" t="s">
        <v>257</v>
      </c>
      <c r="I5" s="165" t="s">
        <v>258</v>
      </c>
      <c r="J5" s="167" t="s">
        <v>259</v>
      </c>
      <c r="K5" s="166" t="s">
        <v>260</v>
      </c>
      <c r="L5" s="165" t="s">
        <v>261</v>
      </c>
      <c r="M5" s="165" t="s">
        <v>261</v>
      </c>
    </row>
    <row r="6" spans="1:12" ht="12.75">
      <c r="A6" s="165" t="s">
        <v>262</v>
      </c>
      <c r="B6" s="165"/>
      <c r="C6" s="166"/>
      <c r="D6" s="165"/>
      <c r="E6" s="165"/>
      <c r="F6" s="165"/>
      <c r="G6" s="165"/>
      <c r="H6" s="165"/>
      <c r="I6" s="165"/>
      <c r="J6" s="167"/>
      <c r="K6" s="166"/>
      <c r="L6" s="165"/>
    </row>
    <row r="7" spans="1:11" ht="12.75">
      <c r="A7" t="s">
        <v>263</v>
      </c>
      <c r="B7" t="s">
        <v>264</v>
      </c>
      <c r="C7" s="168">
        <v>50</v>
      </c>
      <c r="D7" s="169" t="s">
        <v>265</v>
      </c>
      <c r="E7" s="170">
        <v>140</v>
      </c>
      <c r="F7" s="170"/>
      <c r="G7" s="170"/>
      <c r="H7" s="170"/>
      <c r="I7" s="170"/>
      <c r="J7" s="170"/>
      <c r="K7" s="170"/>
    </row>
    <row r="8" spans="1:12" ht="12.75">
      <c r="A8" t="s">
        <v>263</v>
      </c>
      <c r="B8" s="171" t="s">
        <v>266</v>
      </c>
      <c r="C8" s="168">
        <v>50</v>
      </c>
      <c r="D8" s="169" t="s">
        <v>267</v>
      </c>
      <c r="E8" s="170">
        <v>170</v>
      </c>
      <c r="F8" s="170"/>
      <c r="G8" s="170"/>
      <c r="H8" s="170"/>
      <c r="I8" s="170"/>
      <c r="J8" s="170">
        <f>E8-E7</f>
        <v>30</v>
      </c>
      <c r="K8" s="170"/>
      <c r="L8" t="s">
        <v>268</v>
      </c>
    </row>
    <row r="9" spans="1:12" ht="12.75">
      <c r="A9" t="s">
        <v>263</v>
      </c>
      <c r="B9" s="171" t="s">
        <v>269</v>
      </c>
      <c r="C9" s="168">
        <v>50</v>
      </c>
      <c r="D9" s="169" t="s">
        <v>267</v>
      </c>
      <c r="E9" s="170"/>
      <c r="F9" s="170"/>
      <c r="G9" s="170"/>
      <c r="H9" s="170">
        <v>220</v>
      </c>
      <c r="I9" s="170"/>
      <c r="J9" s="170"/>
      <c r="K9" s="170">
        <f>H9-E8</f>
        <v>50</v>
      </c>
      <c r="L9" t="s">
        <v>268</v>
      </c>
    </row>
    <row r="10" spans="1:11" ht="12.75">
      <c r="A10" t="s">
        <v>270</v>
      </c>
      <c r="B10" s="171" t="s">
        <v>271</v>
      </c>
      <c r="C10" s="168">
        <v>50</v>
      </c>
      <c r="D10" s="169" t="s">
        <v>272</v>
      </c>
      <c r="F10" s="170">
        <v>140</v>
      </c>
      <c r="G10" s="170"/>
      <c r="H10" s="170"/>
      <c r="I10" s="170"/>
      <c r="J10" s="170"/>
      <c r="K10" s="170"/>
    </row>
    <row r="11" spans="1:11" ht="12.75">
      <c r="A11" t="s">
        <v>270</v>
      </c>
      <c r="B11" s="171" t="s">
        <v>273</v>
      </c>
      <c r="C11" s="168">
        <v>50</v>
      </c>
      <c r="D11" s="169" t="s">
        <v>267</v>
      </c>
      <c r="E11" s="170"/>
      <c r="F11" s="170">
        <v>170</v>
      </c>
      <c r="G11" s="170"/>
      <c r="H11" s="170"/>
      <c r="I11" s="170"/>
      <c r="J11" s="170">
        <f>F11-F10</f>
        <v>30</v>
      </c>
      <c r="K11" s="170"/>
    </row>
    <row r="12" spans="1:11" ht="12.75">
      <c r="A12" t="s">
        <v>270</v>
      </c>
      <c r="B12" s="171" t="s">
        <v>274</v>
      </c>
      <c r="C12" s="168">
        <v>50</v>
      </c>
      <c r="D12" s="169" t="s">
        <v>267</v>
      </c>
      <c r="E12" s="170"/>
      <c r="F12" s="170"/>
      <c r="G12" s="170"/>
      <c r="H12" s="170">
        <v>220</v>
      </c>
      <c r="I12" s="170"/>
      <c r="J12" s="170"/>
      <c r="K12" s="170">
        <f>H12-F11</f>
        <v>50</v>
      </c>
    </row>
    <row r="13" spans="1:11" ht="12.75">
      <c r="A13" s="165" t="s">
        <v>275</v>
      </c>
      <c r="B13" s="171"/>
      <c r="C13" s="168"/>
      <c r="D13" s="169"/>
      <c r="E13" s="170"/>
      <c r="F13" s="170"/>
      <c r="G13" s="170"/>
      <c r="H13" s="170"/>
      <c r="I13" s="170"/>
      <c r="J13" s="170"/>
      <c r="K13" s="170"/>
    </row>
    <row r="14" spans="1:11" ht="12.75">
      <c r="A14" t="s">
        <v>263</v>
      </c>
      <c r="B14" s="171" t="s">
        <v>276</v>
      </c>
      <c r="C14" s="168">
        <v>40</v>
      </c>
      <c r="D14" s="169" t="s">
        <v>277</v>
      </c>
      <c r="E14" s="170">
        <v>127</v>
      </c>
      <c r="F14" s="170"/>
      <c r="G14" s="170"/>
      <c r="H14" s="170"/>
      <c r="I14" s="170"/>
      <c r="J14" s="170"/>
      <c r="K14" s="170"/>
    </row>
    <row r="15" spans="1:12" ht="12.75">
      <c r="A15" t="s">
        <v>263</v>
      </c>
      <c r="B15" s="171" t="s">
        <v>278</v>
      </c>
      <c r="C15" s="168">
        <v>40</v>
      </c>
      <c r="D15" s="169" t="s">
        <v>279</v>
      </c>
      <c r="E15" s="170">
        <v>150</v>
      </c>
      <c r="F15" s="170"/>
      <c r="G15" s="170"/>
      <c r="H15" s="170"/>
      <c r="I15" s="170"/>
      <c r="J15" s="170">
        <f>E15-E14</f>
        <v>23</v>
      </c>
      <c r="K15" s="170"/>
      <c r="L15" t="s">
        <v>268</v>
      </c>
    </row>
    <row r="16" spans="1:12" ht="12.75">
      <c r="A16" t="s">
        <v>263</v>
      </c>
      <c r="B16" s="171" t="s">
        <v>280</v>
      </c>
      <c r="C16" s="168">
        <v>40</v>
      </c>
      <c r="D16" s="169" t="s">
        <v>281</v>
      </c>
      <c r="E16" s="170"/>
      <c r="F16" s="170"/>
      <c r="G16" s="170"/>
      <c r="H16" s="170">
        <v>500</v>
      </c>
      <c r="I16" s="170"/>
      <c r="J16" s="170"/>
      <c r="K16" s="170">
        <f>H16-E14</f>
        <v>373</v>
      </c>
      <c r="L16" t="s">
        <v>282</v>
      </c>
    </row>
    <row r="17" spans="1:11" ht="12.75">
      <c r="A17" t="s">
        <v>270</v>
      </c>
      <c r="B17" s="171" t="s">
        <v>283</v>
      </c>
      <c r="C17" s="168">
        <v>40</v>
      </c>
      <c r="D17" s="169" t="s">
        <v>281</v>
      </c>
      <c r="F17" s="170">
        <v>140</v>
      </c>
      <c r="G17" s="170"/>
      <c r="H17" s="170"/>
      <c r="I17" s="170"/>
      <c r="J17" s="170"/>
      <c r="K17" s="170"/>
    </row>
    <row r="18" spans="1:11" ht="12.75">
      <c r="A18" t="s">
        <v>270</v>
      </c>
      <c r="B18" s="171" t="s">
        <v>284</v>
      </c>
      <c r="C18" s="168">
        <v>40</v>
      </c>
      <c r="D18" s="169" t="s">
        <v>285</v>
      </c>
      <c r="F18" s="170">
        <v>170</v>
      </c>
      <c r="G18" s="170"/>
      <c r="H18" s="170"/>
      <c r="I18" s="170"/>
      <c r="J18" s="170">
        <f>F18-F17</f>
        <v>30</v>
      </c>
      <c r="K18" s="170"/>
    </row>
    <row r="19" spans="1:11" ht="12.75">
      <c r="A19" t="s">
        <v>270</v>
      </c>
      <c r="B19" s="171" t="s">
        <v>286</v>
      </c>
      <c r="C19" s="168">
        <v>40</v>
      </c>
      <c r="D19" s="169" t="s">
        <v>281</v>
      </c>
      <c r="E19" s="170"/>
      <c r="F19" s="170"/>
      <c r="G19" s="170"/>
      <c r="H19" s="170">
        <v>180</v>
      </c>
      <c r="I19" s="170"/>
      <c r="J19" s="170"/>
      <c r="K19" s="170">
        <f>H19-F17</f>
        <v>40</v>
      </c>
    </row>
    <row r="20" spans="1:11" ht="12.75">
      <c r="A20" s="171"/>
      <c r="B20" s="171"/>
      <c r="D20" s="169"/>
      <c r="E20" s="170"/>
      <c r="F20" s="170"/>
      <c r="G20" s="170"/>
      <c r="H20" s="170"/>
      <c r="I20" s="170"/>
      <c r="J20" s="170"/>
      <c r="K20" s="170"/>
    </row>
    <row r="21" spans="1:2" ht="12.75">
      <c r="A21" s="123" t="s">
        <v>287</v>
      </c>
      <c r="B21" s="171"/>
    </row>
    <row r="22" spans="5:9" ht="12.75">
      <c r="E22" s="164" t="s">
        <v>250</v>
      </c>
      <c r="F22" s="164"/>
      <c r="G22" s="164"/>
      <c r="H22" s="164"/>
      <c r="I22" s="164"/>
    </row>
    <row r="23" spans="1:13" ht="38.25">
      <c r="A23" s="165" t="s">
        <v>166</v>
      </c>
      <c r="B23" s="165" t="s">
        <v>251</v>
      </c>
      <c r="C23" s="166" t="s">
        <v>252</v>
      </c>
      <c r="D23" s="165" t="s">
        <v>253</v>
      </c>
      <c r="E23" s="165" t="s">
        <v>254</v>
      </c>
      <c r="F23" s="165" t="s">
        <v>255</v>
      </c>
      <c r="G23" s="165" t="s">
        <v>256</v>
      </c>
      <c r="H23" s="165" t="s">
        <v>257</v>
      </c>
      <c r="I23" s="165" t="s">
        <v>258</v>
      </c>
      <c r="J23" s="167" t="s">
        <v>259</v>
      </c>
      <c r="K23" s="166" t="s">
        <v>260</v>
      </c>
      <c r="L23" s="165" t="s">
        <v>261</v>
      </c>
      <c r="M23" s="165" t="s">
        <v>261</v>
      </c>
    </row>
    <row r="24" spans="1:12" ht="12.75">
      <c r="A24" s="165" t="s">
        <v>262</v>
      </c>
      <c r="B24" s="165"/>
      <c r="C24" s="166"/>
      <c r="D24" s="165"/>
      <c r="E24" s="165"/>
      <c r="F24" s="165"/>
      <c r="G24" s="165"/>
      <c r="H24" s="165"/>
      <c r="I24" s="165"/>
      <c r="J24" s="167"/>
      <c r="K24" s="166"/>
      <c r="L24" s="165"/>
    </row>
    <row r="25" spans="1:12" ht="12.75">
      <c r="A25" t="s">
        <v>288</v>
      </c>
      <c r="B25" t="s">
        <v>289</v>
      </c>
      <c r="C25" s="169">
        <v>50</v>
      </c>
      <c r="D25" s="169" t="s">
        <v>265</v>
      </c>
      <c r="F25" s="170">
        <v>130</v>
      </c>
      <c r="G25" s="170"/>
      <c r="H25" s="170"/>
      <c r="I25" s="170"/>
      <c r="J25" s="170"/>
      <c r="K25" s="170"/>
      <c r="L25" t="s">
        <v>290</v>
      </c>
    </row>
    <row r="26" spans="1:12" ht="12.75">
      <c r="A26" t="s">
        <v>288</v>
      </c>
      <c r="B26" t="s">
        <v>291</v>
      </c>
      <c r="C26" s="169">
        <v>50</v>
      </c>
      <c r="D26" s="169" t="s">
        <v>265</v>
      </c>
      <c r="F26" s="170">
        <v>150</v>
      </c>
      <c r="G26" s="170"/>
      <c r="H26" s="170"/>
      <c r="I26" s="170"/>
      <c r="J26" s="170"/>
      <c r="K26" s="170"/>
      <c r="L26" t="s">
        <v>292</v>
      </c>
    </row>
    <row r="27" spans="1:13" ht="12.75">
      <c r="A27" t="s">
        <v>288</v>
      </c>
      <c r="B27" t="s">
        <v>293</v>
      </c>
      <c r="C27" s="169">
        <v>50</v>
      </c>
      <c r="D27" s="169" t="s">
        <v>267</v>
      </c>
      <c r="E27" s="170"/>
      <c r="F27" s="170">
        <v>160</v>
      </c>
      <c r="G27" s="170"/>
      <c r="H27" s="170"/>
      <c r="I27" s="170"/>
      <c r="J27" s="170">
        <f>F27-F25</f>
        <v>30</v>
      </c>
      <c r="K27" s="170"/>
      <c r="L27" t="s">
        <v>294</v>
      </c>
      <c r="M27" t="s">
        <v>268</v>
      </c>
    </row>
    <row r="28" spans="1:13" ht="12.75">
      <c r="A28" t="s">
        <v>288</v>
      </c>
      <c r="B28" t="s">
        <v>295</v>
      </c>
      <c r="C28" s="169">
        <v>50</v>
      </c>
      <c r="D28" s="169" t="s">
        <v>267</v>
      </c>
      <c r="E28" s="170"/>
      <c r="F28" s="170">
        <v>160</v>
      </c>
      <c r="G28" s="170"/>
      <c r="H28" s="170"/>
      <c r="I28" s="170"/>
      <c r="J28" s="170">
        <f>F28-F26</f>
        <v>10</v>
      </c>
      <c r="K28" s="170"/>
      <c r="L28" t="s">
        <v>294</v>
      </c>
      <c r="M28" t="s">
        <v>268</v>
      </c>
    </row>
    <row r="29" spans="1:12" ht="12.75">
      <c r="A29" t="s">
        <v>288</v>
      </c>
      <c r="B29" t="s">
        <v>296</v>
      </c>
      <c r="C29" s="169">
        <v>50</v>
      </c>
      <c r="D29" s="169" t="s">
        <v>265</v>
      </c>
      <c r="E29" s="170"/>
      <c r="F29" s="170"/>
      <c r="G29" s="170"/>
      <c r="H29" s="170">
        <v>200</v>
      </c>
      <c r="I29" s="170"/>
      <c r="J29" s="170"/>
      <c r="K29" s="170">
        <f>H29-F27</f>
        <v>40</v>
      </c>
      <c r="L29" t="s">
        <v>297</v>
      </c>
    </row>
    <row r="30" spans="1:13" ht="12.75">
      <c r="A30" t="s">
        <v>288</v>
      </c>
      <c r="B30" t="s">
        <v>298</v>
      </c>
      <c r="C30" s="169">
        <v>50</v>
      </c>
      <c r="D30" s="169" t="s">
        <v>267</v>
      </c>
      <c r="E30" s="170"/>
      <c r="F30" s="170"/>
      <c r="G30" s="170"/>
      <c r="H30" s="170">
        <v>200</v>
      </c>
      <c r="I30" s="170"/>
      <c r="J30" s="170"/>
      <c r="K30" s="170">
        <f>H30-F28</f>
        <v>40</v>
      </c>
      <c r="L30" t="s">
        <v>297</v>
      </c>
      <c r="M30" t="s">
        <v>268</v>
      </c>
    </row>
    <row r="31" spans="1:12" ht="12.75">
      <c r="A31" t="s">
        <v>263</v>
      </c>
      <c r="B31" t="s">
        <v>299</v>
      </c>
      <c r="C31" s="169" t="s">
        <v>300</v>
      </c>
      <c r="D31" s="169" t="s">
        <v>301</v>
      </c>
      <c r="E31" s="170">
        <v>340</v>
      </c>
      <c r="F31" s="170"/>
      <c r="G31" s="170"/>
      <c r="H31" s="170"/>
      <c r="I31" s="170"/>
      <c r="J31" s="170"/>
      <c r="K31" s="170"/>
      <c r="L31" t="s">
        <v>302</v>
      </c>
    </row>
    <row r="32" spans="1:12" ht="12.75">
      <c r="A32" t="s">
        <v>288</v>
      </c>
      <c r="B32" t="s">
        <v>303</v>
      </c>
      <c r="C32" s="169" t="s">
        <v>304</v>
      </c>
      <c r="D32" s="169" t="s">
        <v>301</v>
      </c>
      <c r="F32" s="170">
        <v>360</v>
      </c>
      <c r="L32" t="s">
        <v>305</v>
      </c>
    </row>
    <row r="33" ht="12.75">
      <c r="A33" s="165" t="s">
        <v>275</v>
      </c>
    </row>
    <row r="34" spans="1:11" ht="12.75">
      <c r="A34" t="s">
        <v>263</v>
      </c>
      <c r="B34" t="s">
        <v>306</v>
      </c>
      <c r="C34" s="169" t="s">
        <v>307</v>
      </c>
      <c r="D34" s="169" t="s">
        <v>285</v>
      </c>
      <c r="E34" s="170" t="s">
        <v>308</v>
      </c>
      <c r="F34" s="170"/>
      <c r="G34" s="170"/>
      <c r="H34" s="170"/>
      <c r="I34" s="170"/>
      <c r="J34" s="170"/>
      <c r="K34" s="170"/>
    </row>
    <row r="35" spans="1:11" ht="12.75">
      <c r="A35" t="s">
        <v>263</v>
      </c>
      <c r="B35" t="s">
        <v>309</v>
      </c>
      <c r="C35" s="169" t="s">
        <v>307</v>
      </c>
      <c r="D35" s="169" t="s">
        <v>285</v>
      </c>
      <c r="F35" s="170"/>
      <c r="G35" s="170" t="s">
        <v>308</v>
      </c>
      <c r="H35" s="170"/>
      <c r="I35" s="170"/>
      <c r="J35" s="170"/>
      <c r="K35" s="170"/>
    </row>
    <row r="36" spans="1:12" ht="12.75">
      <c r="A36" t="s">
        <v>288</v>
      </c>
      <c r="B36" t="s">
        <v>310</v>
      </c>
      <c r="C36" s="169" t="s">
        <v>311</v>
      </c>
      <c r="D36" s="169" t="s">
        <v>281</v>
      </c>
      <c r="E36" s="170">
        <v>128</v>
      </c>
      <c r="F36" s="170"/>
      <c r="G36" s="170"/>
      <c r="H36" s="170"/>
      <c r="I36" s="170"/>
      <c r="J36" s="170"/>
      <c r="K36" s="170"/>
      <c r="L36" t="s">
        <v>312</v>
      </c>
    </row>
    <row r="37" spans="1:12" ht="12.75">
      <c r="A37" t="s">
        <v>288</v>
      </c>
      <c r="B37" t="s">
        <v>313</v>
      </c>
      <c r="C37" s="169" t="s">
        <v>311</v>
      </c>
      <c r="D37" s="169" t="s">
        <v>277</v>
      </c>
      <c r="E37" s="170">
        <v>150</v>
      </c>
      <c r="F37" s="170"/>
      <c r="G37" s="170"/>
      <c r="H37" s="170"/>
      <c r="I37" s="170"/>
      <c r="J37" s="170"/>
      <c r="K37" s="170"/>
      <c r="L37" t="s">
        <v>314</v>
      </c>
    </row>
    <row r="38" spans="1:13" ht="12.75">
      <c r="A38" t="s">
        <v>288</v>
      </c>
      <c r="B38" t="s">
        <v>315</v>
      </c>
      <c r="C38" s="169" t="s">
        <v>311</v>
      </c>
      <c r="D38" s="169" t="s">
        <v>279</v>
      </c>
      <c r="E38" s="170">
        <v>160</v>
      </c>
      <c r="F38" s="170"/>
      <c r="G38" s="170"/>
      <c r="H38" s="170"/>
      <c r="I38" s="170"/>
      <c r="J38" s="170">
        <f>E38-E37</f>
        <v>10</v>
      </c>
      <c r="K38" s="170"/>
      <c r="L38" t="s">
        <v>297</v>
      </c>
      <c r="M38" t="s">
        <v>268</v>
      </c>
    </row>
    <row r="39" spans="1:12" ht="12.75">
      <c r="A39" t="s">
        <v>288</v>
      </c>
      <c r="B39" t="s">
        <v>316</v>
      </c>
      <c r="C39" s="169" t="s">
        <v>317</v>
      </c>
      <c r="D39" s="169" t="s">
        <v>318</v>
      </c>
      <c r="E39" s="170">
        <v>250</v>
      </c>
      <c r="F39" s="170"/>
      <c r="G39" s="170"/>
      <c r="H39" s="170"/>
      <c r="I39" s="170"/>
      <c r="J39" s="170"/>
      <c r="K39" s="170"/>
      <c r="L39" t="s">
        <v>319</v>
      </c>
    </row>
    <row r="40" spans="1:13" ht="12.75">
      <c r="A40" t="s">
        <v>288</v>
      </c>
      <c r="B40" t="s">
        <v>320</v>
      </c>
      <c r="C40" s="169" t="s">
        <v>317</v>
      </c>
      <c r="D40" s="169" t="s">
        <v>321</v>
      </c>
      <c r="E40" s="170">
        <v>210</v>
      </c>
      <c r="F40" s="170"/>
      <c r="G40" s="170"/>
      <c r="H40" s="170"/>
      <c r="I40" s="170"/>
      <c r="J40" s="170"/>
      <c r="K40" s="170"/>
      <c r="L40" t="s">
        <v>322</v>
      </c>
      <c r="M40" t="s">
        <v>268</v>
      </c>
    </row>
    <row r="41" spans="1:12" ht="12.75">
      <c r="A41" t="s">
        <v>288</v>
      </c>
      <c r="B41" t="s">
        <v>323</v>
      </c>
      <c r="C41" s="169" t="s">
        <v>324</v>
      </c>
      <c r="D41" s="169" t="s">
        <v>325</v>
      </c>
      <c r="E41" s="170">
        <v>450</v>
      </c>
      <c r="F41" s="170"/>
      <c r="G41" s="170"/>
      <c r="H41" s="170"/>
      <c r="I41" s="170"/>
      <c r="J41" s="170"/>
      <c r="K41" s="170"/>
      <c r="L41" t="s">
        <v>326</v>
      </c>
    </row>
    <row r="42" spans="1:11" ht="12.75">
      <c r="A42" t="s">
        <v>263</v>
      </c>
      <c r="B42" t="s">
        <v>327</v>
      </c>
      <c r="C42" s="169" t="s">
        <v>324</v>
      </c>
      <c r="D42" s="169" t="s">
        <v>325</v>
      </c>
      <c r="E42" s="170" t="s">
        <v>308</v>
      </c>
      <c r="F42" s="170"/>
      <c r="G42" s="170"/>
      <c r="H42" s="170"/>
      <c r="I42" s="170"/>
      <c r="J42" s="170"/>
      <c r="K42" s="170"/>
    </row>
    <row r="44" spans="1:2" ht="12.75">
      <c r="A44" s="123" t="s">
        <v>328</v>
      </c>
      <c r="B44" s="171"/>
    </row>
    <row r="45" spans="5:9" ht="12.75">
      <c r="E45" s="164" t="s">
        <v>250</v>
      </c>
      <c r="F45" s="164"/>
      <c r="G45" s="164"/>
      <c r="H45" s="164"/>
      <c r="I45" s="164"/>
    </row>
    <row r="46" spans="1:13" ht="38.25">
      <c r="A46" s="165" t="s">
        <v>166</v>
      </c>
      <c r="B46" s="165" t="s">
        <v>251</v>
      </c>
      <c r="C46" s="166" t="s">
        <v>252</v>
      </c>
      <c r="D46" s="165" t="s">
        <v>253</v>
      </c>
      <c r="E46" s="165" t="s">
        <v>254</v>
      </c>
      <c r="F46" s="165" t="s">
        <v>255</v>
      </c>
      <c r="G46" s="165" t="s">
        <v>256</v>
      </c>
      <c r="H46" s="165" t="s">
        <v>257</v>
      </c>
      <c r="I46" s="165" t="s">
        <v>258</v>
      </c>
      <c r="J46" s="167" t="s">
        <v>259</v>
      </c>
      <c r="K46" s="166" t="s">
        <v>260</v>
      </c>
      <c r="L46" s="165" t="s">
        <v>261</v>
      </c>
      <c r="M46" s="165" t="s">
        <v>261</v>
      </c>
    </row>
    <row r="47" spans="1:12" ht="12.75">
      <c r="A47" s="165" t="s">
        <v>262</v>
      </c>
      <c r="B47" s="165"/>
      <c r="C47" s="166"/>
      <c r="D47" s="165"/>
      <c r="E47" s="165"/>
      <c r="F47" s="165"/>
      <c r="G47" s="165"/>
      <c r="H47" s="165"/>
      <c r="I47" s="165"/>
      <c r="J47" s="167"/>
      <c r="K47" s="166"/>
      <c r="L47" s="165"/>
    </row>
    <row r="48" spans="1:11" ht="12.75">
      <c r="A48" t="s">
        <v>329</v>
      </c>
      <c r="B48" t="s">
        <v>330</v>
      </c>
      <c r="C48" s="169" t="s">
        <v>317</v>
      </c>
      <c r="D48" s="169" t="s">
        <v>265</v>
      </c>
      <c r="E48" s="170">
        <v>159</v>
      </c>
      <c r="F48" s="170"/>
      <c r="G48" s="170"/>
      <c r="H48" s="170"/>
      <c r="I48" s="170"/>
      <c r="J48" s="170"/>
      <c r="K48" s="170"/>
    </row>
    <row r="49" spans="1:11" ht="12.75">
      <c r="A49" t="s">
        <v>329</v>
      </c>
      <c r="B49" t="s">
        <v>331</v>
      </c>
      <c r="C49" s="169" t="s">
        <v>317</v>
      </c>
      <c r="D49" s="169" t="s">
        <v>332</v>
      </c>
      <c r="E49" s="170">
        <v>182</v>
      </c>
      <c r="F49" s="170"/>
      <c r="G49" s="170"/>
      <c r="H49" s="170"/>
      <c r="I49" s="170"/>
      <c r="J49" s="170"/>
      <c r="K49" s="170"/>
    </row>
    <row r="50" spans="1:13" ht="12.75">
      <c r="A50" t="s">
        <v>329</v>
      </c>
      <c r="B50" t="s">
        <v>333</v>
      </c>
      <c r="C50" s="169" t="s">
        <v>317</v>
      </c>
      <c r="D50" s="169" t="s">
        <v>267</v>
      </c>
      <c r="E50" s="170"/>
      <c r="F50" s="170"/>
      <c r="G50" s="170">
        <v>219</v>
      </c>
      <c r="H50" s="170"/>
      <c r="I50" s="170"/>
      <c r="J50" s="170"/>
      <c r="K50" s="170"/>
      <c r="M50" t="s">
        <v>268</v>
      </c>
    </row>
    <row r="51" spans="1:11" ht="12.75">
      <c r="A51" t="s">
        <v>329</v>
      </c>
      <c r="B51" t="s">
        <v>334</v>
      </c>
      <c r="C51" s="169" t="s">
        <v>317</v>
      </c>
      <c r="D51" s="169" t="s">
        <v>265</v>
      </c>
      <c r="E51" s="170"/>
      <c r="F51" s="170"/>
      <c r="G51" s="170"/>
      <c r="H51" s="170">
        <v>292</v>
      </c>
      <c r="I51" s="170"/>
      <c r="J51" s="170"/>
      <c r="K51" s="170">
        <f>H51-E48</f>
        <v>133</v>
      </c>
    </row>
    <row r="52" spans="1:11" ht="12.75">
      <c r="A52" t="s">
        <v>329</v>
      </c>
      <c r="B52" t="s">
        <v>335</v>
      </c>
      <c r="C52" s="169" t="s">
        <v>317</v>
      </c>
      <c r="D52" s="169" t="s">
        <v>332</v>
      </c>
      <c r="E52" s="170"/>
      <c r="F52" s="170"/>
      <c r="G52" s="170"/>
      <c r="H52" s="170">
        <v>292</v>
      </c>
      <c r="I52" s="170"/>
      <c r="J52" s="170"/>
      <c r="K52" s="170">
        <f>H52-E49</f>
        <v>110</v>
      </c>
    </row>
    <row r="53" spans="1:11" ht="12.75">
      <c r="A53" t="s">
        <v>329</v>
      </c>
      <c r="B53" t="s">
        <v>336</v>
      </c>
      <c r="C53" s="169" t="s">
        <v>300</v>
      </c>
      <c r="D53" s="169" t="s">
        <v>301</v>
      </c>
      <c r="E53" s="170">
        <v>329</v>
      </c>
      <c r="F53" s="170"/>
      <c r="G53" s="170"/>
      <c r="H53" s="170"/>
      <c r="I53" s="170"/>
      <c r="J53" s="170"/>
      <c r="K53" s="170"/>
    </row>
    <row r="54" spans="1:11" ht="12.75">
      <c r="A54" t="s">
        <v>329</v>
      </c>
      <c r="B54" t="s">
        <v>337</v>
      </c>
      <c r="C54" s="169" t="s">
        <v>300</v>
      </c>
      <c r="D54" s="169" t="s">
        <v>301</v>
      </c>
      <c r="F54" s="170"/>
      <c r="G54" s="170"/>
      <c r="H54" s="170">
        <v>340</v>
      </c>
      <c r="I54" s="170"/>
      <c r="J54" s="170"/>
      <c r="K54" s="170">
        <f>H54-E53</f>
        <v>11</v>
      </c>
    </row>
    <row r="55" spans="1:11" ht="12.75">
      <c r="A55" t="s">
        <v>329</v>
      </c>
      <c r="B55" t="s">
        <v>338</v>
      </c>
      <c r="C55" s="169" t="s">
        <v>304</v>
      </c>
      <c r="D55" s="169" t="s">
        <v>301</v>
      </c>
      <c r="E55" s="170">
        <v>292</v>
      </c>
      <c r="F55" s="170"/>
      <c r="G55" s="170"/>
      <c r="H55" s="170"/>
      <c r="I55" s="170"/>
      <c r="J55" s="170"/>
      <c r="K55" s="170"/>
    </row>
    <row r="56" ht="12.75">
      <c r="A56" s="165" t="s">
        <v>275</v>
      </c>
    </row>
    <row r="57" spans="1:11" ht="12.75">
      <c r="A57" t="s">
        <v>329</v>
      </c>
      <c r="B57" t="s">
        <v>339</v>
      </c>
      <c r="C57" s="169" t="s">
        <v>307</v>
      </c>
      <c r="D57" s="169" t="s">
        <v>340</v>
      </c>
      <c r="E57" s="170">
        <v>132</v>
      </c>
      <c r="F57" s="170"/>
      <c r="G57" s="170"/>
      <c r="H57" s="170"/>
      <c r="I57" s="170"/>
      <c r="J57" s="170"/>
      <c r="K57" s="170"/>
    </row>
    <row r="58" spans="1:11" ht="12.75">
      <c r="A58" t="s">
        <v>329</v>
      </c>
      <c r="B58" t="s">
        <v>341</v>
      </c>
      <c r="C58" s="169" t="s">
        <v>311</v>
      </c>
      <c r="D58" s="169" t="s">
        <v>277</v>
      </c>
      <c r="E58" s="170">
        <v>130</v>
      </c>
      <c r="F58" s="170"/>
      <c r="G58" s="170"/>
      <c r="H58" s="170"/>
      <c r="I58" s="170"/>
      <c r="J58" s="170"/>
      <c r="K58" s="170"/>
    </row>
    <row r="59" spans="1:11" ht="12.75">
      <c r="A59" t="s">
        <v>329</v>
      </c>
      <c r="B59" t="s">
        <v>342</v>
      </c>
      <c r="C59" s="169" t="s">
        <v>311</v>
      </c>
      <c r="D59" s="170" t="s">
        <v>308</v>
      </c>
      <c r="E59" s="170"/>
      <c r="F59" s="170"/>
      <c r="G59" s="170">
        <v>204</v>
      </c>
      <c r="H59" s="170"/>
      <c r="I59" s="170"/>
      <c r="J59" s="170"/>
      <c r="K59" s="170"/>
    </row>
    <row r="60" spans="1:11" ht="12.75">
      <c r="A60" t="s">
        <v>329</v>
      </c>
      <c r="B60" t="s">
        <v>343</v>
      </c>
      <c r="C60" s="169" t="s">
        <v>311</v>
      </c>
      <c r="D60" s="170" t="s">
        <v>308</v>
      </c>
      <c r="E60" s="170"/>
      <c r="F60" s="170"/>
      <c r="G60" s="170" t="s">
        <v>308</v>
      </c>
      <c r="H60" s="170"/>
      <c r="I60" s="170"/>
      <c r="J60" s="170"/>
      <c r="K60" s="170"/>
    </row>
    <row r="61" spans="1:11" ht="12.75">
      <c r="A61" t="s">
        <v>329</v>
      </c>
      <c r="B61" t="s">
        <v>344</v>
      </c>
      <c r="C61" s="169" t="s">
        <v>311</v>
      </c>
      <c r="D61" s="170" t="s">
        <v>308</v>
      </c>
      <c r="E61" s="170"/>
      <c r="F61" s="170"/>
      <c r="G61" s="170"/>
      <c r="H61" s="170">
        <v>229</v>
      </c>
      <c r="I61" s="170"/>
      <c r="J61" s="170"/>
      <c r="K61" s="170"/>
    </row>
    <row r="62" spans="1:11" ht="12.75">
      <c r="A62" t="s">
        <v>329</v>
      </c>
      <c r="B62" t="s">
        <v>345</v>
      </c>
      <c r="C62" s="169" t="s">
        <v>317</v>
      </c>
      <c r="D62" s="169" t="s">
        <v>318</v>
      </c>
      <c r="E62" s="170">
        <v>182</v>
      </c>
      <c r="F62" s="170"/>
      <c r="G62" s="170"/>
      <c r="H62" s="170"/>
      <c r="I62" s="170"/>
      <c r="J62" s="170"/>
      <c r="K62" s="170"/>
    </row>
    <row r="63" spans="1:11" ht="12.75">
      <c r="A63" t="s">
        <v>329</v>
      </c>
      <c r="B63" t="s">
        <v>346</v>
      </c>
      <c r="C63" s="169" t="s">
        <v>317</v>
      </c>
      <c r="D63" s="170" t="s">
        <v>308</v>
      </c>
      <c r="E63" s="170"/>
      <c r="F63" s="170"/>
      <c r="G63" s="170">
        <v>245</v>
      </c>
      <c r="H63" s="170"/>
      <c r="I63" s="170"/>
      <c r="J63" s="170"/>
      <c r="K63" s="170"/>
    </row>
    <row r="64" spans="1:11" ht="12.75">
      <c r="A64" t="s">
        <v>329</v>
      </c>
      <c r="B64" t="s">
        <v>347</v>
      </c>
      <c r="C64" s="169" t="s">
        <v>317</v>
      </c>
      <c r="D64" s="170" t="s">
        <v>308</v>
      </c>
      <c r="E64" s="170"/>
      <c r="F64" s="170"/>
      <c r="G64" s="170"/>
      <c r="H64" s="170">
        <v>264</v>
      </c>
      <c r="I64" s="170"/>
      <c r="J64" s="170"/>
      <c r="K64" s="170"/>
    </row>
    <row r="65" spans="1:13" ht="12.75">
      <c r="A65" t="s">
        <v>263</v>
      </c>
      <c r="B65" t="s">
        <v>348</v>
      </c>
      <c r="C65" s="169" t="s">
        <v>317</v>
      </c>
      <c r="D65" s="169" t="s">
        <v>349</v>
      </c>
      <c r="E65" s="170"/>
      <c r="F65" s="170">
        <v>400</v>
      </c>
      <c r="G65" s="170"/>
      <c r="H65" s="170"/>
      <c r="I65" s="170"/>
      <c r="J65" s="170"/>
      <c r="K65" s="170"/>
      <c r="M65" t="s">
        <v>268</v>
      </c>
    </row>
    <row r="67" spans="1:2" ht="12.75">
      <c r="A67" s="123" t="s">
        <v>328</v>
      </c>
      <c r="B67" s="171"/>
    </row>
    <row r="68" spans="5:9" ht="12.75">
      <c r="E68" s="164" t="s">
        <v>250</v>
      </c>
      <c r="F68" s="164"/>
      <c r="G68" s="164"/>
      <c r="H68" s="164"/>
      <c r="I68" s="164"/>
    </row>
    <row r="69" spans="1:13" ht="38.25">
      <c r="A69" s="165" t="s">
        <v>166</v>
      </c>
      <c r="B69" s="165" t="s">
        <v>251</v>
      </c>
      <c r="C69" s="166" t="s">
        <v>252</v>
      </c>
      <c r="D69" s="165" t="s">
        <v>253</v>
      </c>
      <c r="E69" s="165" t="s">
        <v>254</v>
      </c>
      <c r="F69" s="165" t="s">
        <v>255</v>
      </c>
      <c r="G69" s="165" t="s">
        <v>256</v>
      </c>
      <c r="H69" s="165" t="s">
        <v>257</v>
      </c>
      <c r="I69" s="165" t="s">
        <v>258</v>
      </c>
      <c r="J69" s="167" t="s">
        <v>259</v>
      </c>
      <c r="K69" s="166" t="s">
        <v>260</v>
      </c>
      <c r="L69" s="165" t="s">
        <v>261</v>
      </c>
      <c r="M69" s="165" t="s">
        <v>261</v>
      </c>
    </row>
    <row r="70" spans="1:12" ht="12.75">
      <c r="A70" s="165" t="s">
        <v>262</v>
      </c>
      <c r="B70" s="165"/>
      <c r="C70" s="166"/>
      <c r="D70" s="165"/>
      <c r="E70" s="165"/>
      <c r="F70" s="165"/>
      <c r="G70" s="165"/>
      <c r="H70" s="165"/>
      <c r="I70" s="165"/>
      <c r="J70" s="167"/>
      <c r="K70" s="166"/>
      <c r="L70" s="165"/>
    </row>
    <row r="71" spans="1:11" ht="12.75">
      <c r="A71" t="s">
        <v>350</v>
      </c>
      <c r="B71" t="s">
        <v>351</v>
      </c>
      <c r="C71" s="169" t="s">
        <v>311</v>
      </c>
      <c r="D71" s="169" t="s">
        <v>332</v>
      </c>
      <c r="E71" s="170">
        <v>128</v>
      </c>
      <c r="F71" s="170"/>
      <c r="G71" s="170"/>
      <c r="H71" s="170"/>
      <c r="I71" s="170"/>
      <c r="J71" s="170"/>
      <c r="K71" s="170"/>
    </row>
    <row r="72" spans="1:11" ht="12.75">
      <c r="A72" t="s">
        <v>350</v>
      </c>
      <c r="B72" t="s">
        <v>352</v>
      </c>
      <c r="C72" s="169" t="s">
        <v>317</v>
      </c>
      <c r="D72" s="169" t="s">
        <v>272</v>
      </c>
      <c r="E72" s="170">
        <v>158</v>
      </c>
      <c r="F72" s="170"/>
      <c r="G72" s="170"/>
      <c r="H72" s="170"/>
      <c r="I72" s="170"/>
      <c r="J72" s="170"/>
      <c r="K72" s="170"/>
    </row>
    <row r="73" spans="1:13" ht="12.75">
      <c r="A73" t="s">
        <v>350</v>
      </c>
      <c r="B73" t="s">
        <v>353</v>
      </c>
      <c r="C73" s="169" t="s">
        <v>317</v>
      </c>
      <c r="D73" s="169" t="s">
        <v>267</v>
      </c>
      <c r="E73" s="170">
        <v>176</v>
      </c>
      <c r="F73" s="170"/>
      <c r="G73" s="170"/>
      <c r="H73" s="170"/>
      <c r="I73" s="170"/>
      <c r="J73" s="170">
        <f>E73-E72</f>
        <v>18</v>
      </c>
      <c r="K73" s="170"/>
      <c r="L73" t="s">
        <v>354</v>
      </c>
      <c r="M73" t="s">
        <v>268</v>
      </c>
    </row>
    <row r="74" spans="1:13" ht="12.75">
      <c r="A74" t="s">
        <v>350</v>
      </c>
      <c r="B74" t="s">
        <v>355</v>
      </c>
      <c r="C74" s="169" t="s">
        <v>317</v>
      </c>
      <c r="D74" s="169" t="s">
        <v>356</v>
      </c>
      <c r="F74" s="170"/>
      <c r="G74" s="170">
        <v>219</v>
      </c>
      <c r="H74" s="170"/>
      <c r="I74" s="170"/>
      <c r="J74" s="170"/>
      <c r="K74" s="170"/>
      <c r="L74" t="s">
        <v>354</v>
      </c>
      <c r="M74" t="s">
        <v>268</v>
      </c>
    </row>
    <row r="75" spans="1:13" ht="12.75">
      <c r="A75" t="s">
        <v>350</v>
      </c>
      <c r="B75" t="s">
        <v>357</v>
      </c>
      <c r="C75" s="169" t="s">
        <v>317</v>
      </c>
      <c r="D75" s="169" t="s">
        <v>267</v>
      </c>
      <c r="F75" s="170"/>
      <c r="G75" s="170"/>
      <c r="H75" s="170">
        <v>299</v>
      </c>
      <c r="I75" s="170"/>
      <c r="J75" s="170"/>
      <c r="K75" s="170">
        <f>H75-E73</f>
        <v>123</v>
      </c>
      <c r="L75" t="s">
        <v>354</v>
      </c>
      <c r="M75" t="s">
        <v>268</v>
      </c>
    </row>
    <row r="76" spans="1:13" ht="12.75">
      <c r="A76" t="s">
        <v>350</v>
      </c>
      <c r="B76" t="s">
        <v>358</v>
      </c>
      <c r="C76" s="169" t="s">
        <v>317</v>
      </c>
      <c r="D76" s="169" t="s">
        <v>267</v>
      </c>
      <c r="F76" s="170"/>
      <c r="G76" s="170"/>
      <c r="H76" s="170">
        <v>278</v>
      </c>
      <c r="I76" s="170"/>
      <c r="J76" s="170"/>
      <c r="K76" s="170">
        <f>H76-E73</f>
        <v>102</v>
      </c>
      <c r="L76" t="s">
        <v>354</v>
      </c>
      <c r="M76" t="s">
        <v>268</v>
      </c>
    </row>
    <row r="77" spans="1:11" ht="12.75">
      <c r="A77" t="s">
        <v>350</v>
      </c>
      <c r="B77" t="s">
        <v>359</v>
      </c>
      <c r="C77" s="169" t="s">
        <v>300</v>
      </c>
      <c r="D77" s="169" t="s">
        <v>360</v>
      </c>
      <c r="E77" s="170">
        <v>289</v>
      </c>
      <c r="F77" s="170"/>
      <c r="G77" s="170"/>
      <c r="H77" s="170"/>
      <c r="I77" s="170"/>
      <c r="J77" s="170"/>
      <c r="K77" s="170"/>
    </row>
    <row r="78" spans="1:13" ht="12.75">
      <c r="A78" t="s">
        <v>350</v>
      </c>
      <c r="B78" t="s">
        <v>361</v>
      </c>
      <c r="C78" s="169" t="s">
        <v>300</v>
      </c>
      <c r="D78" s="169" t="s">
        <v>362</v>
      </c>
      <c r="F78" s="170"/>
      <c r="G78" s="170"/>
      <c r="H78" s="170">
        <v>339</v>
      </c>
      <c r="I78" s="170"/>
      <c r="J78" s="170"/>
      <c r="K78" s="170"/>
      <c r="L78" t="s">
        <v>354</v>
      </c>
      <c r="M78" t="s">
        <v>268</v>
      </c>
    </row>
    <row r="79" spans="1:11" ht="12.75">
      <c r="A79" t="s">
        <v>350</v>
      </c>
      <c r="B79" t="s">
        <v>363</v>
      </c>
      <c r="C79" s="169" t="s">
        <v>304</v>
      </c>
      <c r="D79" s="169" t="s">
        <v>364</v>
      </c>
      <c r="E79" s="170">
        <v>289</v>
      </c>
      <c r="F79" s="170"/>
      <c r="G79" s="170"/>
      <c r="H79" s="170"/>
      <c r="I79" s="170"/>
      <c r="J79" s="170"/>
      <c r="K79" s="170"/>
    </row>
    <row r="80" spans="1:13" ht="12.75">
      <c r="A80" t="s">
        <v>329</v>
      </c>
      <c r="B80" t="s">
        <v>365</v>
      </c>
      <c r="C80" s="169" t="s">
        <v>317</v>
      </c>
      <c r="D80" s="169" t="s">
        <v>267</v>
      </c>
      <c r="F80" s="170"/>
      <c r="G80" s="170"/>
      <c r="H80" s="170"/>
      <c r="I80" s="170">
        <v>399</v>
      </c>
      <c r="J80" s="170"/>
      <c r="K80" s="170"/>
      <c r="M80" t="s">
        <v>268</v>
      </c>
    </row>
    <row r="81" spans="1:13" ht="12.75">
      <c r="A81" t="s">
        <v>329</v>
      </c>
      <c r="B81" t="s">
        <v>366</v>
      </c>
      <c r="C81" s="169">
        <v>65</v>
      </c>
      <c r="D81" s="169" t="s">
        <v>362</v>
      </c>
      <c r="E81" s="170">
        <v>329</v>
      </c>
      <c r="F81" s="170"/>
      <c r="G81" s="170"/>
      <c r="H81" s="170"/>
      <c r="I81" s="170"/>
      <c r="J81" s="170"/>
      <c r="K81" s="170"/>
      <c r="M81" t="s">
        <v>268</v>
      </c>
    </row>
    <row r="82" ht="12.75">
      <c r="A82" s="165" t="s">
        <v>275</v>
      </c>
    </row>
    <row r="83" spans="1:11" ht="12.75">
      <c r="A83" t="s">
        <v>350</v>
      </c>
      <c r="B83" t="s">
        <v>367</v>
      </c>
      <c r="C83" s="169" t="s">
        <v>311</v>
      </c>
      <c r="D83" s="169" t="s">
        <v>281</v>
      </c>
      <c r="E83" s="170">
        <v>126</v>
      </c>
      <c r="F83" s="170"/>
      <c r="G83" s="170"/>
      <c r="H83" s="170"/>
      <c r="I83" s="170"/>
      <c r="J83" s="170"/>
      <c r="K83" s="170"/>
    </row>
    <row r="84" spans="1:11" ht="12.75">
      <c r="A84" t="s">
        <v>350</v>
      </c>
      <c r="B84" t="s">
        <v>368</v>
      </c>
      <c r="C84" s="169" t="s">
        <v>317</v>
      </c>
      <c r="D84" s="169" t="s">
        <v>318</v>
      </c>
      <c r="E84" s="170">
        <v>169</v>
      </c>
      <c r="F84" s="170"/>
      <c r="G84" s="170"/>
      <c r="H84" s="170"/>
      <c r="I84" s="170"/>
      <c r="J84" s="170"/>
      <c r="K84" s="170"/>
    </row>
    <row r="85" spans="1:13" ht="12.75">
      <c r="A85" t="s">
        <v>350</v>
      </c>
      <c r="B85" t="s">
        <v>369</v>
      </c>
      <c r="C85" s="169" t="s">
        <v>317</v>
      </c>
      <c r="D85" s="169" t="s">
        <v>279</v>
      </c>
      <c r="E85" s="170">
        <v>235</v>
      </c>
      <c r="F85" s="170"/>
      <c r="G85" s="170"/>
      <c r="H85" s="170"/>
      <c r="I85" s="170"/>
      <c r="J85" s="170">
        <f>E85-E84</f>
        <v>66</v>
      </c>
      <c r="K85" s="170"/>
      <c r="L85" t="s">
        <v>354</v>
      </c>
      <c r="M85" t="s">
        <v>268</v>
      </c>
    </row>
    <row r="86" spans="1:13" ht="12.75">
      <c r="A86" t="s">
        <v>350</v>
      </c>
      <c r="B86" t="s">
        <v>370</v>
      </c>
      <c r="C86" s="169" t="s">
        <v>317</v>
      </c>
      <c r="D86" s="169" t="s">
        <v>279</v>
      </c>
      <c r="E86" s="170"/>
      <c r="F86" s="170"/>
      <c r="G86" s="170"/>
      <c r="H86" s="170">
        <v>299</v>
      </c>
      <c r="I86" s="170"/>
      <c r="J86" s="170"/>
      <c r="K86" s="170">
        <f>H86-E85</f>
        <v>64</v>
      </c>
      <c r="L86" t="s">
        <v>354</v>
      </c>
      <c r="M86" t="s">
        <v>268</v>
      </c>
    </row>
    <row r="88" spans="1:2" ht="12.75">
      <c r="A88" s="123" t="s">
        <v>371</v>
      </c>
      <c r="B88" s="171"/>
    </row>
    <row r="89" spans="5:9" ht="12.75">
      <c r="E89" s="164" t="s">
        <v>250</v>
      </c>
      <c r="F89" s="164"/>
      <c r="G89" s="164"/>
      <c r="H89" s="164"/>
      <c r="I89" s="164"/>
    </row>
    <row r="90" spans="1:13" ht="38.25">
      <c r="A90" s="165" t="s">
        <v>166</v>
      </c>
      <c r="B90" s="165" t="s">
        <v>251</v>
      </c>
      <c r="C90" s="166" t="s">
        <v>252</v>
      </c>
      <c r="D90" s="165" t="s">
        <v>253</v>
      </c>
      <c r="E90" s="165" t="s">
        <v>254</v>
      </c>
      <c r="F90" s="165" t="s">
        <v>255</v>
      </c>
      <c r="G90" s="165" t="s">
        <v>256</v>
      </c>
      <c r="H90" s="165" t="s">
        <v>257</v>
      </c>
      <c r="I90" s="165" t="s">
        <v>258</v>
      </c>
      <c r="J90" s="167" t="s">
        <v>259</v>
      </c>
      <c r="K90" s="166" t="s">
        <v>260</v>
      </c>
      <c r="L90" s="165" t="s">
        <v>261</v>
      </c>
      <c r="M90" s="165" t="s">
        <v>261</v>
      </c>
    </row>
    <row r="91" spans="1:13" ht="12.75">
      <c r="A91" s="165" t="s">
        <v>262</v>
      </c>
      <c r="B91" s="165"/>
      <c r="C91" s="166"/>
      <c r="D91" s="165"/>
      <c r="E91" s="165"/>
      <c r="F91" s="165"/>
      <c r="G91" s="165"/>
      <c r="H91" s="165"/>
      <c r="I91" s="165"/>
      <c r="J91" s="167"/>
      <c r="K91" s="166"/>
      <c r="L91" s="172"/>
      <c r="M91" s="173"/>
    </row>
    <row r="92" spans="1:13" ht="12.75">
      <c r="A92" t="s">
        <v>372</v>
      </c>
      <c r="B92" s="173">
        <v>316150</v>
      </c>
      <c r="C92" s="169" t="s">
        <v>373</v>
      </c>
      <c r="D92" s="169" t="s">
        <v>356</v>
      </c>
      <c r="E92" s="170"/>
      <c r="F92" s="170">
        <v>180</v>
      </c>
      <c r="G92" s="170"/>
      <c r="H92" s="170"/>
      <c r="I92" s="170"/>
      <c r="J92" s="170"/>
      <c r="K92" s="170"/>
      <c r="L92" s="173"/>
      <c r="M92" s="173"/>
    </row>
    <row r="93" spans="1:13" ht="12.75">
      <c r="A93" t="s">
        <v>372</v>
      </c>
      <c r="B93" s="173" t="s">
        <v>374</v>
      </c>
      <c r="C93" s="169" t="s">
        <v>375</v>
      </c>
      <c r="D93" s="169" t="s">
        <v>332</v>
      </c>
      <c r="E93" s="170"/>
      <c r="F93" s="170">
        <v>200</v>
      </c>
      <c r="G93" s="170"/>
      <c r="H93" s="170"/>
      <c r="I93" s="170"/>
      <c r="J93" s="170"/>
      <c r="K93" s="170"/>
      <c r="L93" s="173"/>
      <c r="M93" s="173"/>
    </row>
    <row r="94" spans="1:13" ht="12.75">
      <c r="A94" t="s">
        <v>372</v>
      </c>
      <c r="B94" s="173" t="s">
        <v>376</v>
      </c>
      <c r="C94" s="169" t="s">
        <v>311</v>
      </c>
      <c r="D94" s="169" t="s">
        <v>332</v>
      </c>
      <c r="E94" s="170"/>
      <c r="F94" s="170">
        <v>190</v>
      </c>
      <c r="G94" s="170"/>
      <c r="H94" s="170"/>
      <c r="I94" s="170"/>
      <c r="J94" s="170"/>
      <c r="K94" s="170"/>
      <c r="L94" s="173"/>
      <c r="M94" s="173"/>
    </row>
    <row r="95" spans="1:13" ht="12.75">
      <c r="A95" t="s">
        <v>372</v>
      </c>
      <c r="B95" s="173" t="s">
        <v>377</v>
      </c>
      <c r="C95" s="169" t="s">
        <v>317</v>
      </c>
      <c r="D95" s="169" t="s">
        <v>332</v>
      </c>
      <c r="E95" s="170"/>
      <c r="F95" s="170">
        <v>210</v>
      </c>
      <c r="G95" s="170"/>
      <c r="H95" s="170"/>
      <c r="I95" s="170"/>
      <c r="J95" s="170"/>
      <c r="K95" s="170"/>
      <c r="L95" s="173"/>
      <c r="M95" s="173"/>
    </row>
    <row r="96" spans="1:13" ht="12.75">
      <c r="A96" t="s">
        <v>372</v>
      </c>
      <c r="B96" s="173" t="s">
        <v>378</v>
      </c>
      <c r="C96" s="169" t="s">
        <v>379</v>
      </c>
      <c r="D96" s="169" t="s">
        <v>265</v>
      </c>
      <c r="E96" s="170"/>
      <c r="F96" s="170">
        <v>220</v>
      </c>
      <c r="G96" s="170"/>
      <c r="H96" s="170"/>
      <c r="I96" s="170"/>
      <c r="J96" s="170"/>
      <c r="K96" s="170"/>
      <c r="L96" s="173"/>
      <c r="M96" s="173"/>
    </row>
    <row r="97" spans="1:13" ht="12.75">
      <c r="A97" t="s">
        <v>372</v>
      </c>
      <c r="B97" s="173" t="s">
        <v>380</v>
      </c>
      <c r="C97" s="169" t="s">
        <v>375</v>
      </c>
      <c r="D97" s="169" t="s">
        <v>356</v>
      </c>
      <c r="E97" s="170"/>
      <c r="G97" s="170">
        <v>260</v>
      </c>
      <c r="H97" s="170"/>
      <c r="I97" s="170"/>
      <c r="J97" s="170"/>
      <c r="K97" s="170"/>
      <c r="L97" s="173"/>
      <c r="M97" s="173"/>
    </row>
    <row r="98" spans="1:13" ht="12.75">
      <c r="A98" t="s">
        <v>372</v>
      </c>
      <c r="B98" s="173" t="s">
        <v>381</v>
      </c>
      <c r="C98" s="169" t="s">
        <v>307</v>
      </c>
      <c r="D98" s="169" t="s">
        <v>362</v>
      </c>
      <c r="E98" s="170"/>
      <c r="G98" s="170">
        <v>220</v>
      </c>
      <c r="H98" s="170"/>
      <c r="I98" s="170"/>
      <c r="J98" s="170"/>
      <c r="K98" s="170"/>
      <c r="L98" s="173"/>
      <c r="M98" s="173"/>
    </row>
    <row r="99" spans="1:13" ht="12.75">
      <c r="A99" t="s">
        <v>372</v>
      </c>
      <c r="B99" s="173" t="s">
        <v>382</v>
      </c>
      <c r="C99" s="169" t="s">
        <v>311</v>
      </c>
      <c r="D99" s="169" t="s">
        <v>383</v>
      </c>
      <c r="E99" s="170"/>
      <c r="G99" s="170">
        <v>250</v>
      </c>
      <c r="H99" s="170"/>
      <c r="I99" s="170"/>
      <c r="J99" s="170"/>
      <c r="K99" s="170"/>
      <c r="L99" s="173"/>
      <c r="M99" s="173"/>
    </row>
    <row r="100" spans="1:13" ht="12.75">
      <c r="A100" t="s">
        <v>372</v>
      </c>
      <c r="B100" s="173" t="s">
        <v>384</v>
      </c>
      <c r="C100" s="169" t="s">
        <v>317</v>
      </c>
      <c r="D100" s="169" t="s">
        <v>356</v>
      </c>
      <c r="E100" s="170"/>
      <c r="F100" s="170"/>
      <c r="G100" s="170">
        <v>280</v>
      </c>
      <c r="H100" s="170"/>
      <c r="I100" s="170"/>
      <c r="J100" s="170"/>
      <c r="K100" s="170"/>
      <c r="L100" s="173"/>
      <c r="M100" s="173"/>
    </row>
    <row r="101" spans="1:13" ht="12.75">
      <c r="A101" t="s">
        <v>372</v>
      </c>
      <c r="B101" s="173" t="s">
        <v>385</v>
      </c>
      <c r="C101" s="169" t="s">
        <v>300</v>
      </c>
      <c r="D101" s="169" t="s">
        <v>332</v>
      </c>
      <c r="E101" s="170"/>
      <c r="F101" s="170"/>
      <c r="G101" s="170">
        <v>340</v>
      </c>
      <c r="H101" s="170"/>
      <c r="I101" s="170"/>
      <c r="J101" s="170"/>
      <c r="K101" s="170"/>
      <c r="L101" s="173"/>
      <c r="M101" s="173"/>
    </row>
    <row r="102" spans="1:13" ht="12.75">
      <c r="A102" t="s">
        <v>372</v>
      </c>
      <c r="B102" s="173" t="s">
        <v>386</v>
      </c>
      <c r="C102" s="169" t="s">
        <v>304</v>
      </c>
      <c r="D102" s="169" t="s">
        <v>332</v>
      </c>
      <c r="E102" s="170"/>
      <c r="F102" s="170"/>
      <c r="G102" s="170">
        <v>380</v>
      </c>
      <c r="H102" s="170"/>
      <c r="I102" s="170"/>
      <c r="J102" s="170"/>
      <c r="K102" s="170"/>
      <c r="L102" s="173"/>
      <c r="M102" s="173"/>
    </row>
    <row r="103" spans="1:13" ht="12.75">
      <c r="A103" t="s">
        <v>372</v>
      </c>
      <c r="B103" s="173" t="s">
        <v>387</v>
      </c>
      <c r="C103" s="169" t="s">
        <v>311</v>
      </c>
      <c r="D103" s="169" t="s">
        <v>267</v>
      </c>
      <c r="E103" s="170"/>
      <c r="F103" s="170"/>
      <c r="H103" s="170">
        <v>300</v>
      </c>
      <c r="I103" s="170"/>
      <c r="J103" s="170"/>
      <c r="K103" s="170"/>
      <c r="L103" s="173"/>
      <c r="M103" t="s">
        <v>268</v>
      </c>
    </row>
    <row r="104" spans="1:13" ht="12.75">
      <c r="A104" t="s">
        <v>372</v>
      </c>
      <c r="B104" s="173" t="s">
        <v>388</v>
      </c>
      <c r="C104" s="169" t="s">
        <v>317</v>
      </c>
      <c r="D104" s="169" t="s">
        <v>267</v>
      </c>
      <c r="E104" s="170"/>
      <c r="F104" s="170"/>
      <c r="H104" s="170">
        <v>320</v>
      </c>
      <c r="I104" s="170"/>
      <c r="J104" s="170"/>
      <c r="K104" s="170"/>
      <c r="L104" s="173"/>
      <c r="M104" t="s">
        <v>268</v>
      </c>
    </row>
    <row r="105" spans="1:13" ht="12.75">
      <c r="A105" t="s">
        <v>372</v>
      </c>
      <c r="B105" s="173" t="s">
        <v>389</v>
      </c>
      <c r="C105" s="169" t="s">
        <v>300</v>
      </c>
      <c r="D105" s="169" t="s">
        <v>362</v>
      </c>
      <c r="E105" s="170"/>
      <c r="F105" s="170"/>
      <c r="H105" s="170">
        <v>390</v>
      </c>
      <c r="I105" s="170"/>
      <c r="J105" s="170"/>
      <c r="K105" s="170"/>
      <c r="L105" s="173"/>
      <c r="M105" t="s">
        <v>268</v>
      </c>
    </row>
    <row r="106" spans="1:13" ht="12.75">
      <c r="A106" t="s">
        <v>372</v>
      </c>
      <c r="B106" s="173" t="s">
        <v>390</v>
      </c>
      <c r="C106" s="169" t="s">
        <v>304</v>
      </c>
      <c r="D106" s="169" t="s">
        <v>362</v>
      </c>
      <c r="E106" s="170"/>
      <c r="F106" s="170"/>
      <c r="H106" s="170">
        <v>430</v>
      </c>
      <c r="I106" s="170"/>
      <c r="J106" s="170"/>
      <c r="K106" s="170"/>
      <c r="L106" s="173"/>
      <c r="M106" t="s">
        <v>268</v>
      </c>
    </row>
    <row r="107" spans="1:13" ht="12.75">
      <c r="A107" s="165" t="s">
        <v>275</v>
      </c>
      <c r="B107" s="173"/>
      <c r="L107" s="173"/>
      <c r="M107" s="173"/>
    </row>
    <row r="108" spans="1:13" ht="12.75">
      <c r="A108" t="s">
        <v>372</v>
      </c>
      <c r="B108" s="173" t="s">
        <v>391</v>
      </c>
      <c r="C108" s="169" t="s">
        <v>311</v>
      </c>
      <c r="D108" s="169" t="s">
        <v>392</v>
      </c>
      <c r="E108" s="170"/>
      <c r="F108" s="170"/>
      <c r="G108" s="170"/>
      <c r="H108" s="170">
        <v>380</v>
      </c>
      <c r="I108" s="170"/>
      <c r="J108" s="170"/>
      <c r="K108" s="170"/>
      <c r="L108" s="173"/>
      <c r="M108" t="s">
        <v>268</v>
      </c>
    </row>
    <row r="109" spans="1:13" ht="12.75">
      <c r="A109" t="s">
        <v>372</v>
      </c>
      <c r="B109" s="173" t="s">
        <v>393</v>
      </c>
      <c r="C109" s="169" t="s">
        <v>317</v>
      </c>
      <c r="D109" s="169" t="s">
        <v>279</v>
      </c>
      <c r="E109" s="170"/>
      <c r="F109" s="170"/>
      <c r="G109" s="170"/>
      <c r="H109" s="170">
        <v>430</v>
      </c>
      <c r="I109" s="170"/>
      <c r="J109" s="170"/>
      <c r="K109" s="170"/>
      <c r="L109" s="173"/>
      <c r="M109" t="s">
        <v>268</v>
      </c>
    </row>
    <row r="110" spans="1:11" ht="12.75">
      <c r="A110" t="s">
        <v>372</v>
      </c>
      <c r="B110" s="173" t="s">
        <v>394</v>
      </c>
      <c r="C110" s="169" t="s">
        <v>324</v>
      </c>
      <c r="D110" s="169" t="s">
        <v>395</v>
      </c>
      <c r="E110" s="170"/>
      <c r="F110" s="170"/>
      <c r="G110" s="170"/>
      <c r="H110" s="170">
        <v>500</v>
      </c>
      <c r="I110" s="170"/>
      <c r="J110" s="170"/>
      <c r="K110" s="170"/>
    </row>
    <row r="111" spans="1:11" ht="12.75">
      <c r="A111" t="s">
        <v>372</v>
      </c>
      <c r="B111" s="173" t="s">
        <v>396</v>
      </c>
      <c r="C111" s="169" t="s">
        <v>373</v>
      </c>
      <c r="D111" s="169" t="s">
        <v>285</v>
      </c>
      <c r="E111" s="170"/>
      <c r="F111" s="170">
        <v>200</v>
      </c>
      <c r="G111" s="170"/>
      <c r="H111" s="170"/>
      <c r="I111" s="170"/>
      <c r="J111" s="170"/>
      <c r="K111" s="170"/>
    </row>
    <row r="112" spans="1:11" ht="12.75">
      <c r="A112" t="s">
        <v>372</v>
      </c>
      <c r="B112" s="173" t="s">
        <v>397</v>
      </c>
      <c r="C112" s="169" t="s">
        <v>375</v>
      </c>
      <c r="D112" s="169" t="s">
        <v>318</v>
      </c>
      <c r="E112" s="170"/>
      <c r="F112" s="170">
        <v>220</v>
      </c>
      <c r="G112" s="170"/>
      <c r="H112" s="170"/>
      <c r="I112" s="170"/>
      <c r="J112" s="170"/>
      <c r="K112" s="170"/>
    </row>
    <row r="113" spans="1:11" ht="12.75">
      <c r="A113" t="s">
        <v>372</v>
      </c>
      <c r="B113" s="173" t="s">
        <v>398</v>
      </c>
      <c r="C113" s="169" t="s">
        <v>307</v>
      </c>
      <c r="D113" s="169" t="s">
        <v>277</v>
      </c>
      <c r="E113" s="170"/>
      <c r="F113" s="170">
        <v>190</v>
      </c>
      <c r="G113" s="170"/>
      <c r="H113" s="170"/>
      <c r="I113" s="170"/>
      <c r="J113" s="170"/>
      <c r="K113" s="170"/>
    </row>
    <row r="114" spans="1:11" ht="12.75">
      <c r="A114" t="s">
        <v>372</v>
      </c>
      <c r="B114" s="173" t="s">
        <v>399</v>
      </c>
      <c r="C114" s="169" t="s">
        <v>311</v>
      </c>
      <c r="D114" s="169" t="s">
        <v>281</v>
      </c>
      <c r="E114" s="170"/>
      <c r="F114" s="170">
        <v>210</v>
      </c>
      <c r="G114" s="170"/>
      <c r="H114" s="170"/>
      <c r="I114" s="170"/>
      <c r="J114" s="170"/>
      <c r="K114" s="170"/>
    </row>
    <row r="115" spans="1:11" ht="12.75">
      <c r="A115" t="s">
        <v>372</v>
      </c>
      <c r="B115" s="173" t="s">
        <v>400</v>
      </c>
      <c r="C115" s="169" t="s">
        <v>317</v>
      </c>
      <c r="D115" s="169" t="s">
        <v>318</v>
      </c>
      <c r="E115" s="170"/>
      <c r="F115" s="170">
        <v>250</v>
      </c>
      <c r="G115" s="170"/>
      <c r="H115" s="170"/>
      <c r="I115" s="170"/>
      <c r="J115" s="170"/>
      <c r="K115" s="170"/>
    </row>
    <row r="116" ht="12.75">
      <c r="B116" s="173"/>
    </row>
    <row r="117" ht="12.75">
      <c r="B117" s="173"/>
    </row>
  </sheetData>
  <printOptions gridLines="1"/>
  <pageMargins left="0.75" right="0.75" top="1" bottom="1" header="0.5" footer="0.5"/>
  <pageSetup fitToHeight="3" fitToWidth="1" orientation="landscape" scale="7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Domestic Water Heating</dc:title>
  <dc:subject>Deemed Savings Analysis</dc:subject>
  <dc:creator>Tom Eckman</dc:creator>
  <cp:keywords/>
  <dc:description/>
  <cp:lastModifiedBy>Tom Eckman</cp:lastModifiedBy>
  <cp:lastPrinted>2002-02-21T18:03:04Z</cp:lastPrinted>
  <dcterms:created xsi:type="dcterms:W3CDTF">1998-09-25T20:50:37Z</dcterms:created>
  <dcterms:modified xsi:type="dcterms:W3CDTF">2003-01-17T19:26:26Z</dcterms:modified>
  <cp:category/>
  <cp:version/>
  <cp:contentType/>
  <cp:contentStatus/>
</cp:coreProperties>
</file>