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70" windowWidth="15105" windowHeight="8865" firstSheet="1" activeTab="1"/>
  </bookViews>
  <sheets>
    <sheet name="Summary of Residential Units" sheetId="1" r:id="rId1"/>
    <sheet name="Housing Units by Climate Zone" sheetId="2" r:id="rId2"/>
    <sheet name="Total Housing Units" sheetId="3" r:id="rId3"/>
    <sheet name="Pre-1980 Space Heating Unit" sheetId="4" r:id="rId4"/>
    <sheet name="Post79 - Pre93 Units" sheetId="5" r:id="rId5"/>
    <sheet name="Existing Space Heating Units" sheetId="6" r:id="rId6"/>
    <sheet name="New Space Heating Units" sheetId="7" r:id="rId7"/>
    <sheet name="DHW &amp; Appliance Units" sheetId="8" r:id="rId8"/>
  </sheets>
  <externalReferences>
    <externalReference r:id="rId11"/>
    <externalReference r:id="rId12"/>
    <externalReference r:id="rId13"/>
  </externalReferences>
  <definedNames>
    <definedName name="solver_adj" localSheetId="3" hidden="1">'Pre-1980 Space Heating Unit'!$C$30</definedName>
    <definedName name="solver_adj" localSheetId="2" hidden="1">'Total Housing Units'!$C$80</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'Pre-1980 Space Heating Unit'!$AC$30</definedName>
    <definedName name="solver_opt" localSheetId="2" hidden="1">'Total Housing Units'!$AD$80</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3</definedName>
    <definedName name="solver_typ" localSheetId="2" hidden="1">3</definedName>
    <definedName name="solver_val" localSheetId="3" hidden="1">152696</definedName>
    <definedName name="solver_val" localSheetId="2" hidden="1">391032</definedName>
  </definedNames>
  <calcPr fullCalcOnLoad="1"/>
</workbook>
</file>

<file path=xl/comments3.xml><?xml version="1.0" encoding="utf-8"?>
<comments xmlns="http://schemas.openxmlformats.org/spreadsheetml/2006/main">
  <authors>
    <author>Tom Eckman</author>
  </authors>
  <commentList>
    <comment ref="C6" authorId="0">
      <text>
        <r>
          <rPr>
            <b/>
            <sz val="8"/>
            <rFont val="Tahoma"/>
            <family val="0"/>
          </rPr>
          <t>Tom Eckman:</t>
        </r>
        <r>
          <rPr>
            <sz val="8"/>
            <rFont val="Tahoma"/>
            <family val="0"/>
          </rPr>
          <t xml:space="preserve">
From residential sector load forecast. Assumed for 2000 - 2025 period.</t>
        </r>
      </text>
    </comment>
    <comment ref="C9" authorId="0">
      <text>
        <r>
          <rPr>
            <b/>
            <sz val="8"/>
            <rFont val="Tahoma"/>
            <family val="0"/>
          </rPr>
          <t>Tom Eckman:</t>
        </r>
        <r>
          <rPr>
            <sz val="8"/>
            <rFont val="Tahoma"/>
            <family val="0"/>
          </rPr>
          <t xml:space="preserve">
Source: Residential household forecast. Rate assumed for 2000 - 2025 period.</t>
        </r>
      </text>
    </comment>
    <comment ref="B10" authorId="0">
      <text>
        <r>
          <rPr>
            <b/>
            <sz val="8"/>
            <rFont val="Tahoma"/>
            <family val="0"/>
          </rPr>
          <t>Tom Eckman:</t>
        </r>
        <r>
          <rPr>
            <sz val="8"/>
            <rFont val="Tahoma"/>
            <family val="0"/>
          </rPr>
          <t xml:space="preserve">
Source: 2000 Census</t>
        </r>
      </text>
    </comment>
    <comment ref="B31" authorId="0">
      <text>
        <r>
          <rPr>
            <b/>
            <sz val="8"/>
            <rFont val="Tahoma"/>
            <family val="0"/>
          </rPr>
          <t>Tom Eckman:</t>
        </r>
        <r>
          <rPr>
            <sz val="8"/>
            <rFont val="Tahoma"/>
            <family val="0"/>
          </rPr>
          <t xml:space="preserve">
Source: 2000 Census</t>
        </r>
      </text>
    </comment>
    <comment ref="D4" authorId="0">
      <text>
        <r>
          <rPr>
            <b/>
            <sz val="10"/>
            <rFont val="Tahoma"/>
            <family val="0"/>
          </rPr>
          <t>Tom Eckman:</t>
        </r>
        <r>
          <rPr>
            <sz val="10"/>
            <rFont val="Tahoma"/>
            <family val="0"/>
          </rPr>
          <t xml:space="preserve">
2000 Sales data are from EIA and include all of Montana. Sales witih just Western Montana = 6851 aMW, or </t>
        </r>
      </text>
    </comment>
    <comment ref="D9" authorId="0">
      <text>
        <r>
          <rPr>
            <b/>
            <sz val="10"/>
            <rFont val="Tahoma"/>
            <family val="0"/>
          </rPr>
          <t>Tom Eckman:</t>
        </r>
        <r>
          <rPr>
            <sz val="10"/>
            <rFont val="Tahoma"/>
            <family val="0"/>
          </rPr>
          <t xml:space="preserve">
Total Occupied Households, inlcuding all of Montana. EIA reports to Residetial Customer accounts = 4,796,054 or within 1% of census data</t>
        </r>
      </text>
    </comment>
    <comment ref="F2" authorId="0">
      <text>
        <r>
          <rPr>
            <b/>
            <sz val="10"/>
            <rFont val="Tahoma"/>
            <family val="0"/>
          </rPr>
          <t>Tom Eckman:</t>
        </r>
        <r>
          <rPr>
            <sz val="10"/>
            <rFont val="Tahoma"/>
            <family val="0"/>
          </rPr>
          <t xml:space="preserve">
Ratio of Census occupied households to EIA Res. Customer Accts.</t>
        </r>
      </text>
    </comment>
    <comment ref="B16" authorId="0">
      <text>
        <r>
          <rPr>
            <b/>
            <sz val="8"/>
            <rFont val="Tahoma"/>
            <family val="0"/>
          </rPr>
          <t>Tom Eckman:</t>
        </r>
        <r>
          <rPr>
            <sz val="8"/>
            <rFont val="Tahoma"/>
            <family val="0"/>
          </rPr>
          <t xml:space="preserve">
Source: 2000 Census</t>
        </r>
      </text>
    </comment>
    <comment ref="B54" authorId="0">
      <text>
        <r>
          <rPr>
            <b/>
            <sz val="8"/>
            <rFont val="Tahoma"/>
            <family val="0"/>
          </rPr>
          <t>Tom Eckman:</t>
        </r>
        <r>
          <rPr>
            <sz val="8"/>
            <rFont val="Tahoma"/>
            <family val="0"/>
          </rPr>
          <t xml:space="preserve">
Source: 2000 Census</t>
        </r>
      </text>
    </comment>
    <comment ref="C77" authorId="0">
      <text>
        <r>
          <rPr>
            <b/>
            <sz val="8"/>
            <rFont val="Tahoma"/>
            <family val="0"/>
          </rPr>
          <t>Tom Eckman:</t>
        </r>
        <r>
          <rPr>
            <sz val="8"/>
            <rFont val="Tahoma"/>
            <family val="0"/>
          </rPr>
          <t xml:space="preserve">
Source: Residential household forecast. Rate assumed for 2000 - 2025 period.</t>
        </r>
      </text>
    </comment>
    <comment ref="D77" authorId="0">
      <text>
        <r>
          <rPr>
            <b/>
            <sz val="10"/>
            <rFont val="Tahoma"/>
            <family val="0"/>
          </rPr>
          <t>Tom Eckman:</t>
        </r>
        <r>
          <rPr>
            <sz val="10"/>
            <rFont val="Tahoma"/>
            <family val="0"/>
          </rPr>
          <t xml:space="preserve">
Total Pre-1980 Households Existing in 2000 based on Census data</t>
        </r>
      </text>
    </comment>
    <comment ref="B78" authorId="0">
      <text>
        <r>
          <rPr>
            <b/>
            <sz val="8"/>
            <rFont val="Tahoma"/>
            <family val="0"/>
          </rPr>
          <t>Tom Eckman:</t>
        </r>
        <r>
          <rPr>
            <sz val="8"/>
            <rFont val="Tahoma"/>
            <family val="0"/>
          </rPr>
          <t xml:space="preserve">
Source: 2000 Census</t>
        </r>
      </text>
    </comment>
  </commentList>
</comments>
</file>

<file path=xl/comments4.xml><?xml version="1.0" encoding="utf-8"?>
<comments xmlns="http://schemas.openxmlformats.org/spreadsheetml/2006/main">
  <authors>
    <author>Tom Eckman</author>
  </authors>
  <commentList>
    <comment ref="B3" authorId="0">
      <text>
        <r>
          <rPr>
            <b/>
            <sz val="10"/>
            <rFont val="Tahoma"/>
            <family val="0"/>
          </rPr>
          <t>Tom Eckman:</t>
        </r>
        <r>
          <rPr>
            <sz val="10"/>
            <rFont val="Tahoma"/>
            <family val="0"/>
          </rPr>
          <t xml:space="preserve">
System Type Based on PNRes Data. Fuel shares based on 2000 Census for fuel shares</t>
        </r>
      </text>
    </comment>
  </commentList>
</comments>
</file>

<file path=xl/comments5.xml><?xml version="1.0" encoding="utf-8"?>
<comments xmlns="http://schemas.openxmlformats.org/spreadsheetml/2006/main">
  <authors>
    <author>Tom Eckman</author>
  </authors>
  <commentList>
    <comment ref="B8" authorId="0">
      <text>
        <r>
          <rPr>
            <b/>
            <sz val="10"/>
            <rFont val="Tahoma"/>
            <family val="0"/>
          </rPr>
          <t>Tom Eckman:</t>
        </r>
        <r>
          <rPr>
            <sz val="10"/>
            <rFont val="Tahoma"/>
            <family val="0"/>
          </rPr>
          <t xml:space="preserve">
System Type Based on PNRes Data. Fuel shares based on 2000 Census for fuel shares</t>
        </r>
      </text>
    </comment>
    <comment ref="AE14" authorId="0">
      <text>
        <r>
          <rPr>
            <b/>
            <sz val="8"/>
            <rFont val="Tahoma"/>
            <family val="0"/>
          </rPr>
          <t>Tom Eckman:</t>
        </r>
        <r>
          <rPr>
            <sz val="8"/>
            <rFont val="Tahoma"/>
            <family val="0"/>
          </rPr>
          <t xml:space="preserve">
Excluding "Other"</t>
        </r>
      </text>
    </comment>
    <comment ref="AE27" authorId="0">
      <text>
        <r>
          <rPr>
            <b/>
            <sz val="8"/>
            <rFont val="Tahoma"/>
            <family val="0"/>
          </rPr>
          <t>Tom Eckman:</t>
        </r>
        <r>
          <rPr>
            <sz val="8"/>
            <rFont val="Tahoma"/>
            <family val="0"/>
          </rPr>
          <t xml:space="preserve">
Excluding "Other"</t>
        </r>
      </text>
    </comment>
    <comment ref="AE40" authorId="0">
      <text>
        <r>
          <rPr>
            <b/>
            <sz val="8"/>
            <rFont val="Tahoma"/>
            <family val="0"/>
          </rPr>
          <t>Tom Eckman:</t>
        </r>
        <r>
          <rPr>
            <sz val="8"/>
            <rFont val="Tahoma"/>
            <family val="0"/>
          </rPr>
          <t xml:space="preserve">
Excluding "Other"</t>
        </r>
      </text>
    </comment>
  </commentList>
</comments>
</file>

<file path=xl/comments6.xml><?xml version="1.0" encoding="utf-8"?>
<comments xmlns="http://schemas.openxmlformats.org/spreadsheetml/2006/main">
  <authors>
    <author>Tom Eckman</author>
  </authors>
  <commentList>
    <comment ref="B3" authorId="0">
      <text>
        <r>
          <rPr>
            <b/>
            <sz val="10"/>
            <rFont val="Tahoma"/>
            <family val="0"/>
          </rPr>
          <t>Tom Eckman:</t>
        </r>
        <r>
          <rPr>
            <sz val="10"/>
            <rFont val="Tahoma"/>
            <family val="0"/>
          </rPr>
          <t xml:space="preserve">
System Type Based on PNRes Data. Fuel shares based on 2000 Census for fuel shares</t>
        </r>
      </text>
    </comment>
    <comment ref="C3" authorId="0">
      <text>
        <r>
          <rPr>
            <b/>
            <sz val="8"/>
            <rFont val="Tahoma"/>
            <family val="0"/>
          </rPr>
          <t>Tom Eckman:</t>
        </r>
        <r>
          <rPr>
            <sz val="8"/>
            <rFont val="Tahoma"/>
            <family val="0"/>
          </rPr>
          <t xml:space="preserve">
Excluding "Other"</t>
        </r>
      </text>
    </comment>
  </commentList>
</comments>
</file>

<file path=xl/comments7.xml><?xml version="1.0" encoding="utf-8"?>
<comments xmlns="http://schemas.openxmlformats.org/spreadsheetml/2006/main">
  <authors>
    <author>Tom Eckman</author>
  </authors>
  <commentList>
    <comment ref="B3" authorId="0">
      <text>
        <r>
          <rPr>
            <b/>
            <sz val="10"/>
            <rFont val="Tahoma"/>
            <family val="0"/>
          </rPr>
          <t>Tom Eckman:</t>
        </r>
        <r>
          <rPr>
            <sz val="10"/>
            <rFont val="Tahoma"/>
            <family val="0"/>
          </rPr>
          <t xml:space="preserve">
System Type Based on PNRes Data. Fuel shares based on 2000 Census for fuel shares</t>
        </r>
      </text>
    </comment>
  </commentList>
</comments>
</file>

<file path=xl/comments8.xml><?xml version="1.0" encoding="utf-8"?>
<comments xmlns="http://schemas.openxmlformats.org/spreadsheetml/2006/main">
  <authors>
    <author>Tom Eckman</author>
  </authors>
  <commentList>
    <comment ref="B23" authorId="0">
      <text>
        <r>
          <rPr>
            <b/>
            <sz val="8"/>
            <rFont val="Tahoma"/>
            <family val="0"/>
          </rPr>
          <t>Tom Eckman:</t>
        </r>
        <r>
          <rPr>
            <sz val="8"/>
            <rFont val="Tahoma"/>
            <family val="0"/>
          </rPr>
          <t xml:space="preserve">
Source: PNRES92 and Residential Customer Characteristics survey data from SCL, PSE, PGE, IPC, MDU, NWEnergy, Avista &amp; PacifiCorp. Weighted by customer count. Appliance saturactions are assumed equal across all housing types. While this is incorrect, it does not matter for the purpose of supply assessement so long as the total saturation is the same.</t>
        </r>
      </text>
    </comment>
    <comment ref="AD94" authorId="0">
      <text>
        <r>
          <rPr>
            <b/>
            <sz val="8"/>
            <rFont val="Tahoma"/>
            <family val="0"/>
          </rPr>
          <t>Tom Eckman:</t>
        </r>
        <r>
          <rPr>
            <sz val="8"/>
            <rFont val="Tahoma"/>
            <family val="0"/>
          </rPr>
          <t xml:space="preserve">
Units that are installed after 2001, but which have lifetimes shorter than forecast period.</t>
        </r>
      </text>
    </comment>
    <comment ref="AD59" authorId="0">
      <text>
        <r>
          <rPr>
            <b/>
            <sz val="8"/>
            <rFont val="Tahoma"/>
            <family val="0"/>
          </rPr>
          <t>Tom Eckman:</t>
        </r>
        <r>
          <rPr>
            <sz val="8"/>
            <rFont val="Tahoma"/>
            <family val="0"/>
          </rPr>
          <t xml:space="preserve">
Units added in new construction</t>
        </r>
      </text>
    </comment>
    <comment ref="AE23" authorId="0">
      <text>
        <r>
          <rPr>
            <b/>
            <sz val="8"/>
            <rFont val="Tahoma"/>
            <family val="0"/>
          </rPr>
          <t>Tom Eckman:</t>
        </r>
        <r>
          <rPr>
            <sz val="8"/>
            <rFont val="Tahoma"/>
            <family val="0"/>
          </rPr>
          <t xml:space="preserve">
Units added in new construction</t>
        </r>
      </text>
    </comment>
    <comment ref="AF23" authorId="0">
      <text>
        <r>
          <rPr>
            <b/>
            <sz val="8"/>
            <rFont val="Tahoma"/>
            <family val="0"/>
          </rPr>
          <t>Tom Eckman:</t>
        </r>
        <r>
          <rPr>
            <sz val="8"/>
            <rFont val="Tahoma"/>
            <family val="0"/>
          </rPr>
          <t xml:space="preserve">
Units that are installed after 2001, but which have lifetimes shorter than forecast period.</t>
        </r>
      </text>
    </comment>
    <comment ref="AD23" authorId="0">
      <text>
        <r>
          <rPr>
            <b/>
            <sz val="8"/>
            <rFont val="Tahoma"/>
            <family val="0"/>
          </rPr>
          <t>Tom Eckman:</t>
        </r>
        <r>
          <rPr>
            <sz val="8"/>
            <rFont val="Tahoma"/>
            <family val="0"/>
          </rPr>
          <t xml:space="preserve">
Units added to replace units that are retired after useful life.</t>
        </r>
      </text>
    </comment>
    <comment ref="AG23" authorId="0">
      <text>
        <r>
          <rPr>
            <b/>
            <sz val="8"/>
            <rFont val="Tahoma"/>
            <family val="0"/>
          </rPr>
          <t>Tom Eckman:</t>
        </r>
        <r>
          <rPr>
            <sz val="8"/>
            <rFont val="Tahoma"/>
            <family val="0"/>
          </rPr>
          <t xml:space="preserve">
Total number of units eligible for efficiency improvements due to stock turnover and new additions</t>
        </r>
      </text>
    </comment>
    <comment ref="C23" authorId="0">
      <text>
        <r>
          <rPr>
            <b/>
            <sz val="8"/>
            <rFont val="Tahoma"/>
            <family val="0"/>
          </rPr>
          <t>Tom Eckman:</t>
        </r>
        <r>
          <rPr>
            <sz val="8"/>
            <rFont val="Tahoma"/>
            <family val="0"/>
          </rPr>
          <t xml:space="preserve">
Source : RTF assumptions</t>
        </r>
      </text>
    </comment>
  </commentList>
</comments>
</file>

<file path=xl/sharedStrings.xml><?xml version="1.0" encoding="utf-8"?>
<sst xmlns="http://schemas.openxmlformats.org/spreadsheetml/2006/main" count="837" uniqueCount="178">
  <si>
    <t>Residential Single Family</t>
  </si>
  <si>
    <t>Residential Multi-Family</t>
  </si>
  <si>
    <t>Total Residential Sales (MWH)</t>
  </si>
  <si>
    <t>Year</t>
  </si>
  <si>
    <t>Single Family</t>
  </si>
  <si>
    <t>Total</t>
  </si>
  <si>
    <t>Oregon</t>
  </si>
  <si>
    <t>Washington</t>
  </si>
  <si>
    <t>Idaho</t>
  </si>
  <si>
    <t>Heat Pump</t>
  </si>
  <si>
    <t>Wood</t>
  </si>
  <si>
    <t>Manufactured Housing</t>
  </si>
  <si>
    <t>Market Share</t>
  </si>
  <si>
    <t>Total Residential</t>
  </si>
  <si>
    <t>Electric Water Heating</t>
  </si>
  <si>
    <t>Refrigerator</t>
  </si>
  <si>
    <t>Freezer</t>
  </si>
  <si>
    <t>Clothes Washer</t>
  </si>
  <si>
    <t>Electric Dryer</t>
  </si>
  <si>
    <t>Dishwasher</t>
  </si>
  <si>
    <t>Electric Oven</t>
  </si>
  <si>
    <t>Residential Multi-Family - Apartments &amp; Condos</t>
  </si>
  <si>
    <t>Room A/C</t>
  </si>
  <si>
    <t>New Construction</t>
  </si>
  <si>
    <t>Appliance Saturation</t>
  </si>
  <si>
    <t>Central AC</t>
  </si>
  <si>
    <t>Central Air Conditioning</t>
  </si>
  <si>
    <t>Space Conditioning System &amp; Fuel by Housing Type</t>
  </si>
  <si>
    <t>Replacements</t>
  </si>
  <si>
    <t>Measure Life</t>
  </si>
  <si>
    <t>Annual Replacements (% of Stock)</t>
  </si>
  <si>
    <t>Existing Construction</t>
  </si>
  <si>
    <t>Existing Stock</t>
  </si>
  <si>
    <t>Replacement Units</t>
  </si>
  <si>
    <t>Replacements of New Units</t>
  </si>
  <si>
    <t>Growth Rate</t>
  </si>
  <si>
    <t>User Inputs</t>
  </si>
  <si>
    <t>Calculated</t>
  </si>
  <si>
    <t>Base Year =&gt;</t>
  </si>
  <si>
    <t>Total Units</t>
  </si>
  <si>
    <t>New Units</t>
  </si>
  <si>
    <t>New Additions</t>
  </si>
  <si>
    <t>Replacements of New Additions</t>
  </si>
  <si>
    <t>Base Year</t>
  </si>
  <si>
    <t>Existing</t>
  </si>
  <si>
    <t>PNW Residential Sector Load Forecast</t>
  </si>
  <si>
    <t>Total Residential Households (Customers)</t>
  </si>
  <si>
    <t>Use/Household (kWh/yr)</t>
  </si>
  <si>
    <t>Market Share in 2000</t>
  </si>
  <si>
    <t>Total Existing Housing</t>
  </si>
  <si>
    <t>Existing Housing by State</t>
  </si>
  <si>
    <t>Montana</t>
  </si>
  <si>
    <t>PNW Residential Water Heating and Appliance Units</t>
  </si>
  <si>
    <t>Total in 2025</t>
  </si>
  <si>
    <t>Total Residential Sales (aMW)</t>
  </si>
  <si>
    <t>PNW</t>
  </si>
  <si>
    <t>Total New Construction</t>
  </si>
  <si>
    <t>Existing Housing (Pre-2000)</t>
  </si>
  <si>
    <t>Multifamily</t>
  </si>
  <si>
    <t>Manufactured Home</t>
  </si>
  <si>
    <t>Demolition Rate</t>
  </si>
  <si>
    <t>New Housing by State</t>
  </si>
  <si>
    <t>New Housing</t>
  </si>
  <si>
    <t>Total 2001-2025</t>
  </si>
  <si>
    <t>Remaining Units in 2025</t>
  </si>
  <si>
    <t>Residential MultiFamily</t>
  </si>
  <si>
    <t>New Additions 2001- 2025</t>
  </si>
  <si>
    <t>Natural Gas FAF</t>
  </si>
  <si>
    <t>Natural Gas Other</t>
  </si>
  <si>
    <t>Oil FAF</t>
  </si>
  <si>
    <t>Oil Other</t>
  </si>
  <si>
    <t>Electric FAF</t>
  </si>
  <si>
    <t>Electric Other</t>
  </si>
  <si>
    <t>Baseboard/Wall/Radiant</t>
  </si>
  <si>
    <t>PNW Existing Residential Space Heating Units</t>
  </si>
  <si>
    <t>Total Remaining in 2025</t>
  </si>
  <si>
    <t>Assumed</t>
  </si>
  <si>
    <t>Total Housing Units</t>
  </si>
  <si>
    <t>Units Installed Through New Construction</t>
  </si>
  <si>
    <t xml:space="preserve">Units Installed to Replace of New Construction Units after useful life </t>
  </si>
  <si>
    <t>Units Installed to Replace Existing Units at the end of their expected life</t>
  </si>
  <si>
    <t>Total All Dwelling Types - Space Conditioning System by Fuel Type</t>
  </si>
  <si>
    <t>Total All Dwelling Types - Electric Water Heater and Major Appliances</t>
  </si>
  <si>
    <t>Residential Single Family - Electric Water Heater and  Major Appliances</t>
  </si>
  <si>
    <t>Residential MultiFamily - Electric Water Heater and Major Appliances</t>
  </si>
  <si>
    <t>Manufactured Housing - Electric Water Heater and Major Appliances</t>
  </si>
  <si>
    <t>EIA Cust. Cnt.</t>
  </si>
  <si>
    <t>Market Share in 2025</t>
  </si>
  <si>
    <t>PNW New Residential Space Heating Units</t>
  </si>
  <si>
    <t>Single Family Market Share</t>
  </si>
  <si>
    <t>MultiFamily Market Share</t>
  </si>
  <si>
    <t>Manufactured Home Market Share</t>
  </si>
  <si>
    <t>Weighted Average Market Share</t>
  </si>
  <si>
    <t>Pre-2001 Occupied Units</t>
  </si>
  <si>
    <t>Occupied Units</t>
  </si>
  <si>
    <t>Total Households in 2025</t>
  </si>
  <si>
    <t>Existing Housing (Pre-1980)</t>
  </si>
  <si>
    <t>Pre-1980 Occupied Units in 2025</t>
  </si>
  <si>
    <t>Space Conditioning System &amp; Fuel by Housing Type &amp; Vintage</t>
  </si>
  <si>
    <t>Total Electric w/o other</t>
  </si>
  <si>
    <t>Elctric Heat Share in 2025</t>
  </si>
  <si>
    <t>Market Share in 2025(% of Electric)</t>
  </si>
  <si>
    <t>Market Share in 2000 (% of Electric)</t>
  </si>
  <si>
    <t>Yes</t>
  </si>
  <si>
    <t>No</t>
  </si>
  <si>
    <t>Ignore Replacement of New Additions?</t>
  </si>
  <si>
    <t>Market Share of New Additions (% of Electric)</t>
  </si>
  <si>
    <t>Market Share by State &amp; Type</t>
  </si>
  <si>
    <t>PNW  Weighted HDD and CDD Climate Zones</t>
  </si>
  <si>
    <t>Climate Zone Combination</t>
  </si>
  <si>
    <t>Population</t>
  </si>
  <si>
    <t>Weight</t>
  </si>
  <si>
    <t>% of Total</t>
  </si>
  <si>
    <t>Average HDD</t>
  </si>
  <si>
    <t>Median HDD</t>
  </si>
  <si>
    <t>Weighted Average</t>
  </si>
  <si>
    <t>Heating Zone 1</t>
  </si>
  <si>
    <t>Heating Zone 2</t>
  </si>
  <si>
    <t>Heating Zone 3</t>
  </si>
  <si>
    <t>Average CDD</t>
  </si>
  <si>
    <t>Cooling Zone 1</t>
  </si>
  <si>
    <t>Cooling Zone 2</t>
  </si>
  <si>
    <t>Cooling Zone 3</t>
  </si>
  <si>
    <t>Heating Zone</t>
  </si>
  <si>
    <t>Cooling Zone</t>
  </si>
  <si>
    <t>PNW County Level Population and Climate Zone Weighted HDD</t>
  </si>
  <si>
    <t>Pre-1980 Occupied Units in 2025 w/Electric Heat</t>
  </si>
  <si>
    <t>Pre-80 SF Units in 2025</t>
  </si>
  <si>
    <t>Pre-80 MF Units in 2025</t>
  </si>
  <si>
    <t>Pre-80 MH Units in 2025</t>
  </si>
  <si>
    <t>PNW Average Climate</t>
  </si>
  <si>
    <t>Total 2005-2025</t>
  </si>
  <si>
    <t>Total Electric 2005-2025</t>
  </si>
  <si>
    <t>2005-2025 Central Air Conditioning Units by Climate Zone</t>
  </si>
  <si>
    <t>SF Units in 2025</t>
  </si>
  <si>
    <t>MF Units in 2025</t>
  </si>
  <si>
    <t>MH Units in 2025</t>
  </si>
  <si>
    <t>Heating Zone 1 - Cooling Zone 1</t>
  </si>
  <si>
    <t>Heating Zone 1 - Cooling Zone 2</t>
  </si>
  <si>
    <t>Heating Zone 1 - Cooling Zone 3</t>
  </si>
  <si>
    <t>Heating Zone 2 - Cooling Zone 1</t>
  </si>
  <si>
    <t>Heating Zone 2 - Cooling Zone 2</t>
  </si>
  <si>
    <t>Heating Zone 2 - Cooling Zone 3</t>
  </si>
  <si>
    <t>Heating Zone 3 - Cooling Zone 1</t>
  </si>
  <si>
    <t>Heating Zone 3 - Cooling Zone 2</t>
  </si>
  <si>
    <t>Heating Zone 3 - Cooling Zone 3</t>
  </si>
  <si>
    <t>Post-80/Pre92 SF Units in 2025</t>
  </si>
  <si>
    <t>Post-80/Pre92 MF Units in 2025</t>
  </si>
  <si>
    <t>Post-80/Pre92 MH Units in 2025</t>
  </si>
  <si>
    <t>Electric FAF Heating</t>
  </si>
  <si>
    <t>Electric Market Share</t>
  </si>
  <si>
    <t>Heap Pump Heating</t>
  </si>
  <si>
    <t>Electric Zonal Heating</t>
  </si>
  <si>
    <t>PNW Pre-1980 Existing Residential Space Heating Units</t>
  </si>
  <si>
    <t>Fuel Share of Pre-1980 Housing</t>
  </si>
  <si>
    <t>SF</t>
  </si>
  <si>
    <t>MF</t>
  </si>
  <si>
    <t>MH</t>
  </si>
  <si>
    <t>Post-80/Pre93 SF Units in 2025</t>
  </si>
  <si>
    <t>Post-80/Pre93 MF Units in 2025</t>
  </si>
  <si>
    <t>Post-80/Pre93 MH Units in 2025</t>
  </si>
  <si>
    <t>Total SF + MF</t>
  </si>
  <si>
    <t>Total Occupied Units</t>
  </si>
  <si>
    <t>Electrically Heated Units Occupied Units</t>
  </si>
  <si>
    <t>PNW Post-1980 - Pre-1993 Existing Residential Space Heating Units</t>
  </si>
  <si>
    <t>Additions 1980 - 1992</t>
  </si>
  <si>
    <t>Remaining in 2025</t>
  </si>
  <si>
    <t>Existing in 2000</t>
  </si>
  <si>
    <t>PNW County Level Population and Climate Zone Weighted CDD</t>
  </si>
  <si>
    <t>2005-2025 Electrically Heated Units by Climate Zone and Heating System Type</t>
  </si>
  <si>
    <t xml:space="preserve"> Central Air Conditioned</t>
  </si>
  <si>
    <t>Post79/Pre93 Electrically Heated Units by Climate Zone and Heating System Type</t>
  </si>
  <si>
    <t>Post79/Pre93 Central Air Conditioned Units by Climate Zone</t>
  </si>
  <si>
    <t>Pre80 Electrically Heated Units by Climate Zone and Heating System Type</t>
  </si>
  <si>
    <t>Pre80 Central Air Conditioning Units by Climate Zone</t>
  </si>
  <si>
    <t>Electric FAF Heating w/CAC</t>
  </si>
  <si>
    <t>CAC</t>
  </si>
  <si>
    <t>EFAF CAC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</si>
</sst>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_(* #,##0_);_(* \(#,##0\);_(* &quot;-&quot;??_);_(@_)"/>
    <numFmt numFmtId="167" formatCode="_(* #,##0.0_);_(* \(#,##0.0\);_(* &quot;-&quot;??_);_(@_)"/>
    <numFmt numFmtId="168" formatCode="000"/>
    <numFmt numFmtId="169" formatCode="_(&quot;$&quot;* #,##0.0_);_(&quot;$&quot;* \(#,##0.0\);_(&quot;$&quot;* &quot;-&quot;??_);_(@_)"/>
    <numFmt numFmtId="170" formatCode="_(&quot;$&quot;* #,##0_);_(&quot;$&quot;* \(#,##0\);_(&quot;$&quot;* &quot;-&quot;??_);_(@_)"/>
    <numFmt numFmtId="171" formatCode="0.0"/>
    <numFmt numFmtId="172" formatCode="0.0;[Red]\-0.0"/>
    <numFmt numFmtId="173" formatCode="0.0000"/>
    <numFmt numFmtId="174" formatCode="0.000"/>
    <numFmt numFmtId="175" formatCode="0.000000000000000%"/>
    <numFmt numFmtId="176" formatCode="0.0000000000000000%"/>
  </numFmts>
  <fonts count="9">
    <font>
      <sz val="10"/>
      <name val="Arial"/>
      <family val="0"/>
    </font>
    <font>
      <b/>
      <sz val="10"/>
      <name val="Arial"/>
      <family val="2"/>
    </font>
    <font>
      <sz val="10"/>
      <name val="Helvetica"/>
      <family val="2"/>
    </font>
    <font>
      <b/>
      <sz val="8"/>
      <name val="Tahoma"/>
      <family val="0"/>
    </font>
    <font>
      <sz val="8"/>
      <name val="Tahoma"/>
      <family val="0"/>
    </font>
    <font>
      <sz val="10"/>
      <name val="Tahoma"/>
      <family val="0"/>
    </font>
    <font>
      <b/>
      <sz val="10"/>
      <name val="Tahoma"/>
      <family val="0"/>
    </font>
    <font>
      <sz val="12"/>
      <name val="Arial"/>
      <family val="0"/>
    </font>
    <font>
      <b/>
      <sz val="8"/>
      <name val="Arial"/>
      <family val="2"/>
    </font>
  </fonts>
  <fills count="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6">
    <border>
      <left/>
      <right/>
      <top/>
      <bottom/>
      <diagonal/>
    </border>
    <border>
      <left style="thin"/>
      <right style="thin"/>
      <top style="thin"/>
      <bottom style="thin"/>
    </border>
    <border>
      <left style="medium"/>
      <right style="thin"/>
      <top style="medium"/>
      <bottom style="thin"/>
    </border>
    <border>
      <left style="thin"/>
      <right style="medium"/>
      <top style="medium"/>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color indexed="63"/>
      </top>
      <bottom>
        <color indexed="63"/>
      </bottom>
    </border>
    <border>
      <left style="thin"/>
      <right style="thin"/>
      <top style="medium"/>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thin"/>
      <right style="medium"/>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thin"/>
      <top>
        <color indexed="63"/>
      </top>
      <bottom style="medium"/>
    </border>
    <border>
      <left style="medium"/>
      <right style="medium"/>
      <top style="thin"/>
      <bottom>
        <color indexed="63"/>
      </bottom>
    </border>
    <border>
      <left style="thin"/>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0" fillId="0" borderId="0">
      <alignment/>
      <protection/>
    </xf>
    <xf numFmtId="0" fontId="7" fillId="0" borderId="0">
      <alignment/>
      <protection/>
    </xf>
    <xf numFmtId="9" fontId="0" fillId="0" borderId="0" applyFont="0" applyFill="0" applyBorder="0" applyAlignment="0" applyProtection="0"/>
  </cellStyleXfs>
  <cellXfs count="413">
    <xf numFmtId="0" fontId="0" fillId="0" borderId="0" xfId="0" applyAlignment="1">
      <alignment/>
    </xf>
    <xf numFmtId="0" fontId="0" fillId="0" borderId="1" xfId="0"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37" fontId="0" fillId="0" borderId="1" xfId="21" applyNumberFormat="1" applyFont="1" applyBorder="1">
      <alignment/>
      <protection/>
    </xf>
    <xf numFmtId="0" fontId="0" fillId="0" borderId="0" xfId="0" applyFont="1" applyAlignment="1">
      <alignment/>
    </xf>
    <xf numFmtId="0" fontId="0" fillId="0" borderId="0" xfId="0" applyFont="1" applyAlignment="1">
      <alignment/>
    </xf>
    <xf numFmtId="0" fontId="0" fillId="0" borderId="1" xfId="0" applyFont="1" applyBorder="1" applyAlignment="1">
      <alignment/>
    </xf>
    <xf numFmtId="166" fontId="0" fillId="0" borderId="1" xfId="15" applyNumberFormat="1" applyFont="1" applyBorder="1" applyAlignment="1">
      <alignment/>
    </xf>
    <xf numFmtId="166" fontId="0" fillId="0" borderId="1" xfId="0" applyNumberFormat="1" applyBorder="1" applyAlignment="1">
      <alignment/>
    </xf>
    <xf numFmtId="166" fontId="0" fillId="0" borderId="1" xfId="15" applyNumberFormat="1" applyBorder="1" applyAlignment="1">
      <alignment/>
    </xf>
    <xf numFmtId="0" fontId="1" fillId="0" borderId="0" xfId="0" applyFont="1" applyAlignment="1">
      <alignment/>
    </xf>
    <xf numFmtId="0" fontId="0" fillId="0" borderId="0" xfId="0" applyBorder="1" applyAlignment="1">
      <alignment/>
    </xf>
    <xf numFmtId="0" fontId="1" fillId="0" borderId="1" xfId="21" applyFont="1" applyBorder="1" applyAlignment="1">
      <alignment wrapText="1"/>
      <protection/>
    </xf>
    <xf numFmtId="0" fontId="0" fillId="0" borderId="1" xfId="0" applyFont="1" applyBorder="1" applyAlignment="1">
      <alignment horizontal="right"/>
    </xf>
    <xf numFmtId="9" fontId="0" fillId="0" borderId="1" xfId="23" applyFont="1" applyBorder="1" applyAlignment="1">
      <alignment/>
    </xf>
    <xf numFmtId="0" fontId="1" fillId="0" borderId="1" xfId="21" applyFont="1" applyFill="1" applyBorder="1" applyAlignment="1">
      <alignment wrapText="1"/>
      <protection/>
    </xf>
    <xf numFmtId="0" fontId="0" fillId="0" borderId="1" xfId="21" applyFont="1" applyFill="1" applyBorder="1">
      <alignment/>
      <protection/>
    </xf>
    <xf numFmtId="37" fontId="0" fillId="0" borderId="1" xfId="21" applyNumberFormat="1" applyFont="1" applyFill="1" applyBorder="1">
      <alignment/>
      <protection/>
    </xf>
    <xf numFmtId="166" fontId="0" fillId="0" borderId="1" xfId="15" applyNumberFormat="1" applyFont="1" applyFill="1" applyBorder="1" applyAlignment="1">
      <alignment/>
    </xf>
    <xf numFmtId="0" fontId="0" fillId="0" borderId="1" xfId="21" applyFont="1" applyFill="1" applyBorder="1" applyAlignment="1">
      <alignment wrapText="1"/>
      <protection/>
    </xf>
    <xf numFmtId="9" fontId="0" fillId="0" borderId="1" xfId="21" applyNumberFormat="1" applyFont="1" applyFill="1" applyBorder="1">
      <alignment/>
      <protection/>
    </xf>
    <xf numFmtId="9" fontId="0" fillId="0" borderId="1" xfId="21" applyNumberFormat="1" applyFont="1" applyFill="1" applyBorder="1" applyAlignment="1">
      <alignment horizontal="right"/>
      <protection/>
    </xf>
    <xf numFmtId="0" fontId="0" fillId="0" borderId="0" xfId="0" applyFill="1" applyAlignment="1">
      <alignment/>
    </xf>
    <xf numFmtId="0" fontId="0" fillId="0" borderId="0" xfId="0" applyFill="1" applyAlignment="1">
      <alignment wrapText="1"/>
    </xf>
    <xf numFmtId="0" fontId="0" fillId="0" borderId="1" xfId="0" applyFont="1" applyFill="1" applyBorder="1" applyAlignment="1">
      <alignment/>
    </xf>
    <xf numFmtId="9" fontId="0" fillId="0" borderId="1" xfId="0" applyNumberFormat="1" applyFont="1" applyFill="1" applyBorder="1" applyAlignment="1">
      <alignment/>
    </xf>
    <xf numFmtId="9" fontId="0" fillId="0" borderId="1" xfId="23" applyFill="1" applyBorder="1" applyAlignment="1">
      <alignment horizontal="right"/>
    </xf>
    <xf numFmtId="164" fontId="1" fillId="3" borderId="1" xfId="15" applyNumberFormat="1" applyFont="1" applyFill="1" applyBorder="1" applyAlignment="1">
      <alignment wrapText="1"/>
    </xf>
    <xf numFmtId="166" fontId="0" fillId="0" borderId="1" xfId="0" applyNumberFormat="1" applyFont="1" applyBorder="1" applyAlignment="1">
      <alignment/>
    </xf>
    <xf numFmtId="37" fontId="0" fillId="0" borderId="0" xfId="0" applyNumberFormat="1" applyFont="1" applyAlignment="1">
      <alignment/>
    </xf>
    <xf numFmtId="0" fontId="1" fillId="0" borderId="2" xfId="0" applyFont="1" applyBorder="1" applyAlignment="1">
      <alignment horizontal="right"/>
    </xf>
    <xf numFmtId="0" fontId="0" fillId="4" borderId="3" xfId="0" applyFont="1" applyFill="1" applyBorder="1" applyAlignment="1">
      <alignment/>
    </xf>
    <xf numFmtId="9" fontId="0" fillId="0" borderId="0" xfId="0" applyNumberFormat="1" applyFont="1" applyAlignment="1">
      <alignment/>
    </xf>
    <xf numFmtId="0" fontId="0" fillId="0" borderId="4" xfId="0" applyFont="1" applyBorder="1" applyAlignment="1">
      <alignment/>
    </xf>
    <xf numFmtId="9" fontId="0" fillId="4" borderId="1" xfId="23" applyFont="1" applyFill="1" applyBorder="1" applyAlignment="1">
      <alignment/>
    </xf>
    <xf numFmtId="166" fontId="0" fillId="4" borderId="5" xfId="15" applyNumberFormat="1" applyFont="1" applyFill="1" applyBorder="1" applyAlignment="1">
      <alignment/>
    </xf>
    <xf numFmtId="9" fontId="0" fillId="4" borderId="1" xfId="23" applyFont="1" applyFill="1" applyBorder="1" applyAlignment="1">
      <alignment/>
    </xf>
    <xf numFmtId="166" fontId="0" fillId="4" borderId="1" xfId="15" applyNumberFormat="1" applyFont="1" applyFill="1" applyBorder="1" applyAlignment="1">
      <alignment/>
    </xf>
    <xf numFmtId="166" fontId="0" fillId="4" borderId="1" xfId="23" applyNumberFormat="1" applyFont="1" applyFill="1" applyBorder="1" applyAlignment="1">
      <alignment/>
    </xf>
    <xf numFmtId="9" fontId="0" fillId="4" borderId="1" xfId="21" applyNumberFormat="1" applyFont="1" applyFill="1" applyBorder="1">
      <alignment/>
      <protection/>
    </xf>
    <xf numFmtId="164" fontId="1" fillId="0" borderId="6" xfId="15" applyNumberFormat="1" applyFont="1" applyFill="1" applyBorder="1" applyAlignment="1">
      <alignment wrapText="1"/>
    </xf>
    <xf numFmtId="166" fontId="1" fillId="0" borderId="1" xfId="15" applyNumberFormat="1" applyFont="1" applyFill="1" applyBorder="1" applyAlignment="1">
      <alignment wrapText="1"/>
    </xf>
    <xf numFmtId="9" fontId="0" fillId="0" borderId="7" xfId="23" applyBorder="1" applyAlignment="1">
      <alignment/>
    </xf>
    <xf numFmtId="166" fontId="1" fillId="0" borderId="8" xfId="15" applyNumberFormat="1" applyFont="1" applyFill="1" applyBorder="1" applyAlignment="1">
      <alignment wrapText="1"/>
    </xf>
    <xf numFmtId="164" fontId="1" fillId="0" borderId="9" xfId="15" applyNumberFormat="1" applyFont="1" applyFill="1" applyBorder="1" applyAlignment="1">
      <alignment wrapText="1"/>
    </xf>
    <xf numFmtId="164" fontId="1" fillId="0" borderId="10" xfId="15" applyNumberFormat="1" applyFont="1" applyFill="1" applyBorder="1" applyAlignment="1">
      <alignment wrapText="1"/>
    </xf>
    <xf numFmtId="166" fontId="1" fillId="0" borderId="11" xfId="15" applyNumberFormat="1" applyFont="1" applyFill="1" applyBorder="1" applyAlignment="1">
      <alignment wrapText="1"/>
    </xf>
    <xf numFmtId="166" fontId="1" fillId="0" borderId="12" xfId="15" applyNumberFormat="1" applyFont="1" applyFill="1" applyBorder="1" applyAlignment="1">
      <alignment wrapText="1"/>
    </xf>
    <xf numFmtId="166" fontId="1" fillId="0" borderId="9" xfId="0" applyNumberFormat="1" applyFont="1" applyFill="1" applyBorder="1" applyAlignment="1">
      <alignment horizontal="right"/>
    </xf>
    <xf numFmtId="166" fontId="0" fillId="0" borderId="9" xfId="0" applyNumberFormat="1" applyFill="1" applyBorder="1" applyAlignment="1">
      <alignment horizontal="right"/>
    </xf>
    <xf numFmtId="0" fontId="0" fillId="0" borderId="9" xfId="0" applyFill="1" applyBorder="1" applyAlignment="1">
      <alignment horizontal="right"/>
    </xf>
    <xf numFmtId="0" fontId="1" fillId="0" borderId="9" xfId="21" applyFont="1" applyFill="1" applyBorder="1">
      <alignment/>
      <protection/>
    </xf>
    <xf numFmtId="0" fontId="0" fillId="0" borderId="13" xfId="0" applyBorder="1" applyAlignment="1">
      <alignment/>
    </xf>
    <xf numFmtId="0" fontId="0" fillId="0" borderId="10" xfId="0" applyFill="1" applyBorder="1" applyAlignment="1">
      <alignment horizontal="right"/>
    </xf>
    <xf numFmtId="166" fontId="0" fillId="0" borderId="8" xfId="15" applyNumberFormat="1" applyBorder="1" applyAlignment="1">
      <alignment/>
    </xf>
    <xf numFmtId="164" fontId="1" fillId="3" borderId="2" xfId="15" applyNumberFormat="1" applyFont="1" applyFill="1" applyBorder="1" applyAlignment="1">
      <alignment wrapText="1"/>
    </xf>
    <xf numFmtId="164" fontId="1" fillId="3" borderId="14" xfId="15" applyNumberFormat="1" applyFont="1" applyFill="1" applyBorder="1" applyAlignment="1">
      <alignment wrapText="1"/>
    </xf>
    <xf numFmtId="164" fontId="1" fillId="3" borderId="3" xfId="15" applyNumberFormat="1" applyFont="1" applyFill="1" applyBorder="1" applyAlignment="1">
      <alignment wrapText="1"/>
    </xf>
    <xf numFmtId="0" fontId="0" fillId="0" borderId="9" xfId="0" applyFont="1" applyBorder="1" applyAlignment="1">
      <alignment horizontal="right"/>
    </xf>
    <xf numFmtId="166" fontId="0" fillId="0" borderId="7" xfId="15" applyNumberFormat="1" applyBorder="1" applyAlignment="1">
      <alignment/>
    </xf>
    <xf numFmtId="0" fontId="0" fillId="0" borderId="10" xfId="0" applyFont="1" applyBorder="1" applyAlignment="1">
      <alignment horizontal="right"/>
    </xf>
    <xf numFmtId="166" fontId="0" fillId="0" borderId="15" xfId="15" applyNumberFormat="1" applyBorder="1" applyAlignment="1">
      <alignment/>
    </xf>
    <xf numFmtId="166" fontId="0" fillId="0" borderId="16" xfId="15" applyNumberFormat="1" applyBorder="1" applyAlignment="1">
      <alignment/>
    </xf>
    <xf numFmtId="37" fontId="0" fillId="0" borderId="0" xfId="0" applyNumberFormat="1" applyFont="1" applyAlignment="1">
      <alignment/>
    </xf>
    <xf numFmtId="166" fontId="0" fillId="0" borderId="1" xfId="0" applyNumberFormat="1" applyFont="1" applyFill="1" applyBorder="1" applyAlignment="1">
      <alignment/>
    </xf>
    <xf numFmtId="9" fontId="0" fillId="0" borderId="15" xfId="23" applyBorder="1" applyAlignment="1">
      <alignment/>
    </xf>
    <xf numFmtId="0" fontId="0" fillId="0" borderId="0" xfId="0" applyFont="1" applyBorder="1" applyAlignment="1">
      <alignment/>
    </xf>
    <xf numFmtId="166" fontId="0" fillId="0" borderId="0" xfId="0" applyNumberFormat="1" applyFont="1" applyAlignment="1">
      <alignment/>
    </xf>
    <xf numFmtId="0" fontId="0" fillId="0" borderId="1" xfId="0" applyFont="1" applyBorder="1" applyAlignment="1">
      <alignment/>
    </xf>
    <xf numFmtId="9" fontId="0" fillId="0" borderId="17" xfId="23" applyBorder="1" applyAlignment="1">
      <alignment/>
    </xf>
    <xf numFmtId="0" fontId="0" fillId="0" borderId="18" xfId="0" applyBorder="1" applyAlignment="1">
      <alignment/>
    </xf>
    <xf numFmtId="9" fontId="0" fillId="0" borderId="19" xfId="23" applyBorder="1" applyAlignment="1">
      <alignment/>
    </xf>
    <xf numFmtId="37" fontId="0" fillId="0" borderId="7" xfId="21" applyNumberFormat="1" applyFont="1" applyBorder="1">
      <alignment/>
      <protection/>
    </xf>
    <xf numFmtId="9" fontId="0" fillId="0" borderId="8" xfId="23" applyFont="1" applyBorder="1" applyAlignment="1">
      <alignment/>
    </xf>
    <xf numFmtId="166" fontId="0" fillId="0" borderId="8" xfId="15" applyNumberFormat="1" applyFont="1" applyBorder="1" applyAlignment="1">
      <alignment/>
    </xf>
    <xf numFmtId="37" fontId="0" fillId="0" borderId="8" xfId="21" applyNumberFormat="1" applyFont="1" applyBorder="1">
      <alignment/>
      <protection/>
    </xf>
    <xf numFmtId="37" fontId="0" fillId="0" borderId="15" xfId="21" applyNumberFormat="1" applyFont="1" applyBorder="1">
      <alignment/>
      <protection/>
    </xf>
    <xf numFmtId="10" fontId="0" fillId="4" borderId="14" xfId="0" applyNumberFormat="1" applyFont="1" applyFill="1" applyBorder="1" applyAlignment="1">
      <alignment/>
    </xf>
    <xf numFmtId="10" fontId="0" fillId="4" borderId="1" xfId="0" applyNumberFormat="1" applyFont="1" applyFill="1" applyBorder="1" applyAlignment="1">
      <alignment/>
    </xf>
    <xf numFmtId="9" fontId="0" fillId="4" borderId="8" xfId="23" applyFont="1" applyFill="1" applyBorder="1" applyAlignment="1">
      <alignment/>
    </xf>
    <xf numFmtId="10" fontId="0" fillId="4" borderId="8" xfId="0" applyNumberFormat="1" applyFont="1" applyFill="1" applyBorder="1" applyAlignment="1">
      <alignment/>
    </xf>
    <xf numFmtId="166" fontId="0" fillId="4" borderId="8" xfId="15" applyNumberFormat="1" applyFont="1" applyFill="1" applyBorder="1" applyAlignment="1">
      <alignment/>
    </xf>
    <xf numFmtId="9" fontId="0" fillId="4" borderId="20" xfId="23" applyFont="1" applyFill="1" applyBorder="1" applyAlignment="1">
      <alignment/>
    </xf>
    <xf numFmtId="9" fontId="0" fillId="4" borderId="5" xfId="23" applyFont="1" applyFill="1" applyBorder="1" applyAlignment="1">
      <alignment/>
    </xf>
    <xf numFmtId="9" fontId="0" fillId="4" borderId="21" xfId="23" applyFont="1" applyFill="1" applyBorder="1" applyAlignment="1">
      <alignment/>
    </xf>
    <xf numFmtId="9" fontId="0" fillId="0" borderId="20" xfId="23" applyFont="1" applyBorder="1" applyAlignment="1">
      <alignment/>
    </xf>
    <xf numFmtId="9" fontId="0" fillId="0" borderId="5" xfId="23" applyFont="1" applyBorder="1" applyAlignment="1">
      <alignment/>
    </xf>
    <xf numFmtId="9" fontId="0" fillId="0" borderId="21" xfId="23" applyFont="1" applyBorder="1" applyAlignment="1">
      <alignment/>
    </xf>
    <xf numFmtId="0" fontId="1" fillId="4" borderId="22" xfId="0" applyFont="1" applyFill="1" applyBorder="1" applyAlignment="1">
      <alignment horizontal="right"/>
    </xf>
    <xf numFmtId="0" fontId="0" fillId="4" borderId="23" xfId="0" applyFill="1" applyBorder="1" applyAlignment="1">
      <alignment/>
    </xf>
    <xf numFmtId="0" fontId="0" fillId="4" borderId="24" xfId="0" applyFill="1" applyBorder="1" applyAlignment="1">
      <alignment/>
    </xf>
    <xf numFmtId="0" fontId="1" fillId="0" borderId="22" xfId="0" applyFont="1" applyFill="1" applyBorder="1" applyAlignment="1">
      <alignment horizontal="right"/>
    </xf>
    <xf numFmtId="0" fontId="0" fillId="0" borderId="23" xfId="0" applyBorder="1" applyAlignment="1">
      <alignment/>
    </xf>
    <xf numFmtId="0" fontId="0" fillId="0" borderId="24" xfId="0" applyBorder="1" applyAlignment="1">
      <alignment/>
    </xf>
    <xf numFmtId="0" fontId="1" fillId="0" borderId="23" xfId="0" applyFont="1" applyFill="1" applyBorder="1" applyAlignment="1">
      <alignment horizontal="right"/>
    </xf>
    <xf numFmtId="164" fontId="1" fillId="3" borderId="22" xfId="15" applyNumberFormat="1" applyFont="1" applyFill="1" applyBorder="1" applyAlignment="1">
      <alignment wrapText="1"/>
    </xf>
    <xf numFmtId="166" fontId="0" fillId="5" borderId="23" xfId="0" applyNumberFormat="1" applyFill="1" applyBorder="1" applyAlignment="1">
      <alignment/>
    </xf>
    <xf numFmtId="166" fontId="0" fillId="5" borderId="24" xfId="0" applyNumberFormat="1" applyFill="1" applyBorder="1" applyAlignment="1">
      <alignment/>
    </xf>
    <xf numFmtId="166" fontId="0" fillId="5" borderId="25" xfId="0" applyNumberFormat="1" applyFill="1" applyBorder="1" applyAlignment="1">
      <alignment/>
    </xf>
    <xf numFmtId="164" fontId="1" fillId="3" borderId="26" xfId="15" applyNumberFormat="1" applyFont="1" applyFill="1" applyBorder="1" applyAlignment="1">
      <alignment wrapText="1"/>
    </xf>
    <xf numFmtId="37" fontId="0" fillId="0" borderId="4" xfId="21" applyNumberFormat="1" applyFont="1" applyBorder="1">
      <alignment/>
      <protection/>
    </xf>
    <xf numFmtId="37" fontId="0" fillId="0" borderId="16" xfId="21" applyNumberFormat="1" applyFont="1" applyFill="1" applyBorder="1">
      <alignment/>
      <protection/>
    </xf>
    <xf numFmtId="37" fontId="0" fillId="0" borderId="16" xfId="21" applyNumberFormat="1" applyFont="1" applyBorder="1">
      <alignment/>
      <protection/>
    </xf>
    <xf numFmtId="37" fontId="0" fillId="0" borderId="9" xfId="21" applyNumberFormat="1" applyFont="1" applyBorder="1">
      <alignment/>
      <protection/>
    </xf>
    <xf numFmtId="37" fontId="0" fillId="0" borderId="10" xfId="21" applyNumberFormat="1" applyFont="1" applyBorder="1">
      <alignment/>
      <protection/>
    </xf>
    <xf numFmtId="0" fontId="1" fillId="0" borderId="27" xfId="0" applyFont="1" applyBorder="1" applyAlignment="1">
      <alignment horizontal="right"/>
    </xf>
    <xf numFmtId="0" fontId="0" fillId="0" borderId="28" xfId="0" applyFont="1" applyBorder="1" applyAlignment="1">
      <alignment/>
    </xf>
    <xf numFmtId="0" fontId="0" fillId="0" borderId="16" xfId="21" applyFont="1" applyBorder="1">
      <alignment/>
      <protection/>
    </xf>
    <xf numFmtId="0" fontId="0" fillId="0" borderId="16" xfId="0" applyFont="1" applyFill="1" applyBorder="1" applyAlignment="1">
      <alignment/>
    </xf>
    <xf numFmtId="0" fontId="1" fillId="0" borderId="9" xfId="21" applyFont="1" applyBorder="1" applyAlignment="1">
      <alignment horizontal="left"/>
      <protection/>
    </xf>
    <xf numFmtId="37" fontId="0" fillId="0" borderId="7" xfId="21" applyNumberFormat="1" applyFont="1" applyFill="1" applyBorder="1">
      <alignment/>
      <protection/>
    </xf>
    <xf numFmtId="0" fontId="1" fillId="0" borderId="10" xfId="21" applyFont="1" applyBorder="1">
      <alignment/>
      <protection/>
    </xf>
    <xf numFmtId="0" fontId="0" fillId="0" borderId="29" xfId="0" applyFont="1" applyBorder="1" applyAlignment="1">
      <alignment/>
    </xf>
    <xf numFmtId="166" fontId="0" fillId="0" borderId="29" xfId="15" applyNumberFormat="1" applyFont="1" applyBorder="1" applyAlignment="1">
      <alignment/>
    </xf>
    <xf numFmtId="166" fontId="0" fillId="0" borderId="8" xfId="15" applyNumberFormat="1" applyFont="1" applyFill="1" applyBorder="1" applyAlignment="1">
      <alignment/>
    </xf>
    <xf numFmtId="166" fontId="0" fillId="0" borderId="15" xfId="15" applyNumberFormat="1" applyFont="1" applyFill="1" applyBorder="1" applyAlignment="1">
      <alignment/>
    </xf>
    <xf numFmtId="0" fontId="1" fillId="0" borderId="30" xfId="21" applyFont="1" applyBorder="1" applyAlignment="1">
      <alignment horizontal="left"/>
      <protection/>
    </xf>
    <xf numFmtId="0" fontId="0" fillId="0" borderId="16" xfId="21" applyFont="1" applyBorder="1">
      <alignment/>
      <protection/>
    </xf>
    <xf numFmtId="166" fontId="0" fillId="0" borderId="16" xfId="15" applyNumberFormat="1" applyFont="1" applyBorder="1" applyAlignment="1">
      <alignment/>
    </xf>
    <xf numFmtId="166" fontId="0" fillId="0" borderId="17" xfId="15" applyNumberFormat="1" applyFont="1" applyBorder="1" applyAlignment="1">
      <alignment/>
    </xf>
    <xf numFmtId="0" fontId="1" fillId="3" borderId="31" xfId="21" applyFont="1" applyFill="1" applyBorder="1" applyAlignment="1">
      <alignment horizontal="left"/>
      <protection/>
    </xf>
    <xf numFmtId="0" fontId="0" fillId="3" borderId="32" xfId="0" applyFont="1" applyFill="1" applyBorder="1" applyAlignment="1">
      <alignment/>
    </xf>
    <xf numFmtId="164" fontId="1" fillId="6" borderId="33" xfId="15" applyNumberFormat="1" applyFont="1" applyFill="1" applyBorder="1" applyAlignment="1">
      <alignment wrapText="1"/>
    </xf>
    <xf numFmtId="164" fontId="1" fillId="3" borderId="33" xfId="15" applyNumberFormat="1" applyFont="1" applyFill="1" applyBorder="1" applyAlignment="1">
      <alignment wrapText="1"/>
    </xf>
    <xf numFmtId="164" fontId="1" fillId="3" borderId="34" xfId="15" applyNumberFormat="1" applyFont="1" applyFill="1" applyBorder="1" applyAlignment="1">
      <alignment wrapText="1"/>
    </xf>
    <xf numFmtId="0" fontId="1" fillId="0" borderId="4" xfId="21" applyFont="1" applyBorder="1">
      <alignment/>
      <protection/>
    </xf>
    <xf numFmtId="37" fontId="0" fillId="0" borderId="30" xfId="21" applyNumberFormat="1" applyFont="1" applyBorder="1">
      <alignment/>
      <protection/>
    </xf>
    <xf numFmtId="37" fontId="0" fillId="0" borderId="17" xfId="21" applyNumberFormat="1" applyFont="1" applyBorder="1">
      <alignment/>
      <protection/>
    </xf>
    <xf numFmtId="0" fontId="1" fillId="3" borderId="31" xfId="21" applyFont="1" applyFill="1" applyBorder="1">
      <alignment/>
      <protection/>
    </xf>
    <xf numFmtId="164" fontId="1" fillId="6" borderId="35" xfId="15" applyNumberFormat="1" applyFont="1" applyFill="1" applyBorder="1" applyAlignment="1">
      <alignment wrapText="1"/>
    </xf>
    <xf numFmtId="164" fontId="1" fillId="3" borderId="31" xfId="15" applyNumberFormat="1" applyFont="1" applyFill="1" applyBorder="1" applyAlignment="1">
      <alignment wrapText="1"/>
    </xf>
    <xf numFmtId="0" fontId="0" fillId="0" borderId="6" xfId="21" applyFont="1" applyFill="1" applyBorder="1">
      <alignment/>
      <protection/>
    </xf>
    <xf numFmtId="37" fontId="0" fillId="0" borderId="6" xfId="21" applyNumberFormat="1" applyFont="1" applyFill="1" applyBorder="1">
      <alignment/>
      <protection/>
    </xf>
    <xf numFmtId="37" fontId="0" fillId="0" borderId="6" xfId="21" applyNumberFormat="1" applyFont="1" applyBorder="1">
      <alignment/>
      <protection/>
    </xf>
    <xf numFmtId="10" fontId="2" fillId="0" borderId="6" xfId="21" applyNumberFormat="1" applyFont="1" applyFill="1" applyBorder="1" applyAlignment="1">
      <alignment horizontal="center"/>
      <protection/>
    </xf>
    <xf numFmtId="0" fontId="0" fillId="0" borderId="6" xfId="0" applyFont="1" applyFill="1" applyBorder="1" applyAlignment="1">
      <alignment/>
    </xf>
    <xf numFmtId="0" fontId="0" fillId="0" borderId="2" xfId="21" applyFont="1" applyBorder="1">
      <alignment/>
      <protection/>
    </xf>
    <xf numFmtId="9" fontId="0" fillId="4" borderId="14" xfId="21" applyNumberFormat="1" applyFont="1" applyFill="1" applyBorder="1">
      <alignment/>
      <protection/>
    </xf>
    <xf numFmtId="37" fontId="0" fillId="0" borderId="14" xfId="21" applyNumberFormat="1" applyFont="1" applyBorder="1">
      <alignment/>
      <protection/>
    </xf>
    <xf numFmtId="37" fontId="0" fillId="0" borderId="3" xfId="21" applyNumberFormat="1" applyFont="1" applyBorder="1">
      <alignment/>
      <protection/>
    </xf>
    <xf numFmtId="0" fontId="0" fillId="0" borderId="9" xfId="21" applyFont="1" applyBorder="1">
      <alignment/>
      <protection/>
    </xf>
    <xf numFmtId="9" fontId="0" fillId="4" borderId="8" xfId="21" applyNumberFormat="1" applyFont="1" applyFill="1" applyBorder="1">
      <alignment/>
      <protection/>
    </xf>
    <xf numFmtId="0" fontId="1" fillId="3" borderId="31" xfId="0" applyFont="1" applyFill="1" applyBorder="1" applyAlignment="1">
      <alignment/>
    </xf>
    <xf numFmtId="164" fontId="1" fillId="6" borderId="36" xfId="15" applyNumberFormat="1" applyFont="1" applyFill="1" applyBorder="1" applyAlignment="1">
      <alignment wrapText="1"/>
    </xf>
    <xf numFmtId="164" fontId="1" fillId="3" borderId="36" xfId="15" applyNumberFormat="1" applyFont="1" applyFill="1" applyBorder="1" applyAlignment="1">
      <alignment wrapText="1"/>
    </xf>
    <xf numFmtId="164" fontId="1" fillId="6" borderId="26" xfId="15" applyNumberFormat="1" applyFont="1" applyFill="1" applyBorder="1" applyAlignment="1">
      <alignment wrapText="1"/>
    </xf>
    <xf numFmtId="166" fontId="0" fillId="0" borderId="14" xfId="15" applyNumberFormat="1" applyFill="1" applyBorder="1" applyAlignment="1">
      <alignment/>
    </xf>
    <xf numFmtId="37" fontId="0" fillId="0" borderId="14" xfId="0" applyNumberFormat="1" applyFont="1" applyFill="1" applyBorder="1" applyAlignment="1">
      <alignment/>
    </xf>
    <xf numFmtId="37" fontId="0" fillId="0" borderId="22" xfId="0" applyNumberFormat="1" applyFont="1" applyFill="1" applyBorder="1" applyAlignment="1">
      <alignment/>
    </xf>
    <xf numFmtId="37" fontId="0" fillId="0" borderId="23" xfId="21" applyNumberFormat="1" applyFont="1" applyFill="1" applyBorder="1">
      <alignment/>
      <protection/>
    </xf>
    <xf numFmtId="37" fontId="0" fillId="0" borderId="8" xfId="21" applyNumberFormat="1" applyFont="1" applyFill="1" applyBorder="1">
      <alignment/>
      <protection/>
    </xf>
    <xf numFmtId="37" fontId="0" fillId="0" borderId="24" xfId="21" applyNumberFormat="1" applyFont="1" applyFill="1" applyBorder="1">
      <alignment/>
      <protection/>
    </xf>
    <xf numFmtId="166" fontId="0" fillId="0" borderId="1" xfId="15" applyNumberFormat="1" applyFill="1" applyBorder="1" applyAlignment="1">
      <alignment/>
    </xf>
    <xf numFmtId="37" fontId="0" fillId="0" borderId="1" xfId="0" applyNumberFormat="1" applyFont="1" applyFill="1" applyBorder="1" applyAlignment="1">
      <alignment/>
    </xf>
    <xf numFmtId="37" fontId="0" fillId="0" borderId="23" xfId="0" applyNumberFormat="1" applyFont="1" applyFill="1" applyBorder="1" applyAlignment="1">
      <alignment/>
    </xf>
    <xf numFmtId="0" fontId="0" fillId="0" borderId="1" xfId="0" applyFill="1" applyBorder="1" applyAlignment="1">
      <alignment/>
    </xf>
    <xf numFmtId="0" fontId="0" fillId="0" borderId="31" xfId="0" applyFill="1" applyBorder="1" applyAlignment="1">
      <alignment/>
    </xf>
    <xf numFmtId="0" fontId="0" fillId="7" borderId="34" xfId="0" applyFill="1" applyBorder="1" applyAlignment="1">
      <alignment/>
    </xf>
    <xf numFmtId="9" fontId="0" fillId="7" borderId="1" xfId="0" applyNumberFormat="1" applyFont="1" applyFill="1" applyBorder="1" applyAlignment="1">
      <alignment/>
    </xf>
    <xf numFmtId="10" fontId="0" fillId="4" borderId="3" xfId="21" applyNumberFormat="1" applyFont="1" applyFill="1" applyBorder="1">
      <alignment/>
      <protection/>
    </xf>
    <xf numFmtId="10" fontId="0" fillId="4" borderId="7" xfId="21" applyNumberFormat="1" applyFont="1" applyFill="1" applyBorder="1">
      <alignment/>
      <protection/>
    </xf>
    <xf numFmtId="10" fontId="0" fillId="4" borderId="15" xfId="21" applyNumberFormat="1" applyFont="1" applyFill="1" applyBorder="1">
      <alignment/>
      <protection/>
    </xf>
    <xf numFmtId="9" fontId="0" fillId="4" borderId="20" xfId="21" applyNumberFormat="1" applyFont="1" applyFill="1" applyBorder="1">
      <alignment/>
      <protection/>
    </xf>
    <xf numFmtId="9" fontId="0" fillId="4" borderId="5" xfId="21" applyNumberFormat="1" applyFont="1" applyFill="1" applyBorder="1">
      <alignment/>
      <protection/>
    </xf>
    <xf numFmtId="0" fontId="0" fillId="4" borderId="21" xfId="21" applyFont="1" applyFill="1" applyBorder="1">
      <alignment/>
      <protection/>
    </xf>
    <xf numFmtId="37" fontId="0" fillId="0" borderId="20" xfId="21" applyNumberFormat="1" applyFont="1" applyBorder="1">
      <alignment/>
      <protection/>
    </xf>
    <xf numFmtId="37" fontId="0" fillId="0" borderId="5" xfId="21" applyNumberFormat="1" applyFont="1" applyBorder="1">
      <alignment/>
      <protection/>
    </xf>
    <xf numFmtId="37" fontId="0" fillId="0" borderId="21" xfId="21" applyNumberFormat="1" applyFont="1" applyBorder="1">
      <alignment/>
      <protection/>
    </xf>
    <xf numFmtId="9" fontId="0" fillId="7" borderId="1" xfId="23" applyFill="1" applyBorder="1" applyAlignment="1">
      <alignment horizontal="right"/>
    </xf>
    <xf numFmtId="0" fontId="0" fillId="0" borderId="0" xfId="0" applyFill="1" applyBorder="1" applyAlignment="1">
      <alignment horizontal="right"/>
    </xf>
    <xf numFmtId="166" fontId="0" fillId="0" borderId="0" xfId="15" applyNumberFormat="1" applyBorder="1" applyAlignment="1">
      <alignment/>
    </xf>
    <xf numFmtId="165" fontId="0" fillId="0" borderId="0" xfId="23" applyNumberFormat="1" applyBorder="1" applyAlignment="1">
      <alignment/>
    </xf>
    <xf numFmtId="9" fontId="0" fillId="0" borderId="1" xfId="0" applyNumberFormat="1" applyFill="1" applyBorder="1" applyAlignment="1">
      <alignment/>
    </xf>
    <xf numFmtId="166" fontId="0" fillId="0" borderId="16" xfId="0" applyNumberFormat="1" applyBorder="1" applyAlignment="1">
      <alignment/>
    </xf>
    <xf numFmtId="166" fontId="1" fillId="0" borderId="6" xfId="15" applyNumberFormat="1" applyFont="1" applyFill="1" applyBorder="1" applyAlignment="1">
      <alignment wrapText="1"/>
    </xf>
    <xf numFmtId="166" fontId="1" fillId="0" borderId="18" xfId="0" applyNumberFormat="1" applyFont="1" applyFill="1" applyBorder="1" applyAlignment="1">
      <alignment horizontal="right"/>
    </xf>
    <xf numFmtId="0" fontId="1" fillId="0" borderId="10" xfId="0" applyFont="1" applyFill="1" applyBorder="1" applyAlignment="1">
      <alignment horizontal="right"/>
    </xf>
    <xf numFmtId="166" fontId="1" fillId="0" borderId="30" xfId="0" applyNumberFormat="1" applyFont="1" applyFill="1" applyBorder="1" applyAlignment="1">
      <alignment horizontal="right"/>
    </xf>
    <xf numFmtId="166" fontId="1" fillId="0" borderId="16" xfId="15" applyNumberFormat="1" applyFont="1" applyFill="1" applyBorder="1" applyAlignment="1">
      <alignment wrapText="1"/>
    </xf>
    <xf numFmtId="0" fontId="0" fillId="0" borderId="0" xfId="0" applyFont="1" applyBorder="1" applyAlignment="1">
      <alignment horizontal="right"/>
    </xf>
    <xf numFmtId="164" fontId="1" fillId="6" borderId="5" xfId="15" applyNumberFormat="1" applyFont="1" applyFill="1" applyBorder="1" applyAlignment="1">
      <alignment/>
    </xf>
    <xf numFmtId="164" fontId="1" fillId="3" borderId="16" xfId="15" applyNumberFormat="1" applyFont="1" applyFill="1" applyBorder="1" applyAlignment="1">
      <alignment wrapText="1"/>
    </xf>
    <xf numFmtId="0" fontId="1" fillId="7" borderId="26" xfId="0" applyFont="1" applyFill="1" applyBorder="1" applyAlignment="1">
      <alignment/>
    </xf>
    <xf numFmtId="0" fontId="1" fillId="0" borderId="9" xfId="21" applyFont="1" applyBorder="1" applyAlignment="1">
      <alignment wrapText="1"/>
      <protection/>
    </xf>
    <xf numFmtId="0" fontId="0" fillId="0" borderId="0" xfId="0" applyFont="1" applyBorder="1" applyAlignment="1">
      <alignment/>
    </xf>
    <xf numFmtId="0" fontId="0" fillId="0" borderId="7" xfId="0" applyFont="1" applyBorder="1" applyAlignment="1">
      <alignment/>
    </xf>
    <xf numFmtId="166" fontId="0" fillId="0" borderId="7" xfId="0" applyNumberFormat="1" applyFont="1" applyBorder="1" applyAlignment="1">
      <alignment/>
    </xf>
    <xf numFmtId="0" fontId="0" fillId="0" borderId="9" xfId="0" applyFont="1" applyBorder="1" applyAlignment="1">
      <alignment/>
    </xf>
    <xf numFmtId="166" fontId="0" fillId="4" borderId="8" xfId="23" applyNumberFormat="1" applyFont="1" applyFill="1" applyBorder="1" applyAlignment="1">
      <alignment/>
    </xf>
    <xf numFmtId="166" fontId="0" fillId="0" borderId="15" xfId="0" applyNumberFormat="1" applyFont="1" applyBorder="1" applyAlignment="1">
      <alignment/>
    </xf>
    <xf numFmtId="0" fontId="1" fillId="0" borderId="30" xfId="21" applyFont="1" applyFill="1" applyBorder="1">
      <alignment/>
      <protection/>
    </xf>
    <xf numFmtId="9" fontId="0" fillId="0" borderId="9" xfId="0" applyNumberFormat="1" applyFont="1" applyFill="1" applyBorder="1" applyAlignment="1">
      <alignment/>
    </xf>
    <xf numFmtId="0" fontId="0" fillId="0" borderId="9" xfId="0" applyFont="1" applyFill="1" applyBorder="1" applyAlignment="1">
      <alignment/>
    </xf>
    <xf numFmtId="9" fontId="0" fillId="0" borderId="9" xfId="0" applyNumberFormat="1" applyFill="1" applyBorder="1" applyAlignment="1">
      <alignment/>
    </xf>
    <xf numFmtId="166" fontId="0" fillId="0" borderId="8" xfId="0" applyNumberFormat="1" applyBorder="1" applyAlignment="1">
      <alignment/>
    </xf>
    <xf numFmtId="0" fontId="0" fillId="0" borderId="30" xfId="0" applyFont="1" applyBorder="1" applyAlignment="1">
      <alignment horizontal="right"/>
    </xf>
    <xf numFmtId="166" fontId="0" fillId="0" borderId="17" xfId="15" applyNumberFormat="1" applyBorder="1" applyAlignment="1">
      <alignment/>
    </xf>
    <xf numFmtId="0" fontId="1" fillId="3" borderId="31" xfId="21" applyFont="1" applyFill="1" applyBorder="1" applyAlignment="1">
      <alignment wrapText="1"/>
      <protection/>
    </xf>
    <xf numFmtId="166" fontId="0" fillId="0" borderId="7" xfId="0" applyNumberFormat="1" applyFill="1" applyBorder="1" applyAlignment="1">
      <alignment/>
    </xf>
    <xf numFmtId="0" fontId="0" fillId="0" borderId="7" xfId="0" applyFill="1" applyBorder="1" applyAlignment="1">
      <alignment/>
    </xf>
    <xf numFmtId="9" fontId="0" fillId="7" borderId="8" xfId="0" applyNumberFormat="1" applyFont="1" applyFill="1" applyBorder="1" applyAlignment="1">
      <alignment/>
    </xf>
    <xf numFmtId="166" fontId="0" fillId="0" borderId="15" xfId="0" applyNumberFormat="1" applyFill="1" applyBorder="1" applyAlignment="1">
      <alignment/>
    </xf>
    <xf numFmtId="166" fontId="0" fillId="0" borderId="16" xfId="0" applyNumberFormat="1" applyFont="1" applyFill="1" applyBorder="1" applyAlignment="1">
      <alignment/>
    </xf>
    <xf numFmtId="166" fontId="0" fillId="0" borderId="17" xfId="0" applyNumberFormat="1" applyFill="1" applyBorder="1" applyAlignment="1">
      <alignment/>
    </xf>
    <xf numFmtId="0" fontId="1" fillId="5" borderId="26" xfId="0" applyFont="1" applyFill="1" applyBorder="1" applyAlignment="1">
      <alignment/>
    </xf>
    <xf numFmtId="0" fontId="1" fillId="0" borderId="16" xfId="0" applyFont="1" applyBorder="1" applyAlignment="1">
      <alignment horizontal="right"/>
    </xf>
    <xf numFmtId="0" fontId="1" fillId="5" borderId="37" xfId="0" applyFont="1" applyFill="1" applyBorder="1" applyAlignment="1">
      <alignment/>
    </xf>
    <xf numFmtId="0" fontId="0" fillId="5" borderId="32" xfId="0" applyFont="1" applyFill="1" applyBorder="1" applyAlignment="1">
      <alignment/>
    </xf>
    <xf numFmtId="0" fontId="0" fillId="5" borderId="38" xfId="0" applyFont="1" applyFill="1" applyBorder="1" applyAlignment="1">
      <alignment/>
    </xf>
    <xf numFmtId="0" fontId="1" fillId="0" borderId="11" xfId="0" applyFont="1" applyBorder="1" applyAlignment="1">
      <alignment horizontal="right"/>
    </xf>
    <xf numFmtId="0" fontId="0" fillId="4" borderId="39" xfId="0" applyFont="1" applyFill="1" applyBorder="1" applyAlignment="1">
      <alignment/>
    </xf>
    <xf numFmtId="0" fontId="0" fillId="0" borderId="26" xfId="0" applyFont="1" applyBorder="1" applyAlignment="1">
      <alignment/>
    </xf>
    <xf numFmtId="0" fontId="1" fillId="0" borderId="40" xfId="0" applyFont="1" applyFill="1" applyBorder="1" applyAlignment="1">
      <alignment horizontal="right"/>
    </xf>
    <xf numFmtId="9" fontId="1" fillId="0" borderId="0" xfId="23" applyFont="1" applyBorder="1" applyAlignment="1">
      <alignment/>
    </xf>
    <xf numFmtId="9" fontId="0" fillId="0" borderId="1" xfId="0" applyNumberFormat="1" applyBorder="1" applyAlignment="1">
      <alignment/>
    </xf>
    <xf numFmtId="9" fontId="0" fillId="0" borderId="16" xfId="0" applyNumberFormat="1" applyBorder="1" applyAlignment="1">
      <alignment/>
    </xf>
    <xf numFmtId="9" fontId="0" fillId="0" borderId="8" xfId="0" applyNumberFormat="1" applyBorder="1" applyAlignment="1">
      <alignment/>
    </xf>
    <xf numFmtId="0" fontId="1" fillId="8" borderId="31" xfId="0" applyFont="1" applyFill="1" applyBorder="1" applyAlignment="1">
      <alignment horizontal="right"/>
    </xf>
    <xf numFmtId="0" fontId="1" fillId="3" borderId="41" xfId="21" applyFont="1" applyFill="1" applyBorder="1" applyAlignment="1">
      <alignment wrapText="1"/>
      <protection/>
    </xf>
    <xf numFmtId="164" fontId="1" fillId="3" borderId="42" xfId="15" applyNumberFormat="1" applyFont="1" applyFill="1" applyBorder="1" applyAlignment="1">
      <alignment wrapText="1"/>
    </xf>
    <xf numFmtId="9" fontId="1" fillId="8" borderId="33" xfId="23" applyFont="1" applyFill="1" applyBorder="1" applyAlignment="1">
      <alignment/>
    </xf>
    <xf numFmtId="9" fontId="1" fillId="8" borderId="34" xfId="23" applyFont="1" applyFill="1" applyBorder="1" applyAlignment="1">
      <alignment/>
    </xf>
    <xf numFmtId="166" fontId="1" fillId="0" borderId="43" xfId="15" applyNumberFormat="1" applyFont="1" applyFill="1" applyBorder="1" applyAlignment="1">
      <alignment wrapText="1"/>
    </xf>
    <xf numFmtId="9" fontId="1" fillId="8" borderId="22" xfId="23" applyFont="1" applyFill="1" applyBorder="1" applyAlignment="1">
      <alignment/>
    </xf>
    <xf numFmtId="9" fontId="1" fillId="8" borderId="23" xfId="23" applyFont="1" applyFill="1" applyBorder="1" applyAlignment="1">
      <alignment/>
    </xf>
    <xf numFmtId="9" fontId="1" fillId="8" borderId="24" xfId="23" applyFont="1" applyFill="1" applyBorder="1" applyAlignment="1">
      <alignment/>
    </xf>
    <xf numFmtId="9" fontId="0" fillId="0" borderId="43" xfId="0" applyNumberFormat="1" applyBorder="1" applyAlignment="1">
      <alignment/>
    </xf>
    <xf numFmtId="9" fontId="0" fillId="0" borderId="11" xfId="0" applyNumberFormat="1" applyBorder="1" applyAlignment="1">
      <alignment/>
    </xf>
    <xf numFmtId="9" fontId="0" fillId="0" borderId="12" xfId="0" applyNumberFormat="1" applyBorder="1" applyAlignment="1">
      <alignment/>
    </xf>
    <xf numFmtId="9" fontId="0" fillId="8" borderId="22" xfId="23" applyFont="1" applyFill="1" applyBorder="1" applyAlignment="1">
      <alignment/>
    </xf>
    <xf numFmtId="9" fontId="0" fillId="8" borderId="25" xfId="23" applyFont="1" applyFill="1" applyBorder="1" applyAlignment="1">
      <alignment/>
    </xf>
    <xf numFmtId="9" fontId="0" fillId="8" borderId="42" xfId="23" applyFont="1" applyFill="1" applyBorder="1" applyAlignment="1">
      <alignment/>
    </xf>
    <xf numFmtId="10" fontId="2" fillId="4" borderId="44" xfId="21" applyNumberFormat="1" applyFont="1" applyFill="1" applyBorder="1" applyAlignment="1">
      <alignment horizontal="center"/>
      <protection/>
    </xf>
    <xf numFmtId="37" fontId="0" fillId="0" borderId="45" xfId="21" applyNumberFormat="1" applyFont="1" applyBorder="1">
      <alignment/>
      <protection/>
    </xf>
    <xf numFmtId="166" fontId="0" fillId="6" borderId="26" xfId="0" applyNumberFormat="1" applyFill="1" applyBorder="1" applyAlignment="1">
      <alignment/>
    </xf>
    <xf numFmtId="0" fontId="0" fillId="6" borderId="37" xfId="0" applyFont="1" applyFill="1" applyBorder="1" applyAlignment="1">
      <alignment/>
    </xf>
    <xf numFmtId="166" fontId="0" fillId="6" borderId="26" xfId="15" applyNumberFormat="1" applyFont="1" applyFill="1" applyBorder="1" applyAlignment="1">
      <alignment/>
    </xf>
    <xf numFmtId="9" fontId="0" fillId="6" borderId="26" xfId="23" applyNumberFormat="1" applyFont="1" applyFill="1" applyBorder="1" applyAlignment="1">
      <alignment/>
    </xf>
    <xf numFmtId="0" fontId="0" fillId="0" borderId="43" xfId="21" applyFont="1" applyBorder="1">
      <alignment/>
      <protection/>
    </xf>
    <xf numFmtId="166" fontId="0" fillId="0" borderId="46" xfId="15" applyNumberFormat="1" applyFont="1" applyBorder="1" applyAlignment="1">
      <alignment/>
    </xf>
    <xf numFmtId="166" fontId="1" fillId="6" borderId="26" xfId="15" applyNumberFormat="1" applyFont="1" applyFill="1" applyBorder="1" applyAlignment="1">
      <alignment/>
    </xf>
    <xf numFmtId="10" fontId="2" fillId="4" borderId="11" xfId="21" applyNumberFormat="1" applyFont="1" applyFill="1" applyBorder="1" applyAlignment="1">
      <alignment horizontal="center"/>
      <protection/>
    </xf>
    <xf numFmtId="37" fontId="0" fillId="0" borderId="44" xfId="21" applyNumberFormat="1" applyFont="1" applyBorder="1">
      <alignment/>
      <protection/>
    </xf>
    <xf numFmtId="166" fontId="0" fillId="6" borderId="26" xfId="15" applyNumberFormat="1" applyFont="1" applyFill="1" applyBorder="1" applyAlignment="1">
      <alignment/>
    </xf>
    <xf numFmtId="166" fontId="0" fillId="5" borderId="47" xfId="0" applyNumberFormat="1" applyFill="1" applyBorder="1" applyAlignment="1">
      <alignment/>
    </xf>
    <xf numFmtId="166" fontId="0" fillId="5" borderId="48" xfId="0" applyNumberFormat="1" applyFill="1" applyBorder="1" applyAlignment="1">
      <alignment/>
    </xf>
    <xf numFmtId="166" fontId="0" fillId="5" borderId="49" xfId="0" applyNumberFormat="1" applyFill="1" applyBorder="1" applyAlignment="1">
      <alignment/>
    </xf>
    <xf numFmtId="164" fontId="1" fillId="3" borderId="50" xfId="15" applyNumberFormat="1" applyFont="1" applyFill="1" applyBorder="1" applyAlignment="1">
      <alignment wrapText="1"/>
    </xf>
    <xf numFmtId="164" fontId="1" fillId="3" borderId="37" xfId="15" applyNumberFormat="1" applyFont="1" applyFill="1" applyBorder="1" applyAlignment="1">
      <alignment wrapText="1"/>
    </xf>
    <xf numFmtId="37" fontId="0" fillId="6" borderId="23" xfId="21" applyNumberFormat="1" applyFont="1" applyFill="1" applyBorder="1">
      <alignment/>
      <protection/>
    </xf>
    <xf numFmtId="37" fontId="0" fillId="6" borderId="24" xfId="21" applyNumberFormat="1" applyFont="1" applyFill="1" applyBorder="1">
      <alignment/>
      <protection/>
    </xf>
    <xf numFmtId="10" fontId="0" fillId="4" borderId="51" xfId="21" applyNumberFormat="1" applyFont="1" applyFill="1" applyBorder="1">
      <alignment/>
      <protection/>
    </xf>
    <xf numFmtId="10" fontId="0" fillId="4" borderId="52" xfId="21" applyNumberFormat="1" applyFont="1" applyFill="1" applyBorder="1">
      <alignment/>
      <protection/>
    </xf>
    <xf numFmtId="164" fontId="1" fillId="6" borderId="34" xfId="15" applyNumberFormat="1" applyFont="1" applyFill="1" applyBorder="1" applyAlignment="1">
      <alignment wrapText="1"/>
    </xf>
    <xf numFmtId="9" fontId="0" fillId="4" borderId="46" xfId="21" applyNumberFormat="1" applyFont="1" applyFill="1" applyBorder="1">
      <alignment/>
      <protection/>
    </xf>
    <xf numFmtId="9" fontId="0" fillId="4" borderId="53" xfId="21" applyNumberFormat="1" applyFont="1" applyFill="1" applyBorder="1">
      <alignment/>
      <protection/>
    </xf>
    <xf numFmtId="0" fontId="1" fillId="3" borderId="26" xfId="21" applyFont="1" applyFill="1" applyBorder="1">
      <alignment/>
      <protection/>
    </xf>
    <xf numFmtId="0" fontId="0" fillId="0" borderId="25" xfId="21" applyFont="1" applyBorder="1">
      <alignment/>
      <protection/>
    </xf>
    <xf numFmtId="0" fontId="0" fillId="0" borderId="23" xfId="21" applyFont="1" applyBorder="1">
      <alignment/>
      <protection/>
    </xf>
    <xf numFmtId="0" fontId="1" fillId="0" borderId="24" xfId="21" applyFont="1" applyBorder="1">
      <alignment/>
      <protection/>
    </xf>
    <xf numFmtId="9" fontId="0" fillId="4" borderId="21" xfId="21" applyNumberFormat="1" applyFont="1" applyFill="1" applyBorder="1">
      <alignment/>
      <protection/>
    </xf>
    <xf numFmtId="166" fontId="1" fillId="6" borderId="26" xfId="0" applyNumberFormat="1" applyFont="1" applyFill="1" applyBorder="1" applyAlignment="1">
      <alignment/>
    </xf>
    <xf numFmtId="9" fontId="1" fillId="8" borderId="48" xfId="23" applyFont="1" applyFill="1" applyBorder="1" applyAlignment="1">
      <alignment wrapText="1"/>
    </xf>
    <xf numFmtId="9" fontId="1" fillId="8" borderId="49" xfId="23" applyFont="1" applyFill="1" applyBorder="1" applyAlignment="1">
      <alignment wrapText="1"/>
    </xf>
    <xf numFmtId="164" fontId="1" fillId="3" borderId="35" xfId="15" applyNumberFormat="1" applyFont="1" applyFill="1" applyBorder="1" applyAlignment="1">
      <alignment wrapText="1"/>
    </xf>
    <xf numFmtId="166" fontId="1" fillId="0" borderId="48" xfId="15" applyNumberFormat="1" applyFont="1" applyFill="1" applyBorder="1" applyAlignment="1">
      <alignment wrapText="1"/>
    </xf>
    <xf numFmtId="166" fontId="1" fillId="0" borderId="49" xfId="15" applyNumberFormat="1" applyFont="1" applyFill="1" applyBorder="1" applyAlignment="1">
      <alignment wrapText="1"/>
    </xf>
    <xf numFmtId="9" fontId="1" fillId="0" borderId="22" xfId="23" applyFont="1" applyBorder="1" applyAlignment="1">
      <alignment/>
    </xf>
    <xf numFmtId="9" fontId="1" fillId="0" borderId="23" xfId="23" applyFont="1" applyBorder="1" applyAlignment="1">
      <alignment/>
    </xf>
    <xf numFmtId="9" fontId="1" fillId="0" borderId="24" xfId="23" applyFont="1" applyBorder="1" applyAlignment="1">
      <alignment/>
    </xf>
    <xf numFmtId="9" fontId="0" fillId="6" borderId="26" xfId="23" applyFill="1" applyBorder="1" applyAlignment="1">
      <alignment/>
    </xf>
    <xf numFmtId="9" fontId="1" fillId="8" borderId="54" xfId="23" applyFont="1" applyFill="1" applyBorder="1" applyAlignment="1">
      <alignment/>
    </xf>
    <xf numFmtId="166" fontId="1" fillId="6" borderId="26" xfId="15" applyNumberFormat="1" applyFont="1" applyFill="1" applyBorder="1" applyAlignment="1">
      <alignment wrapText="1"/>
    </xf>
    <xf numFmtId="0" fontId="0" fillId="0" borderId="30" xfId="0" applyFont="1" applyBorder="1" applyAlignment="1">
      <alignment/>
    </xf>
    <xf numFmtId="166" fontId="0" fillId="0" borderId="55" xfId="15" applyNumberFormat="1" applyBorder="1" applyAlignment="1">
      <alignment/>
    </xf>
    <xf numFmtId="0" fontId="1" fillId="6" borderId="56" xfId="0" applyFont="1" applyFill="1" applyBorder="1" applyAlignment="1">
      <alignment/>
    </xf>
    <xf numFmtId="37" fontId="0" fillId="0" borderId="57" xfId="0" applyNumberFormat="1" applyFont="1" applyFill="1" applyBorder="1" applyAlignment="1">
      <alignment/>
    </xf>
    <xf numFmtId="37" fontId="0" fillId="0" borderId="48" xfId="21" applyNumberFormat="1" applyFont="1" applyFill="1" applyBorder="1">
      <alignment/>
      <protection/>
    </xf>
    <xf numFmtId="37" fontId="0" fillId="0" borderId="49" xfId="21" applyNumberFormat="1" applyFont="1" applyFill="1" applyBorder="1">
      <alignment/>
      <protection/>
    </xf>
    <xf numFmtId="37" fontId="0" fillId="0" borderId="48" xfId="0" applyNumberFormat="1" applyFont="1" applyFill="1" applyBorder="1" applyAlignment="1">
      <alignment/>
    </xf>
    <xf numFmtId="9" fontId="0" fillId="0" borderId="22" xfId="23" applyFont="1" applyFill="1" applyBorder="1" applyAlignment="1">
      <alignment/>
    </xf>
    <xf numFmtId="9" fontId="0" fillId="0" borderId="23" xfId="23" applyFont="1" applyFill="1" applyBorder="1" applyAlignment="1">
      <alignment/>
    </xf>
    <xf numFmtId="9" fontId="0" fillId="0" borderId="24" xfId="23" applyFont="1" applyFill="1" applyBorder="1" applyAlignment="1">
      <alignment/>
    </xf>
    <xf numFmtId="9" fontId="0" fillId="0" borderId="23" xfId="23" applyFont="1" applyFill="1" applyBorder="1" applyAlignment="1">
      <alignment/>
    </xf>
    <xf numFmtId="166" fontId="0" fillId="0" borderId="0" xfId="0" applyNumberFormat="1" applyFont="1" applyAlignment="1">
      <alignment/>
    </xf>
    <xf numFmtId="43" fontId="0" fillId="0" borderId="0" xfId="0" applyNumberFormat="1" applyFont="1" applyAlignment="1">
      <alignment/>
    </xf>
    <xf numFmtId="43" fontId="0" fillId="0" borderId="15" xfId="15" applyNumberFormat="1" applyFont="1" applyFill="1" applyBorder="1" applyAlignment="1">
      <alignment/>
    </xf>
    <xf numFmtId="0" fontId="1" fillId="0" borderId="30" xfId="0" applyFont="1" applyBorder="1" applyAlignment="1">
      <alignment/>
    </xf>
    <xf numFmtId="9" fontId="0" fillId="0" borderId="17" xfId="23" applyFont="1" applyBorder="1" applyAlignment="1">
      <alignment/>
    </xf>
    <xf numFmtId="0" fontId="1" fillId="0" borderId="9" xfId="0" applyFont="1" applyBorder="1" applyAlignment="1">
      <alignment/>
    </xf>
    <xf numFmtId="9" fontId="0" fillId="0" borderId="7" xfId="23" applyFont="1" applyBorder="1" applyAlignment="1">
      <alignment/>
    </xf>
    <xf numFmtId="166" fontId="0" fillId="0" borderId="1" xfId="0" applyNumberFormat="1" applyFont="1" applyBorder="1" applyAlignment="1">
      <alignment/>
    </xf>
    <xf numFmtId="0" fontId="1" fillId="0" borderId="10" xfId="0" applyFont="1" applyBorder="1" applyAlignment="1">
      <alignment/>
    </xf>
    <xf numFmtId="166" fontId="0" fillId="0" borderId="1" xfId="15" applyNumberFormat="1" applyFont="1" applyBorder="1" applyAlignment="1">
      <alignment/>
    </xf>
    <xf numFmtId="9" fontId="0" fillId="0" borderId="1" xfId="23" applyFont="1" applyBorder="1" applyAlignment="1">
      <alignment/>
    </xf>
    <xf numFmtId="166" fontId="0" fillId="0" borderId="7" xfId="15" applyNumberFormat="1" applyFont="1" applyBorder="1" applyAlignment="1">
      <alignment/>
    </xf>
    <xf numFmtId="166" fontId="0" fillId="0" borderId="8" xfId="0" applyNumberFormat="1" applyFont="1" applyBorder="1" applyAlignment="1">
      <alignment/>
    </xf>
    <xf numFmtId="166" fontId="0" fillId="0" borderId="8" xfId="15" applyNumberFormat="1" applyFont="1" applyBorder="1" applyAlignment="1">
      <alignment/>
    </xf>
    <xf numFmtId="166" fontId="0" fillId="0" borderId="15" xfId="15" applyNumberFormat="1" applyFont="1" applyBorder="1" applyAlignment="1">
      <alignment/>
    </xf>
    <xf numFmtId="0" fontId="1" fillId="6" borderId="31" xfId="0" applyFont="1" applyFill="1" applyBorder="1" applyAlignment="1">
      <alignment wrapText="1"/>
    </xf>
    <xf numFmtId="0" fontId="1" fillId="6" borderId="33" xfId="0" applyFont="1" applyFill="1" applyBorder="1" applyAlignment="1">
      <alignment wrapText="1"/>
    </xf>
    <xf numFmtId="0" fontId="1" fillId="6" borderId="34" xfId="0" applyFont="1" applyFill="1" applyBorder="1" applyAlignment="1">
      <alignment wrapText="1"/>
    </xf>
    <xf numFmtId="0" fontId="1" fillId="6" borderId="2" xfId="0" applyFont="1" applyFill="1" applyBorder="1" applyAlignment="1">
      <alignment horizontal="center" wrapText="1"/>
    </xf>
    <xf numFmtId="0" fontId="1" fillId="6" borderId="14" xfId="0" applyFont="1" applyFill="1" applyBorder="1" applyAlignment="1">
      <alignment horizontal="center" wrapText="1"/>
    </xf>
    <xf numFmtId="166" fontId="1" fillId="6" borderId="14" xfId="15" applyNumberFormat="1" applyFont="1" applyFill="1" applyBorder="1" applyAlignment="1">
      <alignment horizontal="center" wrapText="1"/>
    </xf>
    <xf numFmtId="0" fontId="1" fillId="6" borderId="3" xfId="0" applyFont="1" applyFill="1" applyBorder="1" applyAlignment="1">
      <alignment horizontal="center" wrapText="1"/>
    </xf>
    <xf numFmtId="9" fontId="0" fillId="0" borderId="15" xfId="0" applyNumberFormat="1" applyFont="1" applyBorder="1" applyAlignment="1">
      <alignment/>
    </xf>
    <xf numFmtId="9" fontId="0" fillId="0" borderId="8" xfId="0" applyNumberFormat="1" applyFont="1" applyBorder="1" applyAlignment="1">
      <alignment/>
    </xf>
    <xf numFmtId="166" fontId="0" fillId="0" borderId="16" xfId="15" applyNumberFormat="1" applyFont="1" applyBorder="1" applyAlignment="1">
      <alignment/>
    </xf>
    <xf numFmtId="166" fontId="0" fillId="0" borderId="58" xfId="15" applyNumberFormat="1" applyFont="1" applyBorder="1" applyAlignment="1">
      <alignment/>
    </xf>
    <xf numFmtId="10" fontId="0" fillId="4" borderId="59" xfId="21" applyNumberFormat="1" applyFont="1" applyFill="1" applyBorder="1">
      <alignment/>
      <protection/>
    </xf>
    <xf numFmtId="10" fontId="0" fillId="4" borderId="60" xfId="21" applyNumberFormat="1" applyFont="1" applyFill="1" applyBorder="1">
      <alignment/>
      <protection/>
    </xf>
    <xf numFmtId="10" fontId="0" fillId="4" borderId="12" xfId="21" applyNumberFormat="1" applyFont="1" applyFill="1" applyBorder="1">
      <alignment/>
      <protection/>
    </xf>
    <xf numFmtId="166" fontId="0" fillId="5" borderId="59" xfId="0" applyNumberFormat="1" applyFill="1" applyBorder="1" applyAlignment="1">
      <alignment/>
    </xf>
    <xf numFmtId="166" fontId="0" fillId="5" borderId="60" xfId="0" applyNumberFormat="1" applyFill="1" applyBorder="1" applyAlignment="1">
      <alignment/>
    </xf>
    <xf numFmtId="166" fontId="0" fillId="5" borderId="61" xfId="0" applyNumberFormat="1" applyFill="1" applyBorder="1" applyAlignment="1">
      <alignment/>
    </xf>
    <xf numFmtId="164" fontId="1" fillId="3" borderId="62" xfId="15" applyNumberFormat="1" applyFont="1" applyFill="1" applyBorder="1" applyAlignment="1">
      <alignment wrapText="1"/>
    </xf>
    <xf numFmtId="164" fontId="1" fillId="3" borderId="63" xfId="15" applyNumberFormat="1" applyFont="1" applyFill="1" applyBorder="1" applyAlignment="1">
      <alignment wrapText="1"/>
    </xf>
    <xf numFmtId="164" fontId="1" fillId="3" borderId="64" xfId="15" applyNumberFormat="1" applyFont="1" applyFill="1" applyBorder="1" applyAlignment="1">
      <alignment wrapText="1"/>
    </xf>
    <xf numFmtId="37" fontId="0" fillId="0" borderId="2" xfId="21" applyNumberFormat="1" applyFont="1" applyBorder="1">
      <alignment/>
      <protection/>
    </xf>
    <xf numFmtId="0" fontId="0" fillId="0" borderId="16" xfId="0" applyFont="1" applyFill="1" applyBorder="1" applyAlignment="1">
      <alignment/>
    </xf>
    <xf numFmtId="9" fontId="0" fillId="0" borderId="1" xfId="0" applyNumberFormat="1" applyFont="1" applyFill="1" applyBorder="1" applyAlignment="1">
      <alignment/>
    </xf>
    <xf numFmtId="166" fontId="0" fillId="0" borderId="1" xfId="15" applyNumberFormat="1" applyFont="1" applyFill="1" applyBorder="1" applyAlignment="1">
      <alignment/>
    </xf>
    <xf numFmtId="9" fontId="0" fillId="0" borderId="9" xfId="0" applyNumberFormat="1" applyFont="1" applyFill="1" applyBorder="1" applyAlignment="1">
      <alignment/>
    </xf>
    <xf numFmtId="9" fontId="0" fillId="7" borderId="1" xfId="0" applyNumberFormat="1" applyFont="1" applyFill="1" applyBorder="1" applyAlignment="1">
      <alignment/>
    </xf>
    <xf numFmtId="0" fontId="0" fillId="0" borderId="9" xfId="0" applyFont="1" applyFill="1" applyBorder="1" applyAlignment="1">
      <alignment/>
    </xf>
    <xf numFmtId="0" fontId="0" fillId="0" borderId="1" xfId="0" applyFont="1" applyFill="1" applyBorder="1" applyAlignment="1">
      <alignment/>
    </xf>
    <xf numFmtId="9" fontId="0" fillId="0" borderId="1" xfId="23" applyFill="1" applyBorder="1" applyAlignment="1">
      <alignment horizontal="right"/>
    </xf>
    <xf numFmtId="9" fontId="0" fillId="7" borderId="8" xfId="0" applyNumberFormat="1" applyFont="1" applyFill="1" applyBorder="1" applyAlignment="1">
      <alignment/>
    </xf>
    <xf numFmtId="166" fontId="0" fillId="0" borderId="11" xfId="0" applyNumberFormat="1" applyFill="1" applyBorder="1" applyAlignment="1">
      <alignment/>
    </xf>
    <xf numFmtId="166" fontId="0" fillId="0" borderId="12" xfId="0" applyNumberFormat="1" applyFill="1" applyBorder="1" applyAlignment="1">
      <alignment/>
    </xf>
    <xf numFmtId="166" fontId="0" fillId="6" borderId="22" xfId="0" applyNumberFormat="1" applyFill="1" applyBorder="1" applyAlignment="1">
      <alignment/>
    </xf>
    <xf numFmtId="166" fontId="0" fillId="6" borderId="23" xfId="0" applyNumberFormat="1" applyFill="1" applyBorder="1" applyAlignment="1">
      <alignment/>
    </xf>
    <xf numFmtId="166" fontId="0" fillId="6" borderId="54" xfId="0" applyNumberFormat="1" applyFill="1" applyBorder="1" applyAlignment="1">
      <alignment/>
    </xf>
    <xf numFmtId="166" fontId="0" fillId="6" borderId="25" xfId="0" applyNumberFormat="1" applyFill="1" applyBorder="1" applyAlignment="1">
      <alignment/>
    </xf>
    <xf numFmtId="166" fontId="0" fillId="5" borderId="16" xfId="0" applyNumberFormat="1" applyFont="1" applyFill="1" applyBorder="1" applyAlignment="1">
      <alignment/>
    </xf>
    <xf numFmtId="166" fontId="0" fillId="6" borderId="17" xfId="0" applyNumberFormat="1" applyFill="1" applyBorder="1" applyAlignment="1">
      <alignment/>
    </xf>
    <xf numFmtId="166" fontId="0" fillId="6" borderId="1" xfId="15" applyNumberFormat="1" applyFont="1" applyFill="1" applyBorder="1" applyAlignment="1">
      <alignment/>
    </xf>
    <xf numFmtId="166" fontId="0" fillId="6" borderId="7" xfId="0" applyNumberFormat="1" applyFill="1" applyBorder="1" applyAlignment="1">
      <alignment/>
    </xf>
    <xf numFmtId="166" fontId="0" fillId="0" borderId="11" xfId="15" applyNumberFormat="1" applyFont="1" applyFill="1" applyBorder="1" applyAlignment="1">
      <alignment/>
    </xf>
    <xf numFmtId="166" fontId="0" fillId="6" borderId="4" xfId="15" applyNumberFormat="1" applyFont="1" applyFill="1" applyBorder="1" applyAlignment="1">
      <alignment/>
    </xf>
    <xf numFmtId="166" fontId="0" fillId="6" borderId="16" xfId="15" applyNumberFormat="1" applyFont="1" applyFill="1" applyBorder="1" applyAlignment="1">
      <alignment/>
    </xf>
    <xf numFmtId="166" fontId="0" fillId="0" borderId="0" xfId="0" applyNumberFormat="1" applyFill="1" applyAlignment="1">
      <alignment/>
    </xf>
    <xf numFmtId="3" fontId="0" fillId="0" borderId="0" xfId="0" applyNumberFormat="1" applyAlignment="1">
      <alignment/>
    </xf>
    <xf numFmtId="0" fontId="0" fillId="0" borderId="0" xfId="0" applyAlignment="1">
      <alignment horizontal="right"/>
    </xf>
    <xf numFmtId="9" fontId="0" fillId="6" borderId="1" xfId="23" applyFont="1" applyFill="1" applyBorder="1" applyAlignment="1">
      <alignment/>
    </xf>
    <xf numFmtId="165" fontId="0" fillId="0" borderId="0" xfId="23" applyNumberFormat="1" applyFill="1" applyAlignment="1">
      <alignment/>
    </xf>
    <xf numFmtId="166" fontId="0" fillId="0" borderId="7" xfId="0" applyNumberFormat="1" applyBorder="1" applyAlignment="1">
      <alignment/>
    </xf>
    <xf numFmtId="166" fontId="0" fillId="0" borderId="15" xfId="0" applyNumberFormat="1" applyBorder="1" applyAlignment="1">
      <alignment/>
    </xf>
    <xf numFmtId="0" fontId="1" fillId="6" borderId="63" xfId="0" applyFont="1" applyFill="1" applyBorder="1" applyAlignment="1">
      <alignment horizontal="center" wrapText="1"/>
    </xf>
    <xf numFmtId="0" fontId="1" fillId="6" borderId="64" xfId="0" applyFont="1" applyFill="1" applyBorder="1" applyAlignment="1">
      <alignment horizontal="center" wrapText="1"/>
    </xf>
    <xf numFmtId="166" fontId="0" fillId="0" borderId="17" xfId="0" applyNumberFormat="1" applyBorder="1" applyAlignment="1">
      <alignment/>
    </xf>
    <xf numFmtId="0" fontId="1" fillId="5" borderId="31" xfId="0" applyFont="1" applyFill="1" applyBorder="1" applyAlignment="1">
      <alignment horizontal="left" wrapText="1"/>
    </xf>
    <xf numFmtId="166" fontId="0" fillId="5" borderId="33" xfId="15" applyNumberFormat="1" applyFill="1" applyBorder="1" applyAlignment="1">
      <alignment/>
    </xf>
    <xf numFmtId="166" fontId="0" fillId="5" borderId="34" xfId="15" applyNumberFormat="1" applyFill="1" applyBorder="1" applyAlignment="1">
      <alignment/>
    </xf>
    <xf numFmtId="0" fontId="0" fillId="8" borderId="65" xfId="22" applyFont="1" applyFill="1" applyBorder="1">
      <alignment/>
      <protection/>
    </xf>
    <xf numFmtId="0" fontId="0" fillId="8" borderId="37" xfId="22" applyFont="1" applyFill="1" applyBorder="1">
      <alignment/>
      <protection/>
    </xf>
    <xf numFmtId="0" fontId="0" fillId="8" borderId="32" xfId="22" applyFont="1" applyFill="1" applyBorder="1">
      <alignment/>
      <protection/>
    </xf>
    <xf numFmtId="0" fontId="0" fillId="8" borderId="38" xfId="22" applyFont="1" applyFill="1" applyBorder="1">
      <alignment/>
      <protection/>
    </xf>
    <xf numFmtId="0" fontId="0" fillId="8" borderId="26" xfId="22" applyFont="1" applyFill="1" applyBorder="1">
      <alignment/>
      <protection/>
    </xf>
    <xf numFmtId="0" fontId="0" fillId="8" borderId="31" xfId="22" applyFont="1" applyFill="1" applyBorder="1" applyAlignment="1">
      <alignment wrapText="1"/>
      <protection/>
    </xf>
    <xf numFmtId="0" fontId="0" fillId="8" borderId="33" xfId="22" applyFont="1" applyFill="1" applyBorder="1" applyAlignment="1">
      <alignment wrapText="1"/>
      <protection/>
    </xf>
    <xf numFmtId="0" fontId="0" fillId="8" borderId="34" xfId="22" applyFont="1" applyFill="1" applyBorder="1">
      <alignment/>
      <protection/>
    </xf>
    <xf numFmtId="0" fontId="0" fillId="8" borderId="53" xfId="22" applyFont="1" applyFill="1" applyBorder="1" applyAlignment="1">
      <alignment wrapText="1"/>
      <protection/>
    </xf>
    <xf numFmtId="0" fontId="0" fillId="8" borderId="58" xfId="22" applyFont="1" applyFill="1" applyBorder="1" applyAlignment="1">
      <alignment wrapText="1"/>
      <protection/>
    </xf>
    <xf numFmtId="0" fontId="0" fillId="8" borderId="55" xfId="22" applyFont="1" applyFill="1" applyBorder="1">
      <alignment/>
      <protection/>
    </xf>
    <xf numFmtId="166" fontId="0" fillId="5" borderId="1" xfId="22" applyNumberFormat="1" applyFont="1" applyFill="1" applyBorder="1">
      <alignment/>
      <protection/>
    </xf>
    <xf numFmtId="0" fontId="0" fillId="0" borderId="56" xfId="0" applyBorder="1" applyAlignment="1">
      <alignment/>
    </xf>
    <xf numFmtId="166" fontId="0" fillId="5" borderId="7" xfId="22" applyNumberFormat="1" applyFont="1" applyFill="1" applyBorder="1">
      <alignment/>
      <protection/>
    </xf>
    <xf numFmtId="0" fontId="0" fillId="5" borderId="10" xfId="22" applyFont="1" applyFill="1" applyBorder="1">
      <alignment/>
      <protection/>
    </xf>
    <xf numFmtId="166" fontId="0" fillId="5" borderId="8" xfId="22" applyNumberFormat="1" applyFont="1" applyFill="1" applyBorder="1">
      <alignment/>
      <protection/>
    </xf>
    <xf numFmtId="166" fontId="0" fillId="5" borderId="15" xfId="22" applyNumberFormat="1" applyFont="1" applyFill="1" applyBorder="1">
      <alignment/>
      <protection/>
    </xf>
    <xf numFmtId="0" fontId="1" fillId="6" borderId="65" xfId="0" applyFont="1" applyFill="1" applyBorder="1" applyAlignment="1">
      <alignment/>
    </xf>
    <xf numFmtId="0" fontId="0" fillId="6" borderId="65" xfId="0" applyFill="1" applyBorder="1" applyAlignment="1">
      <alignment/>
    </xf>
    <xf numFmtId="0" fontId="1" fillId="0" borderId="41" xfId="0" applyFont="1" applyBorder="1" applyAlignment="1">
      <alignment/>
    </xf>
    <xf numFmtId="9" fontId="0" fillId="0" borderId="15" xfId="23" applyFont="1" applyBorder="1" applyAlignment="1">
      <alignment/>
    </xf>
    <xf numFmtId="0" fontId="1" fillId="6" borderId="37" xfId="0" applyFont="1" applyFill="1" applyBorder="1" applyAlignment="1">
      <alignment horizontal="center"/>
    </xf>
    <xf numFmtId="0" fontId="1" fillId="6" borderId="32" xfId="0" applyFont="1" applyFill="1" applyBorder="1" applyAlignment="1">
      <alignment horizontal="center"/>
    </xf>
    <xf numFmtId="0" fontId="1" fillId="6" borderId="38" xfId="0" applyFont="1" applyFill="1" applyBorder="1" applyAlignment="1">
      <alignment horizontal="center"/>
    </xf>
    <xf numFmtId="0" fontId="1" fillId="6" borderId="37" xfId="0" applyFont="1" applyFill="1" applyBorder="1" applyAlignment="1">
      <alignment horizontal="left"/>
    </xf>
    <xf numFmtId="0" fontId="1" fillId="6" borderId="32" xfId="0" applyFont="1" applyFill="1" applyBorder="1" applyAlignment="1">
      <alignment horizontal="left"/>
    </xf>
    <xf numFmtId="0" fontId="1" fillId="6" borderId="38" xfId="0" applyFont="1" applyFill="1" applyBorder="1" applyAlignment="1">
      <alignment horizontal="left"/>
    </xf>
    <xf numFmtId="0" fontId="1" fillId="5" borderId="37" xfId="0" applyFont="1" applyFill="1" applyBorder="1" applyAlignment="1">
      <alignment horizontal="left"/>
    </xf>
    <xf numFmtId="0" fontId="1" fillId="5" borderId="32" xfId="0" applyFont="1" applyFill="1" applyBorder="1" applyAlignment="1">
      <alignment horizontal="left"/>
    </xf>
    <xf numFmtId="0" fontId="1" fillId="5" borderId="38" xfId="0" applyFont="1" applyFill="1" applyBorder="1" applyAlignment="1">
      <alignment horizontal="left"/>
    </xf>
    <xf numFmtId="0" fontId="1" fillId="0" borderId="43" xfId="0" applyFont="1" applyBorder="1" applyAlignment="1">
      <alignment horizontal="center"/>
    </xf>
    <xf numFmtId="0" fontId="1" fillId="0" borderId="59" xfId="0" applyFont="1" applyBorder="1" applyAlignment="1">
      <alignment horizontal="center"/>
    </xf>
    <xf numFmtId="0" fontId="1" fillId="0" borderId="0" xfId="0" applyFont="1" applyFill="1" applyBorder="1" applyAlignment="1">
      <alignment/>
    </xf>
    <xf numFmtId="9" fontId="0" fillId="0" borderId="0" xfId="23" applyAlignment="1">
      <alignment/>
    </xf>
    <xf numFmtId="9" fontId="0" fillId="5" borderId="1" xfId="0" applyNumberFormat="1" applyFont="1" applyFill="1" applyBorder="1" applyAlignment="1">
      <alignment/>
    </xf>
    <xf numFmtId="9" fontId="0" fillId="5" borderId="1" xfId="23" applyFont="1" applyFill="1" applyBorder="1" applyAlignment="1">
      <alignment/>
    </xf>
    <xf numFmtId="9" fontId="0" fillId="5" borderId="14" xfId="0" applyNumberFormat="1" applyFont="1" applyFill="1" applyBorder="1" applyAlignment="1">
      <alignment/>
    </xf>
    <xf numFmtId="166" fontId="0" fillId="5" borderId="3" xfId="15" applyNumberFormat="1" applyFont="1" applyFill="1" applyBorder="1" applyAlignment="1">
      <alignment/>
    </xf>
    <xf numFmtId="166" fontId="0" fillId="5" borderId="7" xfId="15" applyNumberFormat="1" applyFont="1" applyFill="1" applyBorder="1" applyAlignment="1">
      <alignment/>
    </xf>
    <xf numFmtId="166" fontId="0" fillId="5" borderId="2" xfId="15" applyNumberFormat="1" applyFont="1" applyFill="1" applyBorder="1" applyAlignment="1">
      <alignment/>
    </xf>
    <xf numFmtId="166" fontId="0" fillId="5" borderId="9" xfId="15" applyNumberFormat="1" applyFont="1" applyFill="1" applyBorder="1" applyAlignment="1">
      <alignment/>
    </xf>
    <xf numFmtId="166" fontId="0" fillId="5" borderId="10" xfId="15" applyNumberFormat="1" applyFont="1" applyFill="1" applyBorder="1" applyAlignment="1">
      <alignment/>
    </xf>
    <xf numFmtId="166" fontId="0" fillId="5" borderId="8" xfId="0" applyNumberFormat="1" applyFill="1" applyBorder="1" applyAlignment="1">
      <alignment/>
    </xf>
    <xf numFmtId="166" fontId="0" fillId="5" borderId="15" xfId="0" applyNumberFormat="1" applyFill="1" applyBorder="1" applyAlignment="1">
      <alignment/>
    </xf>
    <xf numFmtId="9" fontId="0" fillId="5" borderId="14" xfId="23" applyFont="1" applyFill="1" applyBorder="1" applyAlignment="1">
      <alignment/>
    </xf>
    <xf numFmtId="0" fontId="0" fillId="5" borderId="15" xfId="0" applyFill="1" applyBorder="1" applyAlignment="1">
      <alignment/>
    </xf>
    <xf numFmtId="166" fontId="0" fillId="6" borderId="11" xfId="15" applyNumberFormat="1" applyFont="1" applyFill="1" applyBorder="1" applyAlignment="1">
      <alignment/>
    </xf>
    <xf numFmtId="0" fontId="0" fillId="5" borderId="2" xfId="0" applyFill="1" applyBorder="1" applyAlignment="1">
      <alignment/>
    </xf>
    <xf numFmtId="0" fontId="0" fillId="5" borderId="3" xfId="0" applyFill="1" applyBorder="1" applyAlignment="1">
      <alignment/>
    </xf>
    <xf numFmtId="9" fontId="0" fillId="5" borderId="10" xfId="23" applyFill="1" applyBorder="1" applyAlignment="1">
      <alignment/>
    </xf>
    <xf numFmtId="166" fontId="0" fillId="0" borderId="0" xfId="0" applyNumberFormat="1" applyAlignment="1">
      <alignment/>
    </xf>
    <xf numFmtId="166" fontId="0" fillId="6" borderId="30" xfId="15" applyNumberFormat="1" applyFont="1" applyFill="1" applyBorder="1" applyAlignment="1">
      <alignment/>
    </xf>
    <xf numFmtId="0" fontId="0" fillId="0" borderId="0" xfId="0" applyFill="1" applyBorder="1" applyAlignment="1">
      <alignment/>
    </xf>
    <xf numFmtId="0" fontId="0" fillId="0" borderId="13" xfId="0" applyFill="1" applyBorder="1" applyAlignment="1">
      <alignment/>
    </xf>
    <xf numFmtId="166" fontId="0" fillId="6" borderId="48" xfId="15" applyNumberFormat="1" applyFont="1" applyFill="1" applyBorder="1" applyAlignment="1">
      <alignment/>
    </xf>
    <xf numFmtId="166" fontId="0" fillId="5" borderId="49" xfId="15" applyNumberFormat="1" applyFont="1" applyFill="1" applyBorder="1" applyAlignment="1">
      <alignment/>
    </xf>
  </cellXfs>
  <cellStyles count="10">
    <cellStyle name="Normal" xfId="0"/>
    <cellStyle name="Comma" xfId="15"/>
    <cellStyle name="Comma [0]" xfId="16"/>
    <cellStyle name="Currency" xfId="17"/>
    <cellStyle name="Currency [0]" xfId="18"/>
    <cellStyle name="Data Field" xfId="19"/>
    <cellStyle name="Data Name" xfId="20"/>
    <cellStyle name="Normal_Final Load and Revenue Forecast with 35% Rate Increase-2000" xfId="21"/>
    <cellStyle name="Normal_PNWHousingForecast80202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NWResCharacterics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NWPop&amp;Housing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NWClimateZ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Home Characteristics"/>
      <sheetName val="PNW Existing Characteristics"/>
      <sheetName val="Idaho Characteristics"/>
      <sheetName val="Montana Characteristics"/>
      <sheetName val="Oregon Characteristics"/>
      <sheetName val="Washington Characteristics"/>
      <sheetName val="MDUResApplianceSat"/>
      <sheetName val="NorthWesternResApplianceSat"/>
      <sheetName val="AvistaResApplianceSat"/>
      <sheetName val="IPCResApplianceSat"/>
      <sheetName val="PacfiCorpResApplianceSat-ID"/>
      <sheetName val="PGEResApplianceSat"/>
      <sheetName val="PacfiCorpResApplianceSat-OR"/>
      <sheetName val="PacfiCorpResApplianceSat-CA"/>
      <sheetName val="PacfiCorpResApplianceSat-WA"/>
      <sheetName val="SCL Characteristics"/>
      <sheetName val="PSEResApplianceSat"/>
      <sheetName val=" Existing SphtSysType PNRES"/>
    </sheetNames>
    <sheetDataSet>
      <sheetData sheetId="0">
        <row r="11">
          <cell r="F11">
            <v>0.5972867560116092</v>
          </cell>
          <cell r="G11">
            <v>0.4024174295268282</v>
          </cell>
        </row>
        <row r="16">
          <cell r="C16">
            <v>0.062121036928145405</v>
          </cell>
          <cell r="D16">
            <v>0.9378789630718546</v>
          </cell>
        </row>
        <row r="17">
          <cell r="C17">
            <v>0.29581446156259716</v>
          </cell>
        </row>
        <row r="18">
          <cell r="C18">
            <v>0.346</v>
          </cell>
        </row>
        <row r="19">
          <cell r="C19">
            <v>0.29581446156259716</v>
          </cell>
        </row>
        <row r="21">
          <cell r="B21">
            <v>0.08897680769532464</v>
          </cell>
        </row>
        <row r="33">
          <cell r="G33">
            <v>0.3216397917076437</v>
          </cell>
        </row>
        <row r="50">
          <cell r="B50">
            <v>0.8388102203122795</v>
          </cell>
          <cell r="C50">
            <v>0.048111485285031126</v>
          </cell>
          <cell r="D50">
            <v>0.09489262930357956</v>
          </cell>
          <cell r="E50">
            <v>0.018874691803207038</v>
          </cell>
        </row>
      </sheetData>
      <sheetData sheetId="1">
        <row r="3">
          <cell r="B3">
            <v>0.1107316556485811</v>
          </cell>
          <cell r="C3">
            <v>0.08364543018072775</v>
          </cell>
          <cell r="D3">
            <v>0.2990579338764743</v>
          </cell>
          <cell r="E3">
            <v>0.5065649802942168</v>
          </cell>
          <cell r="F3">
            <v>1</v>
          </cell>
        </row>
        <row r="4">
          <cell r="B4">
            <v>0.7747453540896133</v>
          </cell>
          <cell r="C4">
            <v>0.79264824451558</v>
          </cell>
          <cell r="D4">
            <v>0.7050152358258817</v>
          </cell>
          <cell r="E4">
            <v>0.803169832943577</v>
          </cell>
        </row>
        <row r="5">
          <cell r="B5">
            <v>0.10953062005909824</v>
          </cell>
          <cell r="C5">
            <v>0.031799175300949806</v>
          </cell>
          <cell r="D5">
            <v>0.16842635916080426</v>
          </cell>
          <cell r="E5">
            <v>0.1354713348736597</v>
          </cell>
        </row>
        <row r="6">
          <cell r="B6">
            <v>0.1033268356618064</v>
          </cell>
          <cell r="C6">
            <v>0.17036820318609636</v>
          </cell>
          <cell r="D6">
            <v>0.12655840501331395</v>
          </cell>
          <cell r="E6">
            <v>0.058449928137198584</v>
          </cell>
        </row>
        <row r="8">
          <cell r="F8">
            <v>0.8243049688800121</v>
          </cell>
        </row>
        <row r="9">
          <cell r="F9">
            <v>1.1204469504317132</v>
          </cell>
        </row>
        <row r="10">
          <cell r="F10">
            <v>0.5673737735173195</v>
          </cell>
        </row>
        <row r="11">
          <cell r="F11">
            <v>0.6715984668883408</v>
          </cell>
        </row>
        <row r="12">
          <cell r="F12">
            <v>0.8468925125391364</v>
          </cell>
        </row>
        <row r="13">
          <cell r="F13">
            <v>0.8208495645747469</v>
          </cell>
        </row>
        <row r="14">
          <cell r="F14">
            <v>0.6380307253225443</v>
          </cell>
        </row>
        <row r="18">
          <cell r="F18">
            <v>0.11108830806400877</v>
          </cell>
        </row>
        <row r="19">
          <cell r="F19">
            <v>0.17432985908100734</v>
          </cell>
        </row>
      </sheetData>
      <sheetData sheetId="17">
        <row r="52">
          <cell r="Q52">
            <v>0.46950319222749537</v>
          </cell>
        </row>
        <row r="53">
          <cell r="Q53">
            <v>0.0704968077725047</v>
          </cell>
        </row>
        <row r="54">
          <cell r="Q54">
            <v>0.060861524918379026</v>
          </cell>
        </row>
        <row r="55">
          <cell r="Q55">
            <v>0.00913847508162098</v>
          </cell>
        </row>
        <row r="56">
          <cell r="Q56">
            <v>0.08723237480448418</v>
          </cell>
        </row>
        <row r="57">
          <cell r="Q57">
            <v>0.051781901119998336</v>
          </cell>
        </row>
        <row r="58">
          <cell r="Q58">
            <v>0.1814268914684481</v>
          </cell>
        </row>
        <row r="59">
          <cell r="Q59">
            <v>0.00955883260706941</v>
          </cell>
        </row>
        <row r="60">
          <cell r="Q60">
            <v>0.06</v>
          </cell>
        </row>
        <row r="63">
          <cell r="K63" t="str">
            <v>Natural Gas FAF</v>
          </cell>
          <cell r="Q63">
            <v>0.05642394453305556</v>
          </cell>
        </row>
        <row r="64">
          <cell r="K64" t="str">
            <v>Natural Gas Other</v>
          </cell>
          <cell r="Q64">
            <v>0.033576055466944435</v>
          </cell>
        </row>
        <row r="65">
          <cell r="K65" t="str">
            <v>Oil FAF</v>
          </cell>
          <cell r="Q65">
            <v>0.06896259887373458</v>
          </cell>
        </row>
        <row r="66">
          <cell r="K66" t="str">
            <v>Oil Other</v>
          </cell>
          <cell r="Q66">
            <v>0.04103740112626542</v>
          </cell>
        </row>
        <row r="67">
          <cell r="K67" t="str">
            <v>Electric FAF</v>
          </cell>
          <cell r="Q67">
            <v>0.0761208275428062</v>
          </cell>
        </row>
        <row r="68">
          <cell r="K68" t="str">
            <v>Heat Pump</v>
          </cell>
          <cell r="Q68">
            <v>0.012913181424862995</v>
          </cell>
        </row>
        <row r="69">
          <cell r="K69" t="str">
            <v>Baseboard/Wall/Radiant</v>
          </cell>
          <cell r="Q69">
            <v>0.6241752628680808</v>
          </cell>
        </row>
        <row r="70">
          <cell r="K70" t="str">
            <v>Electric Other</v>
          </cell>
          <cell r="Q70">
            <v>0.026790728164250027</v>
          </cell>
        </row>
        <row r="71">
          <cell r="K71" t="str">
            <v>Wood</v>
          </cell>
          <cell r="Q71">
            <v>0.06</v>
          </cell>
        </row>
        <row r="74">
          <cell r="K74" t="str">
            <v>Natural Gas FAF</v>
          </cell>
          <cell r="Q74">
            <v>0.07705595698201982</v>
          </cell>
        </row>
        <row r="75">
          <cell r="K75" t="str">
            <v>Natural Gas Other</v>
          </cell>
          <cell r="Q75">
            <v>0.012944043017980173</v>
          </cell>
        </row>
        <row r="76">
          <cell r="K76" t="str">
            <v>Oil FAF</v>
          </cell>
          <cell r="Q76">
            <v>0.008561772998002202</v>
          </cell>
        </row>
        <row r="77">
          <cell r="K77" t="str">
            <v>Oil Other</v>
          </cell>
          <cell r="Q77">
            <v>0.0014382270019977971</v>
          </cell>
        </row>
        <row r="78">
          <cell r="K78" t="str">
            <v>Electric FAF</v>
          </cell>
          <cell r="Q78">
            <v>0.6383351808928751</v>
          </cell>
        </row>
        <row r="79">
          <cell r="K79" t="str">
            <v>Heat Pump</v>
          </cell>
          <cell r="Q79">
            <v>0.07519197823238939</v>
          </cell>
        </row>
        <row r="80">
          <cell r="K80" t="str">
            <v>Baseboard/Wall/Radiant</v>
          </cell>
          <cell r="Q80">
            <v>0.10484732439786355</v>
          </cell>
        </row>
        <row r="81">
          <cell r="K81" t="str">
            <v>Electric Other</v>
          </cell>
          <cell r="Q81">
            <v>0.021625516476871894</v>
          </cell>
        </row>
        <row r="82">
          <cell r="K82" t="str">
            <v>Wood</v>
          </cell>
          <cell r="Q82">
            <v>0.06</v>
          </cell>
        </row>
        <row r="95">
          <cell r="AG95" t="str">
            <v>Natural Gas FAF</v>
          </cell>
        </row>
        <row r="96">
          <cell r="AG96" t="str">
            <v>Natural Gas Other</v>
          </cell>
        </row>
        <row r="97">
          <cell r="AG97" t="str">
            <v>Oil FAF</v>
          </cell>
        </row>
        <row r="98">
          <cell r="AG98" t="str">
            <v>Oil Other</v>
          </cell>
        </row>
        <row r="99">
          <cell r="AG99" t="str">
            <v>Electric FAF</v>
          </cell>
        </row>
        <row r="100">
          <cell r="AG100" t="str">
            <v>Heat Pump</v>
          </cell>
        </row>
        <row r="101">
          <cell r="AG101" t="str">
            <v>Baseboard/Wall/Radiant</v>
          </cell>
        </row>
        <row r="102">
          <cell r="AG102" t="str">
            <v>Electric Other</v>
          </cell>
        </row>
        <row r="103">
          <cell r="AG103" t="str">
            <v>Wood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for 5th Plan"/>
      <sheetName val="PNW Households &amp;  Housing Units"/>
      <sheetName val="Housing Completion Summary"/>
      <sheetName val="Housing Start Summary"/>
      <sheetName val="Starts by Utility Type"/>
      <sheetName val="PNWStarts"/>
      <sheetName val="IDStarts"/>
      <sheetName val="MTStarts"/>
      <sheetName val="ORStarts"/>
      <sheetName val="WAStarts"/>
      <sheetName val="ID"/>
      <sheetName val="MT"/>
      <sheetName val="OR"/>
      <sheetName val="WA"/>
      <sheetName val="MHSHIPMNTS &amp; SF &amp; MF Starts"/>
      <sheetName val="MH Retail Price &amp; Shipments"/>
      <sheetName val=" Production &amp; Shipments"/>
      <sheetName val="SF Mortgage Rates &amp; Home Prices"/>
      <sheetName val="Per Capita Income"/>
      <sheetName val="PNW and State Population"/>
      <sheetName val="Idaho County Population"/>
      <sheetName val="Montana County Population"/>
      <sheetName val="Oregon County Populaiton"/>
      <sheetName val="Washington County Population"/>
      <sheetName val="PNW Housing Units"/>
      <sheetName val="ID Housing Units by County"/>
      <sheetName val="MT Housing Units by County"/>
      <sheetName val="OR Housing Units by County"/>
      <sheetName val="WA Housing Units by County"/>
      <sheetName val="Historical Heating Fuel"/>
      <sheetName val="State Level Census Data"/>
      <sheetName val="Units by State &amp;Type 1940 to 00"/>
      <sheetName val="Existing Pre-80 Housing Units"/>
      <sheetName val="Population Forecast"/>
    </sheetNames>
    <sheetDataSet>
      <sheetData sheetId="0">
        <row r="3">
          <cell r="C3">
            <v>1893947.8914018378</v>
          </cell>
          <cell r="F3">
            <v>2468066.780708859</v>
          </cell>
        </row>
        <row r="4">
          <cell r="C4">
            <v>570031.3315719645</v>
          </cell>
          <cell r="F4">
            <v>391032.3229731304</v>
          </cell>
          <cell r="N4">
            <v>0.13876493842640067</v>
          </cell>
          <cell r="O4">
            <v>0.017197863642484722</v>
          </cell>
          <cell r="P4">
            <v>0.2637341453303465</v>
          </cell>
          <cell r="Q4">
            <v>0.580303052600768</v>
          </cell>
        </row>
        <row r="5">
          <cell r="C5">
            <v>283671.806297625</v>
          </cell>
          <cell r="F5">
            <v>152696.48398330316</v>
          </cell>
        </row>
        <row r="6">
          <cell r="B6">
            <v>4834325</v>
          </cell>
          <cell r="C6">
            <v>2747651.0292714275</v>
          </cell>
          <cell r="F6">
            <v>3011795.5876652924</v>
          </cell>
        </row>
        <row r="8">
          <cell r="B8">
            <v>0.7454366431714873</v>
          </cell>
          <cell r="F8">
            <v>814462.0376339236</v>
          </cell>
          <cell r="I8">
            <v>3008359.6007769923</v>
          </cell>
        </row>
        <row r="9">
          <cell r="B9">
            <v>0.15901702926468536</v>
          </cell>
          <cell r="F9">
            <v>289363.91900011647</v>
          </cell>
          <cell r="I9">
            <v>641745.2255099311</v>
          </cell>
        </row>
        <row r="10">
          <cell r="B10">
            <v>0.09554632756382742</v>
          </cell>
          <cell r="F10">
            <v>128265.04654597466</v>
          </cell>
          <cell r="I10">
            <v>312004.0283356045</v>
          </cell>
        </row>
        <row r="11">
          <cell r="F11">
            <v>1232091.0031800147</v>
          </cell>
          <cell r="I11">
            <v>3962108.8546225275</v>
          </cell>
        </row>
        <row r="14">
          <cell r="N14">
            <v>0.7719664463247355</v>
          </cell>
          <cell r="O14">
            <v>0.5711213577108927</v>
          </cell>
          <cell r="P14">
            <v>0.6244530319450299</v>
          </cell>
          <cell r="Q14">
            <v>0.6240347763525709</v>
          </cell>
          <cell r="R14">
            <v>0.6393907360268539</v>
          </cell>
        </row>
        <row r="15">
          <cell r="N15">
            <v>0.10329585010345081</v>
          </cell>
          <cell r="O15">
            <v>0.17431329892393466</v>
          </cell>
          <cell r="P15">
            <v>0.2443057092244633</v>
          </cell>
          <cell r="Q15">
            <v>0.2932388936035575</v>
          </cell>
          <cell r="R15">
            <v>0.25260776714740274</v>
          </cell>
        </row>
        <row r="16">
          <cell r="F16">
            <v>2612400.000001</v>
          </cell>
          <cell r="N16">
            <v>0.12473770357181362</v>
          </cell>
          <cell r="O16">
            <v>0.2545653433651727</v>
          </cell>
          <cell r="P16">
            <v>0.1312412588305067</v>
          </cell>
          <cell r="Q16">
            <v>0.0827263300438716</v>
          </cell>
          <cell r="R16">
            <v>0.10800149682574332</v>
          </cell>
        </row>
        <row r="17">
          <cell r="F17">
            <v>413899.99999999994</v>
          </cell>
        </row>
        <row r="18">
          <cell r="F18">
            <v>199748.99999999994</v>
          </cell>
        </row>
        <row r="19">
          <cell r="F19">
            <v>3226049.000001</v>
          </cell>
        </row>
      </sheetData>
      <sheetData sheetId="1">
        <row r="23">
          <cell r="B23">
            <v>4477755</v>
          </cell>
          <cell r="C23">
            <v>4904137.48498361</v>
          </cell>
        </row>
        <row r="48">
          <cell r="B48">
            <v>6358218.999998799</v>
          </cell>
          <cell r="C48">
            <v>7195641.985204779</v>
          </cell>
        </row>
      </sheetData>
      <sheetData sheetId="2">
        <row r="7">
          <cell r="B7">
            <v>0.6892971018608723</v>
          </cell>
          <cell r="C7">
            <v>0.20746132805777565</v>
          </cell>
          <cell r="D7">
            <v>0.10324157008135199</v>
          </cell>
        </row>
        <row r="12">
          <cell r="B12">
            <v>34041.667908873875</v>
          </cell>
          <cell r="C12">
            <v>10521.571534469978</v>
          </cell>
          <cell r="D12">
            <v>12261</v>
          </cell>
          <cell r="E12">
            <v>56824.23944334385</v>
          </cell>
          <cell r="F12">
            <v>21471.300380915134</v>
          </cell>
          <cell r="G12">
            <v>9224.354277146726</v>
          </cell>
          <cell r="H12">
            <v>11757.232826086956</v>
          </cell>
          <cell r="I12">
            <v>30695.65465806186</v>
          </cell>
          <cell r="J12">
            <v>42452.887484148814</v>
          </cell>
        </row>
        <row r="13">
          <cell r="B13">
            <v>23301.075334910875</v>
          </cell>
          <cell r="C13">
            <v>7378.052766358919</v>
          </cell>
          <cell r="D13">
            <v>8758</v>
          </cell>
          <cell r="E13">
            <v>39437.128101269795</v>
          </cell>
          <cell r="F13">
            <v>14859.644410208717</v>
          </cell>
          <cell r="G13">
            <v>6475.373912605795</v>
          </cell>
          <cell r="H13">
            <v>8493.814456459875</v>
          </cell>
          <cell r="I13">
            <v>21335.01832281451</v>
          </cell>
          <cell r="J13">
            <v>29828.832779274388</v>
          </cell>
        </row>
        <row r="14">
          <cell r="B14">
            <v>36092.572301099215</v>
          </cell>
          <cell r="C14">
            <v>8711.183705101423</v>
          </cell>
          <cell r="D14">
            <v>12114</v>
          </cell>
          <cell r="E14">
            <v>56917.75600620064</v>
          </cell>
          <cell r="F14">
            <v>22834.186139632664</v>
          </cell>
          <cell r="G14">
            <v>7669.969133328984</v>
          </cell>
          <cell r="H14">
            <v>11695.196900456984</v>
          </cell>
          <cell r="I14">
            <v>30504.15527296165</v>
          </cell>
          <cell r="J14">
            <v>42199.352173418636</v>
          </cell>
        </row>
        <row r="15">
          <cell r="B15">
            <v>33515.87539649398</v>
          </cell>
          <cell r="C15">
            <v>13441.905451849856</v>
          </cell>
          <cell r="D15">
            <v>11892</v>
          </cell>
          <cell r="E15">
            <v>58849.78084834384</v>
          </cell>
          <cell r="F15">
            <v>20699.393954005336</v>
          </cell>
          <cell r="G15">
            <v>11728.782363031372</v>
          </cell>
          <cell r="H15">
            <v>11415.67413441955</v>
          </cell>
          <cell r="I15">
            <v>32428.17631703671</v>
          </cell>
          <cell r="J15">
            <v>43843.85045145626</v>
          </cell>
        </row>
        <row r="16">
          <cell r="B16">
            <v>32260.454308286724</v>
          </cell>
          <cell r="C16">
            <v>20769.1438102298</v>
          </cell>
          <cell r="D16">
            <v>10090</v>
          </cell>
          <cell r="E16">
            <v>63119.59811851653</v>
          </cell>
          <cell r="F16">
            <v>19569.190377013823</v>
          </cell>
          <cell r="G16">
            <v>17907.438222223613</v>
          </cell>
          <cell r="H16">
            <v>9740.708563799351</v>
          </cell>
          <cell r="I16">
            <v>37476.62859923743</v>
          </cell>
          <cell r="J16">
            <v>47217.337163036784</v>
          </cell>
        </row>
        <row r="17">
          <cell r="B17">
            <v>34915.549698833296</v>
          </cell>
          <cell r="C17">
            <v>18604.05148594919</v>
          </cell>
          <cell r="D17">
            <v>8352</v>
          </cell>
          <cell r="E17">
            <v>61871.601184782485</v>
          </cell>
          <cell r="F17">
            <v>19383.556048148395</v>
          </cell>
          <cell r="G17">
            <v>15936.53847147021</v>
          </cell>
          <cell r="H17">
            <v>8018.776615384615</v>
          </cell>
          <cell r="I17">
            <v>35320.09451961861</v>
          </cell>
          <cell r="J17">
            <v>43338.871135003224</v>
          </cell>
        </row>
        <row r="18">
          <cell r="B18">
            <v>35217.64519799391</v>
          </cell>
          <cell r="C18">
            <v>20787.078307163556</v>
          </cell>
          <cell r="D18">
            <v>7902</v>
          </cell>
          <cell r="E18">
            <v>63906.72350515747</v>
          </cell>
          <cell r="F18">
            <v>17106.3331914637</v>
          </cell>
          <cell r="G18">
            <v>17534.887573975113</v>
          </cell>
          <cell r="H18">
            <v>7533.926644437709</v>
          </cell>
          <cell r="I18">
            <v>34641.22076543881</v>
          </cell>
          <cell r="J18">
            <v>42175.14740987652</v>
          </cell>
        </row>
        <row r="19">
          <cell r="B19">
            <v>38878.33183488135</v>
          </cell>
          <cell r="C19">
            <v>25848.591886245704</v>
          </cell>
          <cell r="D19">
            <v>9049</v>
          </cell>
          <cell r="E19">
            <v>73775.92372112705</v>
          </cell>
          <cell r="F19">
            <v>18656.140221383903</v>
          </cell>
          <cell r="G19">
            <v>21630.313801405635</v>
          </cell>
          <cell r="H19">
            <v>8649.0703991615</v>
          </cell>
          <cell r="I19">
            <v>40286.454022789534</v>
          </cell>
          <cell r="J19">
            <v>48935.524421951035</v>
          </cell>
        </row>
        <row r="20">
          <cell r="B20">
            <v>47814.71391904774</v>
          </cell>
          <cell r="C20">
            <v>30978.854370240584</v>
          </cell>
          <cell r="D20">
            <v>9967</v>
          </cell>
          <cell r="E20">
            <v>88760.56828928832</v>
          </cell>
          <cell r="F20">
            <v>22632.05717634825</v>
          </cell>
          <cell r="G20">
            <v>25867.571073239837</v>
          </cell>
          <cell r="H20">
            <v>9519.258717230849</v>
          </cell>
          <cell r="I20">
            <v>48499.62824958809</v>
          </cell>
          <cell r="J20">
            <v>58018.886966818936</v>
          </cell>
        </row>
        <row r="21">
          <cell r="B21">
            <v>54394.96017239052</v>
          </cell>
          <cell r="C21">
            <v>26107.645730844397</v>
          </cell>
          <cell r="D21">
            <v>11875</v>
          </cell>
          <cell r="E21">
            <v>92377.60590323491</v>
          </cell>
          <cell r="F21">
            <v>28532.175491604547</v>
          </cell>
          <cell r="G21">
            <v>21841.71957072979</v>
          </cell>
          <cell r="H21">
            <v>11479.575163398693</v>
          </cell>
          <cell r="I21">
            <v>50373.89506233434</v>
          </cell>
          <cell r="J21">
            <v>61853.470225733035</v>
          </cell>
        </row>
        <row r="22">
          <cell r="B22">
            <v>47483.34965180236</v>
          </cell>
          <cell r="C22">
            <v>12190.476110250018</v>
          </cell>
          <cell r="D22">
            <v>11815</v>
          </cell>
          <cell r="E22">
            <v>71488.82576205238</v>
          </cell>
          <cell r="F22">
            <v>23143.677887470687</v>
          </cell>
          <cell r="G22">
            <v>9985.102706155008</v>
          </cell>
          <cell r="H22">
            <v>11320.16478785032</v>
          </cell>
          <cell r="I22">
            <v>33128.78059362569</v>
          </cell>
          <cell r="J22">
            <v>44448.94538147601</v>
          </cell>
        </row>
        <row r="23">
          <cell r="B23">
            <v>58693.287828267494</v>
          </cell>
          <cell r="C23">
            <v>12544.18424422131</v>
          </cell>
          <cell r="D23">
            <v>13784</v>
          </cell>
          <cell r="E23">
            <v>85021.4720724888</v>
          </cell>
          <cell r="F23">
            <v>28340.730367657725</v>
          </cell>
          <cell r="G23">
            <v>11266.268203563159</v>
          </cell>
          <cell r="H23">
            <v>13130.13929526124</v>
          </cell>
          <cell r="I23">
            <v>39606.99857122089</v>
          </cell>
          <cell r="J23">
            <v>52737.137866482124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W Climate Zone Weights"/>
      <sheetName val="PNW Pop. Weighted HDD &amp; CDD"/>
      <sheetName val="Zone Weighted HDD &amp; CDD "/>
      <sheetName val="ID Pop. Weighted HDD and CDD"/>
      <sheetName val="MT Pop. Weighted HDD and CDD"/>
      <sheetName val="OR Pop. Weighted HDD and CDD"/>
      <sheetName val="WA Pop. Weighted HDD and CDD"/>
      <sheetName val="ID City &amp; County Pop"/>
      <sheetName val="MT City &amp; County Pop"/>
      <sheetName val="OR City &amp; County Pop"/>
      <sheetName val="WA City &amp; County Pop"/>
      <sheetName val="4 State Pop. Weighted HDD &amp; CDD"/>
      <sheetName val="Idaho CDD"/>
      <sheetName val="Montana CDD"/>
      <sheetName val="Oregon CDD"/>
      <sheetName val="Washington CDD"/>
      <sheetName val="PNW Region CDD"/>
    </sheetNames>
    <sheetDataSet>
      <sheetData sheetId="0">
        <row r="3">
          <cell r="B3">
            <v>5753289</v>
          </cell>
          <cell r="C3">
            <v>0.552809805601941</v>
          </cell>
        </row>
        <row r="4">
          <cell r="B4">
            <v>1310807</v>
          </cell>
          <cell r="C4">
            <v>0.12595003707473473</v>
          </cell>
        </row>
        <row r="5">
          <cell r="B5">
            <v>1217540</v>
          </cell>
          <cell r="C5">
            <v>0.11698839580500602</v>
          </cell>
        </row>
        <row r="6">
          <cell r="B6">
            <v>425934</v>
          </cell>
          <cell r="C6">
            <v>0.04092624092745161</v>
          </cell>
        </row>
        <row r="7">
          <cell r="B7">
            <v>1080131</v>
          </cell>
          <cell r="C7">
            <v>0.10378533185706995</v>
          </cell>
        </row>
        <row r="8">
          <cell r="B8">
            <v>61319</v>
          </cell>
          <cell r="C8">
            <v>0.005891889746839664</v>
          </cell>
        </row>
        <row r="9">
          <cell r="B9">
            <v>421813</v>
          </cell>
          <cell r="C9">
            <v>0.040530271038074314</v>
          </cell>
        </row>
        <row r="10">
          <cell r="B10">
            <v>136524</v>
          </cell>
          <cell r="C10">
            <v>0.013118027948882699</v>
          </cell>
        </row>
        <row r="11">
          <cell r="B11">
            <v>0</v>
          </cell>
          <cell r="C11">
            <v>0</v>
          </cell>
        </row>
        <row r="12">
          <cell r="A12" t="str">
            <v>Total</v>
          </cell>
          <cell r="B12">
            <v>10407357</v>
          </cell>
        </row>
        <row r="26">
          <cell r="A26" t="str">
            <v>Pacific County, WA</v>
          </cell>
        </row>
      </sheetData>
      <sheetData sheetId="2">
        <row r="3">
          <cell r="B3">
            <v>8596537</v>
          </cell>
          <cell r="C3">
            <v>0.8017468895077884</v>
          </cell>
          <cell r="D3">
            <v>5194.382997290322</v>
          </cell>
          <cell r="E3">
            <v>5181.844531738558</v>
          </cell>
          <cell r="F3">
            <v>5010.92720149611</v>
          </cell>
          <cell r="Q3">
            <v>6915937</v>
          </cell>
          <cell r="R3">
            <v>0.6450075161407234</v>
          </cell>
          <cell r="S3">
            <v>165.85662549739246</v>
          </cell>
          <cell r="T3">
            <v>169</v>
          </cell>
          <cell r="U3">
            <v>163.49993749541406</v>
          </cell>
        </row>
        <row r="4">
          <cell r="B4">
            <v>1567384</v>
          </cell>
          <cell r="C4">
            <v>0.14618040341875752</v>
          </cell>
          <cell r="D4">
            <v>6786.4884720026375</v>
          </cell>
          <cell r="E4">
            <v>6824.427138156911</v>
          </cell>
          <cell r="F4">
            <v>6769.402837331667</v>
          </cell>
          <cell r="Q4">
            <v>2527462</v>
          </cell>
          <cell r="R4">
            <v>0.2357210580084904</v>
          </cell>
          <cell r="S4">
            <v>407.8949590663402</v>
          </cell>
          <cell r="T4">
            <v>388.5</v>
          </cell>
          <cell r="U4">
            <v>386.00030602859715</v>
          </cell>
        </row>
        <row r="5">
          <cell r="B5">
            <v>558337</v>
          </cell>
          <cell r="C5">
            <v>0.05207270707345412</v>
          </cell>
          <cell r="D5">
            <v>8361.04200979539</v>
          </cell>
          <cell r="E5">
            <v>8362.612291786329</v>
          </cell>
          <cell r="F5">
            <v>8224.52556195639</v>
          </cell>
          <cell r="Q5">
            <v>1278859</v>
          </cell>
          <cell r="R5">
            <v>0.11927142585078628</v>
          </cell>
          <cell r="S5">
            <v>718.0464853259411</v>
          </cell>
          <cell r="T5">
            <v>718.3018336768905</v>
          </cell>
          <cell r="U5">
            <v>732.3503850471769</v>
          </cell>
        </row>
        <row r="6">
          <cell r="B6">
            <v>10722258</v>
          </cell>
          <cell r="D6">
            <v>6382.0741278156465</v>
          </cell>
          <cell r="E6">
            <v>6256.103875420279</v>
          </cell>
          <cell r="F6">
            <v>5427.076102875061</v>
          </cell>
          <cell r="Q6">
            <v>10722258</v>
          </cell>
          <cell r="S6">
            <v>326.03596764904376</v>
          </cell>
          <cell r="T6">
            <v>280</v>
          </cell>
          <cell r="U6">
            <v>283.7955637486917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5"/>
  <sheetViews>
    <sheetView workbookViewId="0" topLeftCell="A13">
      <selection activeCell="F5" sqref="F5"/>
    </sheetView>
  </sheetViews>
  <sheetFormatPr defaultColWidth="9.140625" defaultRowHeight="12.75"/>
  <cols>
    <col min="1" max="1" width="39.140625" style="0" customWidth="1"/>
    <col min="2" max="2" width="14.140625" style="0" customWidth="1"/>
    <col min="3" max="3" width="12.421875" style="0" customWidth="1"/>
    <col min="4" max="4" width="14.421875" style="0" customWidth="1"/>
    <col min="5" max="5" width="13.00390625" style="0" customWidth="1"/>
    <col min="6" max="6" width="15.28125" style="0" customWidth="1"/>
    <col min="7" max="7" width="14.8515625" style="0" customWidth="1"/>
    <col min="8" max="8" width="12.7109375" style="0" customWidth="1"/>
  </cols>
  <sheetData>
    <row r="1" spans="1:7" ht="39" thickBot="1">
      <c r="A1" s="132" t="s">
        <v>98</v>
      </c>
      <c r="B1" s="125" t="s">
        <v>44</v>
      </c>
      <c r="C1" s="125" t="s">
        <v>66</v>
      </c>
      <c r="D1" s="266" t="s">
        <v>53</v>
      </c>
      <c r="E1" s="101" t="s">
        <v>12</v>
      </c>
      <c r="F1" s="249" t="str">
        <f>'Total Housing Units'!AE78</f>
        <v>Pre-1980 Occupied Units in 2025</v>
      </c>
      <c r="G1" s="101" t="s">
        <v>12</v>
      </c>
    </row>
    <row r="2" spans="1:7" ht="12.75">
      <c r="A2" s="46" t="s">
        <v>0</v>
      </c>
      <c r="B2" s="43">
        <f>'Total Housing Units'!AD11</f>
        <v>3005847.999999245</v>
      </c>
      <c r="C2" s="43">
        <f>'Total Housing Units'!AD17</f>
        <v>1672135.000000897</v>
      </c>
      <c r="D2" s="48">
        <f>'Total Housing Units'!AD11+'Total Housing Units'!AD17</f>
        <v>4677983.0000001425</v>
      </c>
      <c r="E2" s="264">
        <f>D2/D$5</f>
        <v>0.7326914715529622</v>
      </c>
      <c r="F2" s="267">
        <f>'Total Housing Units'!AE79</f>
        <v>2468066.780708859</v>
      </c>
      <c r="G2" s="269">
        <f>F2/F$5</f>
        <v>0.8194668957006059</v>
      </c>
    </row>
    <row r="3" spans="1:7" ht="12.75">
      <c r="A3" s="46" t="s">
        <v>65</v>
      </c>
      <c r="B3" s="43">
        <f>'Total Housing Units'!AD12</f>
        <v>641209.0000007581</v>
      </c>
      <c r="C3" s="43">
        <f>'Total Housing Units'!AD18</f>
        <v>503270.99999993</v>
      </c>
      <c r="D3" s="48">
        <f>'Total Housing Units'!AD12+'Total Housing Units'!AD18</f>
        <v>1144480.000000688</v>
      </c>
      <c r="E3" s="264">
        <f>D3/D$5</f>
        <v>0.17925476329508094</v>
      </c>
      <c r="F3" s="267">
        <f>'Total Housing Units'!AE80</f>
        <v>391032.3229731304</v>
      </c>
      <c r="G3" s="270">
        <f>F3/F$5</f>
        <v>0.1298336197099797</v>
      </c>
    </row>
    <row r="4" spans="1:7" ht="12.75">
      <c r="A4" s="46" t="s">
        <v>11</v>
      </c>
      <c r="B4" s="43">
        <f>'Total Housing Units'!AD13</f>
        <v>311744.0000000411</v>
      </c>
      <c r="C4" s="43">
        <f>'Total Housing Units'!AD19</f>
        <v>250449.00000023446</v>
      </c>
      <c r="D4" s="48">
        <f>'Total Housing Units'!AD13+'Total Housing Units'!AD19</f>
        <v>562193.0000002756</v>
      </c>
      <c r="E4" s="264">
        <f>D4/D$5</f>
        <v>0.08805376515198192</v>
      </c>
      <c r="F4" s="267">
        <f>'Total Housing Units'!AE81</f>
        <v>152696.48398330316</v>
      </c>
      <c r="G4" s="270">
        <f>F4/F$5</f>
        <v>0.05069948458941453</v>
      </c>
    </row>
    <row r="5" spans="1:7" ht="13.5" thickBot="1">
      <c r="A5" s="47" t="s">
        <v>5</v>
      </c>
      <c r="B5" s="45">
        <f>'Total Housing Units'!AD14</f>
        <v>3958801.0000000442</v>
      </c>
      <c r="C5" s="45">
        <f>'Total Housing Units'!AD20</f>
        <v>2425855.000000902</v>
      </c>
      <c r="D5" s="49">
        <f>'Total Housing Units'!AD14+'Total Housing Units'!AD20</f>
        <v>6384656.000000946</v>
      </c>
      <c r="E5" s="265">
        <f>D5/D$5</f>
        <v>1</v>
      </c>
      <c r="F5" s="268">
        <f>'Total Housing Units'!AE82</f>
        <v>3011795.5876652924</v>
      </c>
      <c r="G5" s="271">
        <f>F5/F$5</f>
        <v>1</v>
      </c>
    </row>
    <row r="6" spans="1:4" ht="13.5" thickBot="1">
      <c r="A6" s="42"/>
      <c r="B6" s="42"/>
      <c r="C6" s="42"/>
      <c r="D6" s="42"/>
    </row>
    <row r="7" spans="1:7" ht="39" thickBot="1">
      <c r="A7" s="132" t="s">
        <v>81</v>
      </c>
      <c r="B7" s="125" t="s">
        <v>44</v>
      </c>
      <c r="C7" s="125" t="s">
        <v>66</v>
      </c>
      <c r="D7" s="125" t="s">
        <v>53</v>
      </c>
      <c r="E7" s="126" t="s">
        <v>12</v>
      </c>
      <c r="F7" s="126" t="s">
        <v>102</v>
      </c>
      <c r="G7" s="126" t="s">
        <v>101</v>
      </c>
    </row>
    <row r="8" spans="1:7" ht="12.75">
      <c r="A8" s="179" t="s">
        <v>67</v>
      </c>
      <c r="B8" s="180">
        <f aca="true" t="shared" si="0" ref="B8:D16">B35+B48+B61</f>
        <v>1471456.5046538229</v>
      </c>
      <c r="C8" s="180">
        <f t="shared" si="0"/>
        <v>1569010.5670869944</v>
      </c>
      <c r="D8" s="224">
        <f t="shared" si="0"/>
        <v>3040467.0717408173</v>
      </c>
      <c r="E8" s="225">
        <f>D8/D$5</f>
        <v>0.4762147047139841</v>
      </c>
      <c r="F8" s="225"/>
      <c r="G8" s="225"/>
    </row>
    <row r="9" spans="1:7" ht="12.75">
      <c r="A9" s="50" t="s">
        <v>68</v>
      </c>
      <c r="B9" s="43">
        <f t="shared" si="0"/>
        <v>237467.18534584166</v>
      </c>
      <c r="C9" s="43">
        <f t="shared" si="0"/>
        <v>15318.88011522242</v>
      </c>
      <c r="D9" s="48">
        <f t="shared" si="0"/>
        <v>252786.06546106408</v>
      </c>
      <c r="E9" s="226">
        <f aca="true" t="shared" si="1" ref="E9:E18">D9/D$5</f>
        <v>0.039592746337629874</v>
      </c>
      <c r="F9" s="226"/>
      <c r="G9" s="226"/>
    </row>
    <row r="10" spans="1:7" ht="12.75">
      <c r="A10" s="50" t="s">
        <v>69</v>
      </c>
      <c r="B10" s="43">
        <f t="shared" si="0"/>
        <v>229829.01337558415</v>
      </c>
      <c r="C10" s="43">
        <f t="shared" si="0"/>
        <v>0</v>
      </c>
      <c r="D10" s="48">
        <f t="shared" si="0"/>
        <v>229829.01337558415</v>
      </c>
      <c r="E10" s="226">
        <f t="shared" si="1"/>
        <v>0.03599708635446453</v>
      </c>
      <c r="F10" s="226"/>
      <c r="G10" s="226"/>
    </row>
    <row r="11" spans="1:7" ht="12.75">
      <c r="A11" s="50" t="s">
        <v>70</v>
      </c>
      <c r="B11" s="43">
        <f t="shared" si="0"/>
        <v>54230.77662444685</v>
      </c>
      <c r="C11" s="43">
        <f t="shared" si="0"/>
        <v>0</v>
      </c>
      <c r="D11" s="48">
        <f t="shared" si="0"/>
        <v>54230.77662444685</v>
      </c>
      <c r="E11" s="226">
        <f t="shared" si="1"/>
        <v>0.008493923028028262</v>
      </c>
      <c r="F11" s="226"/>
      <c r="G11" s="226"/>
    </row>
    <row r="12" spans="1:7" ht="12.75">
      <c r="A12" s="50" t="s">
        <v>71</v>
      </c>
      <c r="B12" s="43">
        <f t="shared" si="0"/>
        <v>510013.78168149095</v>
      </c>
      <c r="C12" s="43">
        <f t="shared" si="0"/>
        <v>208754.137268239</v>
      </c>
      <c r="D12" s="48">
        <f t="shared" si="0"/>
        <v>718767.9189497299</v>
      </c>
      <c r="E12" s="226">
        <f t="shared" si="1"/>
        <v>0.11257739163231713</v>
      </c>
      <c r="F12" s="226">
        <f>B12/F$17</f>
        <v>0.30437009175225693</v>
      </c>
      <c r="G12" s="226">
        <f>D12/G$17</f>
        <v>0.3026173121835001</v>
      </c>
    </row>
    <row r="13" spans="1:7" ht="12.75">
      <c r="A13" s="50" t="s">
        <v>9</v>
      </c>
      <c r="B13" s="43">
        <f t="shared" si="0"/>
        <v>187369.2201280515</v>
      </c>
      <c r="C13" s="43">
        <f t="shared" si="0"/>
        <v>289515.930278055</v>
      </c>
      <c r="D13" s="48">
        <f t="shared" si="0"/>
        <v>476885.1504061065</v>
      </c>
      <c r="E13" s="226">
        <f t="shared" si="1"/>
        <v>0.07469237973134901</v>
      </c>
      <c r="F13" s="226">
        <f>B13/F$17</f>
        <v>0.1118196973695496</v>
      </c>
      <c r="G13" s="226">
        <f>D13/G$17</f>
        <v>0.20077927607981252</v>
      </c>
    </row>
    <row r="14" spans="1:7" ht="12.75">
      <c r="A14" s="50" t="s">
        <v>73</v>
      </c>
      <c r="B14" s="43">
        <f t="shared" si="0"/>
        <v>978253.9792924591</v>
      </c>
      <c r="C14" s="43">
        <f t="shared" si="0"/>
        <v>201264.1329458551</v>
      </c>
      <c r="D14" s="48">
        <f t="shared" si="0"/>
        <v>1179518.1122383142</v>
      </c>
      <c r="E14" s="226">
        <f t="shared" si="1"/>
        <v>0.1847426254818019</v>
      </c>
      <c r="F14" s="226">
        <f>B14/F$17</f>
        <v>0.5838102108781936</v>
      </c>
      <c r="G14" s="226">
        <f>D14/G$17</f>
        <v>0.4966034117366874</v>
      </c>
    </row>
    <row r="15" spans="1:7" ht="12.75">
      <c r="A15" s="50" t="s">
        <v>72</v>
      </c>
      <c r="B15" s="43">
        <f t="shared" si="0"/>
        <v>52652.47889834491</v>
      </c>
      <c r="C15" s="43">
        <f t="shared" si="0"/>
        <v>108271.4180942771</v>
      </c>
      <c r="D15" s="48">
        <f t="shared" si="0"/>
        <v>160923.896992622</v>
      </c>
      <c r="E15" s="226">
        <f t="shared" si="1"/>
        <v>0.02520478738284383</v>
      </c>
      <c r="F15" s="226"/>
      <c r="G15" s="226"/>
    </row>
    <row r="16" spans="1:7" ht="13.5" thickBot="1">
      <c r="A16" s="50" t="s">
        <v>10</v>
      </c>
      <c r="B16" s="43">
        <f t="shared" si="0"/>
        <v>237528.06000000262</v>
      </c>
      <c r="C16" s="43">
        <f t="shared" si="0"/>
        <v>34515.87280030071</v>
      </c>
      <c r="D16" s="48">
        <f t="shared" si="0"/>
        <v>272043.93280030333</v>
      </c>
      <c r="E16" s="226">
        <f t="shared" si="1"/>
        <v>0.04260901962459105</v>
      </c>
      <c r="F16" s="273"/>
      <c r="G16" s="273"/>
    </row>
    <row r="17" spans="1:8" ht="13.5" thickBot="1">
      <c r="A17" s="177" t="s">
        <v>5</v>
      </c>
      <c r="B17" s="43">
        <f>SUM(B8:B16)</f>
        <v>3958801.0000000447</v>
      </c>
      <c r="C17" s="43">
        <f>SUM(C8:C16)</f>
        <v>2426650.938588944</v>
      </c>
      <c r="D17" s="43">
        <f>SUM(D8:D16)</f>
        <v>6385451.938588988</v>
      </c>
      <c r="E17" s="226">
        <f>SUM(E8:E16)</f>
        <v>1.0001246642870096</v>
      </c>
      <c r="F17" s="274">
        <f>SUM(B12:B14)</f>
        <v>1675636.9811020014</v>
      </c>
      <c r="G17" s="274">
        <f>SUM(D12:D14)</f>
        <v>2375171.1815941506</v>
      </c>
      <c r="H17" t="s">
        <v>99</v>
      </c>
    </row>
    <row r="18" spans="1:9" ht="13.5" thickBot="1">
      <c r="A18" s="178" t="s">
        <v>26</v>
      </c>
      <c r="B18" s="45">
        <f>B45+B58+B71</f>
        <v>821565.4178280155</v>
      </c>
      <c r="C18" s="45">
        <f>C45+C58+C71</f>
        <v>917995.9305894234</v>
      </c>
      <c r="D18" s="49">
        <f>D45+D58+D71</f>
        <v>1739561.3484174388</v>
      </c>
      <c r="E18" s="227">
        <f t="shared" si="1"/>
        <v>0.2724596827796487</v>
      </c>
      <c r="H18" s="272">
        <f>SUM(D12:D15)/D17</f>
        <v>0.39716767160370814</v>
      </c>
      <c r="I18" t="s">
        <v>100</v>
      </c>
    </row>
    <row r="19" spans="1:5" ht="13.5" thickBot="1">
      <c r="A19" s="214"/>
      <c r="B19" s="176"/>
      <c r="C19" s="176"/>
      <c r="D19" s="176"/>
      <c r="E19" s="215"/>
    </row>
    <row r="20" spans="1:5" ht="13.5" thickBot="1">
      <c r="A20" s="219" t="s">
        <v>12</v>
      </c>
      <c r="B20" s="222">
        <f>E2</f>
        <v>0.7326914715529622</v>
      </c>
      <c r="C20" s="222">
        <f>E3</f>
        <v>0.17925476329508094</v>
      </c>
      <c r="D20" s="222">
        <f>E4</f>
        <v>0.08805376515198192</v>
      </c>
      <c r="E20" s="223">
        <f>E5</f>
        <v>1</v>
      </c>
    </row>
    <row r="21" spans="1:5" ht="51.75" thickBot="1">
      <c r="A21" s="220" t="s">
        <v>82</v>
      </c>
      <c r="B21" s="221" t="s">
        <v>89</v>
      </c>
      <c r="C21" s="221" t="s">
        <v>90</v>
      </c>
      <c r="D21" s="221" t="s">
        <v>91</v>
      </c>
      <c r="E21" s="221" t="s">
        <v>92</v>
      </c>
    </row>
    <row r="22" spans="1:5" ht="12.75">
      <c r="A22" s="197" t="s">
        <v>14</v>
      </c>
      <c r="B22" s="217">
        <f>'DHW &amp; Appliance Units'!B25</f>
        <v>0.6380307253225443</v>
      </c>
      <c r="C22" s="217">
        <f>'DHW &amp; Appliance Units'!B36</f>
        <v>0.6380307253225443</v>
      </c>
      <c r="D22" s="228">
        <f>'DHW &amp; Appliance Units'!B47</f>
        <v>0.6380307253225443</v>
      </c>
      <c r="E22" s="231">
        <f>SUMPRODUCT(B$20:D$20,B22:D22)</f>
        <v>0.6380307253225604</v>
      </c>
    </row>
    <row r="23" spans="1:5" ht="12.75">
      <c r="A23" s="60" t="s">
        <v>15</v>
      </c>
      <c r="B23" s="216">
        <f>'DHW &amp; Appliance Units'!B26</f>
        <v>1.1204469504317132</v>
      </c>
      <c r="C23" s="216">
        <f>'DHW &amp; Appliance Units'!B37</f>
        <v>1.1204469504317132</v>
      </c>
      <c r="D23" s="229">
        <f>'DHW &amp; Appliance Units'!B48</f>
        <v>1.1204469504317132</v>
      </c>
      <c r="E23" s="232">
        <f aca="true" t="shared" si="2" ref="E23:E30">SUMPRODUCT(B$20:D$20,B23:D23)</f>
        <v>1.1204469504317414</v>
      </c>
    </row>
    <row r="24" spans="1:5" ht="12.75">
      <c r="A24" s="60" t="s">
        <v>16</v>
      </c>
      <c r="B24" s="216">
        <f>'DHW &amp; Appliance Units'!B27</f>
        <v>0.5673737735173195</v>
      </c>
      <c r="C24" s="216">
        <f>'DHW &amp; Appliance Units'!B38</f>
        <v>0.5673737735173195</v>
      </c>
      <c r="D24" s="229">
        <f>'DHW &amp; Appliance Units'!B49</f>
        <v>0.5673737735173195</v>
      </c>
      <c r="E24" s="232">
        <f t="shared" si="2"/>
        <v>0.5673737735173338</v>
      </c>
    </row>
    <row r="25" spans="1:5" ht="12.75">
      <c r="A25" s="60" t="s">
        <v>17</v>
      </c>
      <c r="B25" s="216">
        <f>'DHW &amp; Appliance Units'!B28</f>
        <v>0.8468925125391364</v>
      </c>
      <c r="C25" s="216">
        <f>'DHW &amp; Appliance Units'!B39</f>
        <v>0.8468925125391364</v>
      </c>
      <c r="D25" s="229">
        <f>'DHW &amp; Appliance Units'!B50</f>
        <v>0.8468925125391364</v>
      </c>
      <c r="E25" s="232">
        <f t="shared" si="2"/>
        <v>0.8468925125391576</v>
      </c>
    </row>
    <row r="26" spans="1:5" ht="12.75">
      <c r="A26" s="60" t="s">
        <v>18</v>
      </c>
      <c r="B26" s="216">
        <f>'DHW &amp; Appliance Units'!B29</f>
        <v>0.8208495645747469</v>
      </c>
      <c r="C26" s="216">
        <f>'DHW &amp; Appliance Units'!B40</f>
        <v>0.8208495645747469</v>
      </c>
      <c r="D26" s="229">
        <f>'DHW &amp; Appliance Units'!B51</f>
        <v>0.8208495645747469</v>
      </c>
      <c r="E26" s="232">
        <f t="shared" si="2"/>
        <v>0.8208495645747675</v>
      </c>
    </row>
    <row r="27" spans="1:5" ht="12.75">
      <c r="A27" s="60" t="s">
        <v>19</v>
      </c>
      <c r="B27" s="216">
        <f>'DHW &amp; Appliance Units'!B30</f>
        <v>0.6715984668883408</v>
      </c>
      <c r="C27" s="216">
        <f>'DHW &amp; Appliance Units'!B41</f>
        <v>0.6715984668883408</v>
      </c>
      <c r="D27" s="229">
        <f>'DHW &amp; Appliance Units'!B52</f>
        <v>0.6715984668883408</v>
      </c>
      <c r="E27" s="232">
        <f t="shared" si="2"/>
        <v>0.6715984668883577</v>
      </c>
    </row>
    <row r="28" spans="1:5" ht="12.75">
      <c r="A28" s="60" t="s">
        <v>20</v>
      </c>
      <c r="B28" s="216">
        <f>'DHW &amp; Appliance Units'!B31</f>
        <v>0.8243049688800121</v>
      </c>
      <c r="C28" s="216">
        <f>'DHW &amp; Appliance Units'!B42</f>
        <v>0.8243049688800121</v>
      </c>
      <c r="D28" s="229">
        <f>'DHW &amp; Appliance Units'!B53</f>
        <v>0.8243049688800121</v>
      </c>
      <c r="E28" s="232">
        <f t="shared" si="2"/>
        <v>0.8243049688800328</v>
      </c>
    </row>
    <row r="29" spans="1:5" ht="12.75">
      <c r="A29" s="60" t="s">
        <v>22</v>
      </c>
      <c r="B29" s="216">
        <f>'DHW &amp; Appliance Units'!B32</f>
        <v>0.11108830806400877</v>
      </c>
      <c r="C29" s="216">
        <f>'DHW &amp; Appliance Units'!B43</f>
        <v>0.11108830806400877</v>
      </c>
      <c r="D29" s="229">
        <f>'DHW &amp; Appliance Units'!B54</f>
        <v>0.11108830806400877</v>
      </c>
      <c r="E29" s="232">
        <f t="shared" si="2"/>
        <v>0.11108830806401156</v>
      </c>
    </row>
    <row r="30" spans="1:5" ht="13.5" thickBot="1">
      <c r="A30" s="62" t="s">
        <v>25</v>
      </c>
      <c r="B30" s="218">
        <f>'DHW &amp; Appliance Units'!B33</f>
        <v>0.22611176020100568</v>
      </c>
      <c r="C30" s="218">
        <f>'DHW &amp; Appliance Units'!B44</f>
        <v>0.1</v>
      </c>
      <c r="D30" s="230">
        <f>'DHW &amp; Appliance Units'!B55</f>
        <v>0.24952183731339672</v>
      </c>
      <c r="E30" s="233">
        <f t="shared" si="2"/>
        <v>0.2055669719096983</v>
      </c>
    </row>
    <row r="31" spans="1:5" ht="12.75">
      <c r="A31" s="214"/>
      <c r="B31" s="176"/>
      <c r="C31" s="176"/>
      <c r="D31" s="176"/>
      <c r="E31" s="215"/>
    </row>
    <row r="32" spans="1:5" ht="13.5" thickBot="1">
      <c r="A32" s="214"/>
      <c r="B32" s="176"/>
      <c r="C32" s="176"/>
      <c r="D32" s="176"/>
      <c r="E32" s="215"/>
    </row>
    <row r="33" spans="1:8" ht="64.5" thickBot="1">
      <c r="A33" s="132" t="s">
        <v>27</v>
      </c>
      <c r="B33" s="125" t="s">
        <v>44</v>
      </c>
      <c r="C33" s="125" t="s">
        <v>66</v>
      </c>
      <c r="D33" s="125" t="s">
        <v>53</v>
      </c>
      <c r="E33" s="126" t="s">
        <v>12</v>
      </c>
      <c r="F33" s="126" t="s">
        <v>102</v>
      </c>
      <c r="G33" s="126" t="s">
        <v>101</v>
      </c>
      <c r="H33" s="126" t="s">
        <v>106</v>
      </c>
    </row>
    <row r="34" spans="1:8" ht="12.75">
      <c r="A34" s="192" t="s">
        <v>0</v>
      </c>
      <c r="B34" s="64">
        <f>'Existing Space Heating Units'!AC4</f>
        <v>3005847.9999992456</v>
      </c>
      <c r="C34" s="64">
        <f>'New Space Heating Units'!AB4</f>
        <v>1551069.213945001</v>
      </c>
      <c r="D34" s="175">
        <f>SUM(B34:C34)</f>
        <v>4556917.213944247</v>
      </c>
      <c r="E34" s="71"/>
      <c r="F34" s="225"/>
      <c r="G34" s="225"/>
      <c r="H34" s="225"/>
    </row>
    <row r="35" spans="1:8" ht="12.75">
      <c r="A35" s="51" t="s">
        <v>67</v>
      </c>
      <c r="B35" s="11">
        <f>'Existing Space Heating Units'!AC5</f>
        <v>1411255.231350278</v>
      </c>
      <c r="C35" s="11">
        <f>'New Space Heating Units'!AB5</f>
        <v>1301052.7090688003</v>
      </c>
      <c r="D35" s="10">
        <f aca="true" t="shared" si="3" ref="D35:D71">SUM(B35:C35)</f>
        <v>2712307.9404190783</v>
      </c>
      <c r="E35" s="44">
        <f aca="true" t="shared" si="4" ref="E35:E45">D35/D$34</f>
        <v>0.595206762176712</v>
      </c>
      <c r="F35" s="226"/>
      <c r="G35" s="226"/>
      <c r="H35" s="226"/>
    </row>
    <row r="36" spans="1:8" ht="12.75">
      <c r="A36" s="51" t="s">
        <v>68</v>
      </c>
      <c r="B36" s="11">
        <f>'Existing Space Heating Units'!AC6</f>
        <v>211902.68864931448</v>
      </c>
      <c r="C36" s="11">
        <f>'New Space Heating Units'!AB6</f>
        <v>0</v>
      </c>
      <c r="D36" s="10">
        <f t="shared" si="3"/>
        <v>211902.68864931448</v>
      </c>
      <c r="E36" s="44">
        <f t="shared" si="4"/>
        <v>0.046501325062673626</v>
      </c>
      <c r="F36" s="226"/>
      <c r="G36" s="226"/>
      <c r="H36" s="226"/>
    </row>
    <row r="37" spans="1:8" ht="12.75">
      <c r="A37" s="51" t="s">
        <v>69</v>
      </c>
      <c r="B37" s="11">
        <f>'Existing Space Heating Units'!AC7</f>
        <v>182940.49295281383</v>
      </c>
      <c r="C37" s="11">
        <f>'New Space Heating Units'!AB7</f>
        <v>0</v>
      </c>
      <c r="D37" s="10">
        <f t="shared" si="3"/>
        <v>182940.49295281383</v>
      </c>
      <c r="E37" s="44">
        <f t="shared" si="4"/>
        <v>0.04014566961914794</v>
      </c>
      <c r="F37" s="226"/>
      <c r="G37" s="226"/>
      <c r="H37" s="226"/>
    </row>
    <row r="38" spans="1:8" ht="12.75">
      <c r="A38" s="51" t="s">
        <v>70</v>
      </c>
      <c r="B38" s="11">
        <f>'Existing Space Heating Units'!AC8</f>
        <v>27468.867047133357</v>
      </c>
      <c r="C38" s="11">
        <f>'New Space Heating Units'!AB8</f>
        <v>0</v>
      </c>
      <c r="D38" s="10">
        <f t="shared" si="3"/>
        <v>27468.867047133357</v>
      </c>
      <c r="E38" s="44">
        <f t="shared" si="4"/>
        <v>0.0060279495451613955</v>
      </c>
      <c r="F38" s="226"/>
      <c r="G38" s="226"/>
      <c r="H38" s="226"/>
    </row>
    <row r="39" spans="1:8" ht="12.75">
      <c r="A39" s="51" t="s">
        <v>71</v>
      </c>
      <c r="B39" s="11">
        <f>'Existing Space Heating Units'!AC9</f>
        <v>262207.2593412433</v>
      </c>
      <c r="C39" s="11">
        <f>'New Space Heating Units'!AB9</f>
        <v>0</v>
      </c>
      <c r="D39" s="10">
        <f t="shared" si="3"/>
        <v>262207.2593412433</v>
      </c>
      <c r="E39" s="44">
        <f t="shared" si="4"/>
        <v>0.057540492186007784</v>
      </c>
      <c r="F39" s="226">
        <f>B39/F$43</f>
        <v>0.2722258675881002</v>
      </c>
      <c r="G39" s="226">
        <f>D39/G$43</f>
        <v>0.22127069368699676</v>
      </c>
      <c r="H39" s="226">
        <f>C39/H$43</f>
        <v>0</v>
      </c>
    </row>
    <row r="40" spans="1:8" ht="12.75">
      <c r="A40" s="51" t="s">
        <v>9</v>
      </c>
      <c r="B40" s="11">
        <f>'Existing Space Heating Units'!AC10</f>
        <v>155648.52391770566</v>
      </c>
      <c r="C40" s="11">
        <f>'New Space Heating Units'!AB10</f>
        <v>147185.03594307744</v>
      </c>
      <c r="D40" s="10">
        <f t="shared" si="3"/>
        <v>302833.5598607831</v>
      </c>
      <c r="E40" s="44">
        <f t="shared" si="4"/>
        <v>0.06645579580294043</v>
      </c>
      <c r="F40" s="226">
        <f>B40/F$43</f>
        <v>0.16159565745340845</v>
      </c>
      <c r="G40" s="226">
        <f>D40/G$43</f>
        <v>0.2555542971252826</v>
      </c>
      <c r="H40" s="226">
        <f>C40/H$43</f>
        <v>0.6635657272978711</v>
      </c>
    </row>
    <row r="41" spans="1:8" ht="12.75">
      <c r="A41" s="51" t="s">
        <v>73</v>
      </c>
      <c r="B41" s="11">
        <f>'Existing Space Heating Units'!AC11</f>
        <v>545341.6588665148</v>
      </c>
      <c r="C41" s="11">
        <f>'New Space Heating Units'!AB11</f>
        <v>74624.24366277969</v>
      </c>
      <c r="D41" s="10">
        <f t="shared" si="3"/>
        <v>619965.9025292945</v>
      </c>
      <c r="E41" s="44">
        <f t="shared" si="4"/>
        <v>0.13604941091143546</v>
      </c>
      <c r="F41" s="226">
        <f>B41/F$43</f>
        <v>0.5661784749584914</v>
      </c>
      <c r="G41" s="226">
        <f>D41/G$43</f>
        <v>0.5231750091877205</v>
      </c>
      <c r="H41" s="226">
        <f>C41/H$43</f>
        <v>0.33643427270212883</v>
      </c>
    </row>
    <row r="42" spans="1:8" ht="13.5" thickBot="1">
      <c r="A42" s="51" t="s">
        <v>72</v>
      </c>
      <c r="B42" s="11">
        <f>'Existing Space Heating Units'!AC12</f>
        <v>28732.39787428716</v>
      </c>
      <c r="C42" s="11">
        <f>'New Space Heating Units'!AB12</f>
        <v>0</v>
      </c>
      <c r="D42" s="10">
        <f t="shared" si="3"/>
        <v>28732.39787428716</v>
      </c>
      <c r="E42" s="44">
        <f t="shared" si="4"/>
        <v>0.006305227092202929</v>
      </c>
      <c r="F42" s="273"/>
      <c r="G42" s="273"/>
      <c r="H42" s="273"/>
    </row>
    <row r="43" spans="1:8" ht="13.5" thickBot="1">
      <c r="A43" s="51" t="s">
        <v>10</v>
      </c>
      <c r="B43" s="11">
        <f>'Existing Space Heating Units'!AC13</f>
        <v>180350.8799999547</v>
      </c>
      <c r="C43" s="11">
        <f>'New Space Heating Units'!AB13</f>
        <v>29275.953378654493</v>
      </c>
      <c r="D43" s="10">
        <f t="shared" si="3"/>
        <v>209626.83337860918</v>
      </c>
      <c r="E43" s="44">
        <f t="shared" si="4"/>
        <v>0.04600189635597227</v>
      </c>
      <c r="F43" s="274">
        <f>SUM(B39:B41)</f>
        <v>963197.4421254637</v>
      </c>
      <c r="G43" s="274">
        <f>SUM(D39:D41)</f>
        <v>1185006.721731321</v>
      </c>
      <c r="H43" s="274">
        <f>SUM(C39:C41)</f>
        <v>221809.27960585713</v>
      </c>
    </row>
    <row r="44" spans="1:5" ht="12.75">
      <c r="A44" s="193"/>
      <c r="B44" s="11"/>
      <c r="C44" s="11"/>
      <c r="D44" s="10"/>
      <c r="E44" s="44"/>
    </row>
    <row r="45" spans="1:5" ht="13.5" thickBot="1">
      <c r="A45" s="52" t="s">
        <v>26</v>
      </c>
      <c r="B45" s="11">
        <f>'Existing Space Heating Units'!AC15</f>
        <v>679657.5821765019</v>
      </c>
      <c r="C45" s="11">
        <f>'New Space Heating Units'!AB15</f>
        <v>646070.6148404861</v>
      </c>
      <c r="D45" s="10">
        <f t="shared" si="3"/>
        <v>1325728.197016988</v>
      </c>
      <c r="E45" s="44">
        <f t="shared" si="4"/>
        <v>0.2909265485359787</v>
      </c>
    </row>
    <row r="46" spans="1:8" ht="64.5" thickBot="1">
      <c r="A46" s="132" t="s">
        <v>27</v>
      </c>
      <c r="B46" s="125" t="s">
        <v>44</v>
      </c>
      <c r="C46" s="125" t="s">
        <v>66</v>
      </c>
      <c r="D46" s="125" t="s">
        <v>53</v>
      </c>
      <c r="E46" s="126" t="s">
        <v>12</v>
      </c>
      <c r="F46" s="126" t="s">
        <v>102</v>
      </c>
      <c r="G46" s="126" t="s">
        <v>101</v>
      </c>
      <c r="H46" s="126" t="s">
        <v>106</v>
      </c>
    </row>
    <row r="47" spans="1:8" ht="12.75">
      <c r="A47" s="53" t="s">
        <v>65</v>
      </c>
      <c r="B47" s="11">
        <f>'Existing Space Heating Units'!AC17</f>
        <v>641209.0000007581</v>
      </c>
      <c r="C47" s="11">
        <f>'New Space Heating Units'!AB17</f>
        <v>612789.8149735907</v>
      </c>
      <c r="D47" s="10">
        <f t="shared" si="3"/>
        <v>1253998.8149743488</v>
      </c>
      <c r="E47" s="44"/>
      <c r="F47" s="225"/>
      <c r="G47" s="225"/>
      <c r="H47" s="225"/>
    </row>
    <row r="48" spans="1:8" ht="12.75">
      <c r="A48" s="51" t="s">
        <v>67</v>
      </c>
      <c r="B48" s="11">
        <f>'Existing Space Heating Units'!AC18</f>
        <v>36179.541050138796</v>
      </c>
      <c r="C48" s="11">
        <f>'New Space Heating Units'!AB18</f>
        <v>231278.42206667052</v>
      </c>
      <c r="D48" s="10">
        <f t="shared" si="3"/>
        <v>267457.9631168093</v>
      </c>
      <c r="E48" s="44">
        <f aca="true" t="shared" si="5" ref="E48:E56">D48/D$34</f>
        <v>0.058692741289743694</v>
      </c>
      <c r="F48" s="226"/>
      <c r="G48" s="226"/>
      <c r="H48" s="226"/>
    </row>
    <row r="49" spans="1:8" ht="12.75">
      <c r="A49" s="51" t="s">
        <v>68</v>
      </c>
      <c r="B49" s="11">
        <f>'Existing Space Heating Units'!AC19</f>
        <v>21529.26894992943</v>
      </c>
      <c r="C49" s="11">
        <f>'New Space Heating Units'!AB19</f>
        <v>15318.88011522242</v>
      </c>
      <c r="D49" s="10">
        <f t="shared" si="3"/>
        <v>36848.14906515185</v>
      </c>
      <c r="E49" s="44">
        <f t="shared" si="5"/>
        <v>0.008086201116929634</v>
      </c>
      <c r="F49" s="226"/>
      <c r="G49" s="226"/>
      <c r="H49" s="226"/>
    </row>
    <row r="50" spans="1:8" ht="12.75">
      <c r="A50" s="51" t="s">
        <v>69</v>
      </c>
      <c r="B50" s="11">
        <f>'Existing Space Heating Units'!AC20</f>
        <v>44219.43906128076</v>
      </c>
      <c r="C50" s="11">
        <f>'New Space Heating Units'!AB20</f>
        <v>0</v>
      </c>
      <c r="D50" s="10">
        <f t="shared" si="3"/>
        <v>44219.43906128076</v>
      </c>
      <c r="E50" s="44">
        <f t="shared" si="5"/>
        <v>0.009703805661855892</v>
      </c>
      <c r="F50" s="226"/>
      <c r="G50" s="226"/>
      <c r="H50" s="226"/>
    </row>
    <row r="51" spans="1:8" ht="12.75">
      <c r="A51" s="51" t="s">
        <v>70</v>
      </c>
      <c r="B51" s="11">
        <f>'Existing Space Heating Units'!AC21</f>
        <v>26313.550938802637</v>
      </c>
      <c r="C51" s="11">
        <f>'New Space Heating Units'!AB21</f>
        <v>0</v>
      </c>
      <c r="D51" s="10">
        <f t="shared" si="3"/>
        <v>26313.550938802637</v>
      </c>
      <c r="E51" s="44">
        <f t="shared" si="5"/>
        <v>0.005774419350494827</v>
      </c>
      <c r="F51" s="226"/>
      <c r="G51" s="226"/>
      <c r="H51" s="226"/>
    </row>
    <row r="52" spans="1:8" ht="12.75">
      <c r="A52" s="51" t="s">
        <v>71</v>
      </c>
      <c r="B52" s="11">
        <f>'Existing Space Heating Units'!AC22</f>
        <v>48809.35970795293</v>
      </c>
      <c r="C52" s="11">
        <f>'New Space Heating Units'!AB22</f>
        <v>22736.997799798188</v>
      </c>
      <c r="D52" s="10">
        <f t="shared" si="3"/>
        <v>71546.35750775112</v>
      </c>
      <c r="E52" s="44">
        <f t="shared" si="5"/>
        <v>0.015700605068886923</v>
      </c>
      <c r="F52" s="226">
        <f>B52/F$56</f>
        <v>0.10673000274782828</v>
      </c>
      <c r="G52" s="226">
        <f>D52/G$56</f>
        <v>0.10006980289355555</v>
      </c>
      <c r="H52" s="226">
        <f>C52/H$56</f>
        <v>0.0882481947015524</v>
      </c>
    </row>
    <row r="53" spans="1:8" ht="12.75">
      <c r="A53" s="51" t="s">
        <v>9</v>
      </c>
      <c r="B53" s="11">
        <f>'Existing Space Heating Units'!AC23</f>
        <v>8280.048148264765</v>
      </c>
      <c r="C53" s="11">
        <f>'New Space Heating Units'!AB23</f>
        <v>108271.4180942771</v>
      </c>
      <c r="D53" s="10">
        <f t="shared" si="3"/>
        <v>116551.46624254186</v>
      </c>
      <c r="E53" s="44">
        <f t="shared" si="5"/>
        <v>0.025576823271200172</v>
      </c>
      <c r="F53" s="226">
        <f>B53/F$56</f>
        <v>0.018105739696324168</v>
      </c>
      <c r="G53" s="226">
        <f>D53/G$56</f>
        <v>0.16301713546468793</v>
      </c>
      <c r="H53" s="226">
        <f>C53/H$56</f>
        <v>0.4202294985788211</v>
      </c>
    </row>
    <row r="54" spans="1:8" ht="12.75">
      <c r="A54" s="51" t="s">
        <v>73</v>
      </c>
      <c r="B54" s="11">
        <f>'Existing Space Heating Units'!AC24</f>
        <v>400226.7961288524</v>
      </c>
      <c r="C54" s="11">
        <f>'New Space Heating Units'!AB24</f>
        <v>126639.8892830754</v>
      </c>
      <c r="D54" s="10">
        <f t="shared" si="3"/>
        <v>526866.6854119278</v>
      </c>
      <c r="E54" s="44">
        <f t="shared" si="5"/>
        <v>0.1156191040293</v>
      </c>
      <c r="F54" s="226">
        <f>B54/F$56</f>
        <v>0.8751642575558476</v>
      </c>
      <c r="G54" s="226">
        <f>D54/G$56</f>
        <v>0.7369130616417565</v>
      </c>
      <c r="H54" s="226">
        <f>C54/H$56</f>
        <v>0.49152230671962654</v>
      </c>
    </row>
    <row r="55" spans="1:8" ht="13.5" thickBot="1">
      <c r="A55" s="51" t="s">
        <v>72</v>
      </c>
      <c r="B55" s="11">
        <f>'Existing Space Heating Units'!AC25</f>
        <v>17178.456015490905</v>
      </c>
      <c r="C55" s="11">
        <f>'New Space Heating Units'!AB25</f>
        <v>108271.4180942771</v>
      </c>
      <c r="D55" s="10">
        <f t="shared" si="3"/>
        <v>125449.87410976802</v>
      </c>
      <c r="E55" s="44">
        <f t="shared" si="5"/>
        <v>0.02752954864439696</v>
      </c>
      <c r="F55" s="273"/>
      <c r="G55" s="273"/>
      <c r="H55" s="273"/>
    </row>
    <row r="56" spans="1:8" ht="13.5" thickBot="1">
      <c r="A56" s="51" t="s">
        <v>10</v>
      </c>
      <c r="B56" s="11">
        <f>'Existing Space Heating Units'!AC26</f>
        <v>38472.54000004548</v>
      </c>
      <c r="C56" s="11">
        <f>'New Space Heating Units'!AB26</f>
        <v>0</v>
      </c>
      <c r="D56" s="10">
        <f t="shared" si="3"/>
        <v>38472.54000004548</v>
      </c>
      <c r="E56" s="44">
        <f t="shared" si="5"/>
        <v>0.008442668188554936</v>
      </c>
      <c r="F56" s="274">
        <f>SUM(B52:B54)</f>
        <v>457316.2039850701</v>
      </c>
      <c r="G56" s="274">
        <f>SUM(D52:D54)</f>
        <v>714964.5091622208</v>
      </c>
      <c r="H56" s="274">
        <f>SUM(C52:C54)</f>
        <v>257648.3051771507</v>
      </c>
    </row>
    <row r="57" spans="1:5" ht="12.75">
      <c r="A57" s="193"/>
      <c r="B57" s="11"/>
      <c r="C57" s="11"/>
      <c r="D57" s="10"/>
      <c r="E57" s="44"/>
    </row>
    <row r="58" spans="1:5" ht="13.5" thickBot="1">
      <c r="A58" s="52" t="s">
        <v>26</v>
      </c>
      <c r="B58" s="11">
        <f>'Existing Space Heating Units'!AC28</f>
        <v>64120.90000007581</v>
      </c>
      <c r="C58" s="11">
        <f>'New Space Heating Units'!AB28</f>
        <v>162795.49961883583</v>
      </c>
      <c r="D58" s="10">
        <f t="shared" si="3"/>
        <v>226916.39961891164</v>
      </c>
      <c r="E58" s="44">
        <f>D58/D$34</f>
        <v>0.04979603292430757</v>
      </c>
    </row>
    <row r="59" spans="1:8" ht="64.5" thickBot="1">
      <c r="A59" s="132" t="s">
        <v>27</v>
      </c>
      <c r="B59" s="125" t="s">
        <v>44</v>
      </c>
      <c r="C59" s="125" t="s">
        <v>66</v>
      </c>
      <c r="D59" s="125" t="s">
        <v>53</v>
      </c>
      <c r="E59" s="126" t="s">
        <v>12</v>
      </c>
      <c r="F59" s="126" t="s">
        <v>102</v>
      </c>
      <c r="G59" s="126" t="s">
        <v>101</v>
      </c>
      <c r="H59" s="126" t="s">
        <v>106</v>
      </c>
    </row>
    <row r="60" spans="1:8" ht="12.75">
      <c r="A60" s="53" t="s">
        <v>11</v>
      </c>
      <c r="B60" s="11">
        <f>'Existing Space Heating Units'!AC30</f>
        <v>311744.00000004104</v>
      </c>
      <c r="C60" s="11">
        <f>'New Space Heating Units'!AB30</f>
        <v>261995.971082311</v>
      </c>
      <c r="D60" s="10">
        <f t="shared" si="3"/>
        <v>573739.9710823521</v>
      </c>
      <c r="E60" s="44"/>
      <c r="F60" s="225"/>
      <c r="G60" s="225"/>
      <c r="H60" s="225"/>
    </row>
    <row r="61" spans="1:8" ht="12.75">
      <c r="A61" s="51" t="s">
        <v>67</v>
      </c>
      <c r="B61" s="11">
        <f>'Existing Space Heating Units'!AC31</f>
        <v>24021.732253405953</v>
      </c>
      <c r="C61" s="11">
        <f>'New Space Heating Units'!AB31</f>
        <v>36679.43595152354</v>
      </c>
      <c r="D61" s="10">
        <f t="shared" si="3"/>
        <v>60701.16820492949</v>
      </c>
      <c r="E61" s="44">
        <f aca="true" t="shared" si="6" ref="E61:E69">D61/D$60</f>
        <v>0.10579909238398995</v>
      </c>
      <c r="F61" s="226"/>
      <c r="G61" s="226"/>
      <c r="H61" s="226"/>
    </row>
    <row r="62" spans="1:8" ht="12.75">
      <c r="A62" s="51" t="s">
        <v>68</v>
      </c>
      <c r="B62" s="11">
        <f>'Existing Space Heating Units'!AC32</f>
        <v>4035.227746597743</v>
      </c>
      <c r="C62" s="11">
        <f>'New Space Heating Units'!AB32</f>
        <v>0</v>
      </c>
      <c r="D62" s="10">
        <f t="shared" si="3"/>
        <v>4035.227746597743</v>
      </c>
      <c r="E62" s="44">
        <f t="shared" si="6"/>
        <v>0.007033199620004415</v>
      </c>
      <c r="F62" s="226"/>
      <c r="G62" s="226"/>
      <c r="H62" s="226"/>
    </row>
    <row r="63" spans="1:8" ht="12.75">
      <c r="A63" s="51" t="s">
        <v>69</v>
      </c>
      <c r="B63" s="11">
        <f>'Existing Space Heating Units'!AC33</f>
        <v>2669.0813614895505</v>
      </c>
      <c r="C63" s="11">
        <f>'New Space Heating Units'!AB33</f>
        <v>0</v>
      </c>
      <c r="D63" s="10">
        <f t="shared" si="3"/>
        <v>2669.0813614895505</v>
      </c>
      <c r="E63" s="44">
        <f t="shared" si="6"/>
        <v>0.004652074974756191</v>
      </c>
      <c r="F63" s="226"/>
      <c r="G63" s="226"/>
      <c r="H63" s="226"/>
    </row>
    <row r="64" spans="1:8" ht="12.75">
      <c r="A64" s="51" t="s">
        <v>70</v>
      </c>
      <c r="B64" s="11">
        <f>'Existing Space Heating Units'!AC34</f>
        <v>448.3586385108604</v>
      </c>
      <c r="C64" s="11">
        <f>'New Space Heating Units'!AB34</f>
        <v>0</v>
      </c>
      <c r="D64" s="10">
        <f t="shared" si="3"/>
        <v>448.3586385108604</v>
      </c>
      <c r="E64" s="44">
        <f t="shared" si="6"/>
        <v>0.0007814666244449351</v>
      </c>
      <c r="F64" s="226"/>
      <c r="G64" s="226"/>
      <c r="H64" s="226"/>
    </row>
    <row r="65" spans="1:8" ht="12.75">
      <c r="A65" s="51" t="s">
        <v>71</v>
      </c>
      <c r="B65" s="11">
        <f>'Existing Space Heating Units'!AC35</f>
        <v>198997.1626322947</v>
      </c>
      <c r="C65" s="11">
        <f>'New Space Heating Units'!AB35</f>
        <v>186017.13946844082</v>
      </c>
      <c r="D65" s="10">
        <f t="shared" si="3"/>
        <v>385014.3021007355</v>
      </c>
      <c r="E65" s="44">
        <f t="shared" si="6"/>
        <v>0.6710606224182213</v>
      </c>
      <c r="F65" s="226">
        <f>B65/F$69</f>
        <v>0.7800037681341456</v>
      </c>
      <c r="G65" s="226">
        <f>D65/G$69</f>
        <v>0.8102153662539135</v>
      </c>
      <c r="H65" s="226">
        <f>C65/H$69</f>
        <v>0.8452380952380952</v>
      </c>
    </row>
    <row r="66" spans="1:8" ht="12.75">
      <c r="A66" s="51" t="s">
        <v>9</v>
      </c>
      <c r="B66" s="11">
        <f>'Existing Space Heating Units'!AC36</f>
        <v>23440.648062081087</v>
      </c>
      <c r="C66" s="11">
        <f>'New Space Heating Units'!AB36</f>
        <v>34059.47624070043</v>
      </c>
      <c r="D66" s="10">
        <f t="shared" si="3"/>
        <v>57500.12430278152</v>
      </c>
      <c r="E66" s="44">
        <f t="shared" si="6"/>
        <v>0.1002198333755767</v>
      </c>
      <c r="F66" s="226">
        <f>B66/F$69</f>
        <v>0.09187967091628461</v>
      </c>
      <c r="G66" s="226">
        <f>D66/G$69</f>
        <v>0.12100195763489974</v>
      </c>
      <c r="H66" s="226">
        <f>C66/H$69</f>
        <v>0.15476190476190477</v>
      </c>
    </row>
    <row r="67" spans="1:8" ht="12.75">
      <c r="A67" s="51" t="s">
        <v>73</v>
      </c>
      <c r="B67" s="11">
        <f>'Existing Space Heating Units'!AC37</f>
        <v>32685.524297091884</v>
      </c>
      <c r="C67" s="11">
        <f>'New Space Heating Units'!AB37</f>
        <v>0</v>
      </c>
      <c r="D67" s="10">
        <f t="shared" si="3"/>
        <v>32685.524297091884</v>
      </c>
      <c r="E67" s="44">
        <f t="shared" si="6"/>
        <v>0.05696922986807267</v>
      </c>
      <c r="F67" s="226">
        <f>B67/F$69</f>
        <v>0.12811656094956983</v>
      </c>
      <c r="G67" s="226">
        <f>D67/G$69</f>
        <v>0.06878267611118673</v>
      </c>
      <c r="H67" s="226">
        <f>C67/H$69</f>
        <v>0</v>
      </c>
    </row>
    <row r="68" spans="1:8" ht="13.5" thickBot="1">
      <c r="A68" s="51" t="s">
        <v>72</v>
      </c>
      <c r="B68" s="11">
        <f>'Existing Space Heating Units'!AC38</f>
        <v>6741.62500856684</v>
      </c>
      <c r="C68" s="11">
        <f>'New Space Heating Units'!AB38</f>
        <v>0</v>
      </c>
      <c r="D68" s="10">
        <f t="shared" si="3"/>
        <v>6741.62500856684</v>
      </c>
      <c r="E68" s="44">
        <f t="shared" si="6"/>
        <v>0.01175031433812928</v>
      </c>
      <c r="F68" s="273"/>
      <c r="G68" s="273"/>
      <c r="H68" s="273"/>
    </row>
    <row r="69" spans="1:8" ht="13.5" thickBot="1">
      <c r="A69" s="51" t="s">
        <v>10</v>
      </c>
      <c r="B69" s="11">
        <f>'Existing Space Heating Units'!AC39</f>
        <v>18704.640000002466</v>
      </c>
      <c r="C69" s="11">
        <f>'New Space Heating Units'!AB39</f>
        <v>5239.91942164622</v>
      </c>
      <c r="D69" s="10">
        <f t="shared" si="3"/>
        <v>23944.559421648686</v>
      </c>
      <c r="E69" s="44">
        <f t="shared" si="6"/>
        <v>0.0417341663968045</v>
      </c>
      <c r="F69" s="274">
        <f>SUM(B65:B67)</f>
        <v>255123.33499146765</v>
      </c>
      <c r="G69" s="274">
        <f>SUM(D65:D67)</f>
        <v>475199.9507006089</v>
      </c>
      <c r="H69" s="274">
        <f>SUM(C65:C67)</f>
        <v>220076.61570914125</v>
      </c>
    </row>
    <row r="70" spans="1:5" ht="12.75">
      <c r="A70" s="195"/>
      <c r="B70" s="11"/>
      <c r="C70" s="11"/>
      <c r="D70" s="10"/>
      <c r="E70" s="44"/>
    </row>
    <row r="71" spans="1:5" ht="13.5" thickBot="1">
      <c r="A71" s="55" t="s">
        <v>26</v>
      </c>
      <c r="B71" s="56">
        <f>'Existing Space Heating Units'!AC41</f>
        <v>77786.9356514378</v>
      </c>
      <c r="C71" s="56">
        <f>'New Space Heating Units'!AB41</f>
        <v>109129.81613010145</v>
      </c>
      <c r="D71" s="196">
        <f t="shared" si="3"/>
        <v>186916.75178153923</v>
      </c>
      <c r="E71" s="67">
        <f>D71/D$60</f>
        <v>0.32578652560832305</v>
      </c>
    </row>
    <row r="72" spans="1:5" ht="13.5" thickBot="1">
      <c r="A72" s="171"/>
      <c r="B72" s="172"/>
      <c r="C72" s="172"/>
      <c r="D72" s="172"/>
      <c r="E72" s="173"/>
    </row>
    <row r="73" spans="1:5" ht="39" thickBot="1">
      <c r="A73" s="199" t="s">
        <v>82</v>
      </c>
      <c r="B73" s="125" t="s">
        <v>28</v>
      </c>
      <c r="C73" s="125" t="s">
        <v>41</v>
      </c>
      <c r="D73" s="125" t="s">
        <v>42</v>
      </c>
      <c r="E73" s="126" t="s">
        <v>39</v>
      </c>
    </row>
    <row r="74" spans="1:5" ht="12.75">
      <c r="A74" s="197" t="s">
        <v>14</v>
      </c>
      <c r="B74" s="64">
        <f aca="true" t="shared" si="7" ref="B74:D80">B85+B96+B107</f>
        <v>3059680.591962254</v>
      </c>
      <c r="C74" s="64">
        <f t="shared" si="7"/>
        <v>1501441.2793859888</v>
      </c>
      <c r="D74" s="64">
        <f t="shared" si="7"/>
        <v>0</v>
      </c>
      <c r="E74" s="198">
        <f>SUM(B74:D74)</f>
        <v>4561121.871348243</v>
      </c>
    </row>
    <row r="75" spans="1:5" ht="12.75">
      <c r="A75" s="60" t="s">
        <v>15</v>
      </c>
      <c r="B75" s="11">
        <f t="shared" si="7"/>
        <v>5373110.8119066525</v>
      </c>
      <c r="C75" s="11">
        <f t="shared" si="7"/>
        <v>2636683.839778834</v>
      </c>
      <c r="D75" s="11">
        <f t="shared" si="7"/>
        <v>0</v>
      </c>
      <c r="E75" s="198">
        <f aca="true" t="shared" si="8" ref="E75:E82">SUM(B75:D75)</f>
        <v>8009794.651685487</v>
      </c>
    </row>
    <row r="76" spans="1:5" ht="12.75">
      <c r="A76" s="60" t="s">
        <v>16</v>
      </c>
      <c r="B76" s="11">
        <f t="shared" si="7"/>
        <v>2720844.70907218</v>
      </c>
      <c r="C76" s="11">
        <f t="shared" si="7"/>
        <v>1335168.3086566865</v>
      </c>
      <c r="D76" s="11">
        <f t="shared" si="7"/>
        <v>0</v>
      </c>
      <c r="E76" s="198">
        <f t="shared" si="8"/>
        <v>4056013.0177288665</v>
      </c>
    </row>
    <row r="77" spans="1:5" ht="12.75">
      <c r="A77" s="60" t="s">
        <v>17</v>
      </c>
      <c r="B77" s="11">
        <f t="shared" si="7"/>
        <v>4061278.6833803398</v>
      </c>
      <c r="C77" s="11">
        <f t="shared" si="7"/>
        <v>1992943.7988842358</v>
      </c>
      <c r="D77" s="11">
        <f t="shared" si="7"/>
        <v>0</v>
      </c>
      <c r="E77" s="198">
        <f t="shared" si="8"/>
        <v>6054222.482264576</v>
      </c>
    </row>
    <row r="78" spans="1:5" ht="12.75">
      <c r="A78" s="60" t="s">
        <v>18</v>
      </c>
      <c r="B78" s="11">
        <f t="shared" si="7"/>
        <v>3936389.5529958387</v>
      </c>
      <c r="C78" s="11">
        <f t="shared" si="7"/>
        <v>1931658.4162862913</v>
      </c>
      <c r="D78" s="11">
        <f t="shared" si="7"/>
        <v>0</v>
      </c>
      <c r="E78" s="198">
        <f t="shared" si="8"/>
        <v>5868047.96928213</v>
      </c>
    </row>
    <row r="79" spans="1:5" ht="12.75">
      <c r="A79" s="60" t="s">
        <v>19</v>
      </c>
      <c r="B79" s="11">
        <f t="shared" si="7"/>
        <v>3220654.920170274</v>
      </c>
      <c r="C79" s="11">
        <f t="shared" si="7"/>
        <v>1580434.329159836</v>
      </c>
      <c r="D79" s="11">
        <f t="shared" si="7"/>
        <v>0</v>
      </c>
      <c r="E79" s="198">
        <f t="shared" si="8"/>
        <v>4801089.24933011</v>
      </c>
    </row>
    <row r="80" spans="1:5" ht="12.75">
      <c r="A80" s="60" t="s">
        <v>20</v>
      </c>
      <c r="B80" s="11">
        <f t="shared" si="7"/>
        <v>3952959.967351443</v>
      </c>
      <c r="C80" s="11">
        <f t="shared" si="7"/>
        <v>1939789.8219615757</v>
      </c>
      <c r="D80" s="11">
        <f t="shared" si="7"/>
        <v>0</v>
      </c>
      <c r="E80" s="198">
        <f t="shared" si="8"/>
        <v>5892749.789313018</v>
      </c>
    </row>
    <row r="81" spans="1:5" ht="12.75">
      <c r="A81" s="60" t="s">
        <v>22</v>
      </c>
      <c r="B81" s="11">
        <f aca="true" t="shared" si="9" ref="B81:D82">B92+B103+B114</f>
        <v>532724.7210634634</v>
      </c>
      <c r="C81" s="11">
        <f t="shared" si="9"/>
        <v>261417.7731019636</v>
      </c>
      <c r="D81" s="11">
        <f t="shared" si="9"/>
        <v>0</v>
      </c>
      <c r="E81" s="198">
        <f t="shared" si="8"/>
        <v>794142.4941654269</v>
      </c>
    </row>
    <row r="82" spans="1:5" ht="13.5" thickBot="1">
      <c r="A82" s="62" t="s">
        <v>25</v>
      </c>
      <c r="B82" s="56">
        <f t="shared" si="9"/>
        <v>998718.6246894088</v>
      </c>
      <c r="C82" s="56">
        <f t="shared" si="9"/>
        <v>476620.13760365284</v>
      </c>
      <c r="D82" s="56">
        <f t="shared" si="9"/>
        <v>0</v>
      </c>
      <c r="E82" s="276">
        <f t="shared" si="8"/>
        <v>1475338.7622930617</v>
      </c>
    </row>
    <row r="83" spans="1:5" ht="17.25" customHeight="1" thickBot="1">
      <c r="A83" s="277" t="s">
        <v>105</v>
      </c>
      <c r="B83" s="13"/>
      <c r="C83" s="13"/>
      <c r="D83" s="13"/>
      <c r="E83" s="54"/>
    </row>
    <row r="84" spans="1:15" ht="39" thickBot="1">
      <c r="A84" s="199" t="s">
        <v>83</v>
      </c>
      <c r="B84" s="125" t="s">
        <v>28</v>
      </c>
      <c r="C84" s="125" t="s">
        <v>41</v>
      </c>
      <c r="D84" s="125" t="s">
        <v>42</v>
      </c>
      <c r="E84" s="126" t="s">
        <v>39</v>
      </c>
      <c r="O84">
        <v>1</v>
      </c>
    </row>
    <row r="85" spans="1:15" ht="12.75">
      <c r="A85" s="60" t="s">
        <v>14</v>
      </c>
      <c r="B85" s="11">
        <f>'DHW &amp; Appliance Units'!AD25</f>
        <v>2282637.731210347</v>
      </c>
      <c r="C85" s="11">
        <f>'DHW &amp; Appliance Units'!AE25</f>
        <v>1037251.3360166312</v>
      </c>
      <c r="D85" s="11">
        <f>IF(O$84=1,0,'DHW &amp; Appliance Units'!AF25)</f>
        <v>0</v>
      </c>
      <c r="E85" s="61">
        <f>SUM(B85:D85)</f>
        <v>3319889.067226978</v>
      </c>
      <c r="O85" t="s">
        <v>103</v>
      </c>
    </row>
    <row r="86" spans="1:15" ht="12.75">
      <c r="A86" s="60" t="s">
        <v>15</v>
      </c>
      <c r="B86" s="11">
        <f>'DHW &amp; Appliance Units'!AD26</f>
        <v>4008544.39036939</v>
      </c>
      <c r="C86" s="11">
        <f>'DHW &amp; Appliance Units'!AE26</f>
        <v>1821519.0117741332</v>
      </c>
      <c r="D86" s="11">
        <f>IF(O$84=1,0,'DHW &amp; Appliance Units'!AF26)</f>
        <v>0</v>
      </c>
      <c r="E86" s="61">
        <f aca="true" t="shared" si="10" ref="E86:E93">SUM(B86:D86)</f>
        <v>5830063.402143523</v>
      </c>
      <c r="O86" t="s">
        <v>104</v>
      </c>
    </row>
    <row r="87" spans="1:5" ht="12.75">
      <c r="A87" s="60" t="s">
        <v>16</v>
      </c>
      <c r="B87" s="11">
        <f>'DHW &amp; Appliance Units'!AD27</f>
        <v>2029853.3154106487</v>
      </c>
      <c r="C87" s="11">
        <f>'DHW &amp; Appliance Units'!AE27</f>
        <v>922383.7994700451</v>
      </c>
      <c r="D87" s="11">
        <f>IF(O$84=1,0,'DHW &amp; Appliance Units'!AF27)</f>
        <v>0</v>
      </c>
      <c r="E87" s="61">
        <f t="shared" si="10"/>
        <v>2952237.114880694</v>
      </c>
    </row>
    <row r="88" spans="1:5" ht="12.75">
      <c r="A88" s="60" t="s">
        <v>17</v>
      </c>
      <c r="B88" s="11">
        <f>'DHW &amp; Appliance Units'!AD28</f>
        <v>3029867.8835946308</v>
      </c>
      <c r="C88" s="11">
        <f>'DHW &amp; Appliance Units'!AE28</f>
        <v>1376799.5101640632</v>
      </c>
      <c r="D88" s="11">
        <f>IF(O$84=1,0,'DHW &amp; Appliance Units'!AF28)</f>
        <v>0</v>
      </c>
      <c r="E88" s="61">
        <f t="shared" si="10"/>
        <v>4406667.393758694</v>
      </c>
    </row>
    <row r="89" spans="1:5" ht="12.75">
      <c r="A89" s="60" t="s">
        <v>18</v>
      </c>
      <c r="B89" s="11">
        <f>'DHW &amp; Appliance Units'!AD29</f>
        <v>2936695.857082255</v>
      </c>
      <c r="C89" s="11">
        <f>'DHW &amp; Appliance Units'!AE29</f>
        <v>1334461.2943105572</v>
      </c>
      <c r="D89" s="11">
        <f>IF(O$84=1,0,'DHW &amp; Appliance Units'!AF29)</f>
        <v>0</v>
      </c>
      <c r="E89" s="61">
        <f t="shared" si="10"/>
        <v>4271157.151392812</v>
      </c>
    </row>
    <row r="90" spans="1:5" ht="12.75">
      <c r="A90" s="60" t="s">
        <v>19</v>
      </c>
      <c r="B90" s="11">
        <f>'DHW &amp; Appliance Units'!AD30</f>
        <v>2402730.683490772</v>
      </c>
      <c r="C90" s="11">
        <f>'DHW &amp; Appliance Units'!AE30</f>
        <v>1091822.665271318</v>
      </c>
      <c r="D90" s="11">
        <f>IF(O$84=1,0,'DHW &amp; Appliance Units'!AF30)</f>
        <v>0</v>
      </c>
      <c r="E90" s="61">
        <f t="shared" si="10"/>
        <v>3494553.34876209</v>
      </c>
    </row>
    <row r="91" spans="1:5" ht="12.75">
      <c r="A91" s="60" t="s">
        <v>20</v>
      </c>
      <c r="B91" s="11">
        <f>'DHW &amp; Appliance Units'!AD31</f>
        <v>2949058.0144686354</v>
      </c>
      <c r="C91" s="11">
        <f>'DHW &amp; Appliance Units'!AE31</f>
        <v>1340078.7710085677</v>
      </c>
      <c r="D91" s="11">
        <f>IF(O$84=1,0,'DHW &amp; Appliance Units'!AF31)</f>
        <v>0</v>
      </c>
      <c r="E91" s="61">
        <f t="shared" si="10"/>
        <v>4289136.785477203</v>
      </c>
    </row>
    <row r="92" spans="1:5" ht="12.75">
      <c r="A92" s="60" t="s">
        <v>22</v>
      </c>
      <c r="B92" s="11">
        <f>'DHW &amp; Appliance Units'!AD32</f>
        <v>397432.84048747865</v>
      </c>
      <c r="C92" s="11">
        <f>'DHW &amp; Appliance Units'!AE32</f>
        <v>180597.09569154307</v>
      </c>
      <c r="D92" s="11">
        <f>IF(O$84=1,0,'DHW &amp; Appliance Units'!AF32)</f>
        <v>0</v>
      </c>
      <c r="E92" s="61">
        <f t="shared" si="10"/>
        <v>578029.9361790217</v>
      </c>
    </row>
    <row r="93" spans="1:5" ht="13.5" thickBot="1">
      <c r="A93" s="62" t="s">
        <v>25</v>
      </c>
      <c r="B93" s="56">
        <f>'DHW &amp; Appliance Units'!AD33</f>
        <v>808944.1696468166</v>
      </c>
      <c r="C93" s="56">
        <f>'DHW &amp; Appliance Units'!AE33</f>
        <v>367591.58462000516</v>
      </c>
      <c r="D93" s="56">
        <f>IF(O$84=1,0,'DHW &amp; Appliance Units'!AF33)</f>
        <v>0</v>
      </c>
      <c r="E93" s="63">
        <f t="shared" si="10"/>
        <v>1176535.7542668218</v>
      </c>
    </row>
    <row r="94" spans="1:5" ht="13.5" thickBot="1">
      <c r="A94" s="275"/>
      <c r="B94" s="13"/>
      <c r="C94" s="13"/>
      <c r="D94" s="13"/>
      <c r="E94" s="54"/>
    </row>
    <row r="95" spans="1:5" ht="39" thickBot="1">
      <c r="A95" s="199" t="s">
        <v>84</v>
      </c>
      <c r="B95" s="125" t="s">
        <v>28</v>
      </c>
      <c r="C95" s="125" t="s">
        <v>41</v>
      </c>
      <c r="D95" s="125" t="s">
        <v>42</v>
      </c>
      <c r="E95" s="126" t="s">
        <v>39</v>
      </c>
    </row>
    <row r="96" spans="1:5" ht="12.75">
      <c r="A96" s="60" t="s">
        <v>14</v>
      </c>
      <c r="B96" s="11">
        <f>'DHW &amp; Appliance Units'!AD36</f>
        <v>486933.7509206408</v>
      </c>
      <c r="C96" s="11">
        <f>'DHW &amp; Appliance Units'!AE36</f>
        <v>309399.3601344985</v>
      </c>
      <c r="D96" s="11">
        <f>IF(O$84=1,0,'DHW &amp; Appliance Units'!AF36)</f>
        <v>0</v>
      </c>
      <c r="E96" s="61">
        <f>SUM(B96:D96)</f>
        <v>796333.1110551393</v>
      </c>
    </row>
    <row r="97" spans="1:5" ht="12.75">
      <c r="A97" s="60" t="s">
        <v>15</v>
      </c>
      <c r="B97" s="11">
        <f>'DHW &amp; Appliance Units'!AD37</f>
        <v>855105.2709969378</v>
      </c>
      <c r="C97" s="11">
        <f>'DHW &amp; Appliance Units'!AE37</f>
        <v>543336.7951879933</v>
      </c>
      <c r="D97" s="11">
        <f>IF(O$84=1,0,'DHW &amp; Appliance Units'!AF37)</f>
        <v>0</v>
      </c>
      <c r="E97" s="61">
        <f aca="true" t="shared" si="11" ref="E97:E104">SUM(B97:D97)</f>
        <v>1398442.066184931</v>
      </c>
    </row>
    <row r="98" spans="1:5" ht="12.75">
      <c r="A98" s="60" t="s">
        <v>16</v>
      </c>
      <c r="B98" s="11">
        <f>'DHW &amp; Appliance Units'!AD38</f>
        <v>433009.61654020933</v>
      </c>
      <c r="C98" s="11">
        <f>'DHW &amp; Appliance Units'!AE38</f>
        <v>275135.78189296613</v>
      </c>
      <c r="D98" s="11">
        <f>IF(O$84=1,0,'DHW &amp; Appliance Units'!AF38)</f>
        <v>0</v>
      </c>
      <c r="E98" s="61">
        <f t="shared" si="11"/>
        <v>708145.3984331754</v>
      </c>
    </row>
    <row r="99" spans="1:5" ht="12.75">
      <c r="A99" s="60" t="s">
        <v>17</v>
      </c>
      <c r="B99" s="11">
        <f>'DHW &amp; Appliance Units'!AD39</f>
        <v>646333.3682697121</v>
      </c>
      <c r="C99" s="11">
        <f>'DHW &amp; Appliance Units'!AE39</f>
        <v>410682.418703023</v>
      </c>
      <c r="D99" s="11">
        <f>IF(O$84=1,0,'DHW &amp; Appliance Units'!AF39)</f>
        <v>0</v>
      </c>
      <c r="E99" s="61">
        <f t="shared" si="11"/>
        <v>1057015.786972735</v>
      </c>
    </row>
    <row r="100" spans="1:5" ht="12.75">
      <c r="A100" s="60" t="s">
        <v>18</v>
      </c>
      <c r="B100" s="11">
        <f>'DHW &amp; Appliance Units'!AD40</f>
        <v>626457.851568035</v>
      </c>
      <c r="C100" s="11">
        <f>'DHW &amp; Appliance Units'!AE40</f>
        <v>398053.44784566364</v>
      </c>
      <c r="D100" s="11">
        <f>IF(O$84=1,0,'DHW &amp; Appliance Units'!AF40)</f>
        <v>0</v>
      </c>
      <c r="E100" s="61">
        <f t="shared" si="11"/>
        <v>1024511.2994136986</v>
      </c>
    </row>
    <row r="101" spans="1:5" ht="12.75">
      <c r="A101" s="60" t="s">
        <v>19</v>
      </c>
      <c r="B101" s="11">
        <f>'DHW &amp; Appliance Units'!AD41</f>
        <v>512552.056845179</v>
      </c>
      <c r="C101" s="11">
        <f>'DHW &amp; Appliance Units'!AE41</f>
        <v>325677.3187804043</v>
      </c>
      <c r="D101" s="11">
        <f>IF(O$84=1,0,'DHW &amp; Appliance Units'!AF41)</f>
        <v>0</v>
      </c>
      <c r="E101" s="61">
        <f t="shared" si="11"/>
        <v>838229.3756255833</v>
      </c>
    </row>
    <row r="102" spans="1:5" ht="12.75">
      <c r="A102" s="60" t="s">
        <v>20</v>
      </c>
      <c r="B102" s="11">
        <f>'DHW &amp; Appliance Units'!AD42</f>
        <v>629094.9549433615</v>
      </c>
      <c r="C102" s="11">
        <f>'DHW &amp; Appliance Units'!AE42</f>
        <v>399729.07229229936</v>
      </c>
      <c r="D102" s="11">
        <f>IF(O$84=1,0,'DHW &amp; Appliance Units'!AF42)</f>
        <v>0</v>
      </c>
      <c r="E102" s="61">
        <f t="shared" si="11"/>
        <v>1028824.0272356608</v>
      </c>
    </row>
    <row r="103" spans="1:5" ht="12.75">
      <c r="A103" s="60" t="s">
        <v>22</v>
      </c>
      <c r="B103" s="11">
        <f>'DHW &amp; Appliance Units'!AD43</f>
        <v>84780.62949349332</v>
      </c>
      <c r="C103" s="11">
        <f>'DHW &amp; Appliance Units'!AE43</f>
        <v>53869.900099329745</v>
      </c>
      <c r="D103" s="11">
        <f>IF(O$84=1,0,'DHW &amp; Appliance Units'!AF43)</f>
        <v>0</v>
      </c>
      <c r="E103" s="61">
        <f t="shared" si="11"/>
        <v>138650.52959282306</v>
      </c>
    </row>
    <row r="104" spans="1:5" ht="13.5" thickBot="1">
      <c r="A104" s="62" t="s">
        <v>25</v>
      </c>
      <c r="B104" s="56">
        <f>'DHW &amp; Appliance Units'!AD44</f>
        <v>76318.22913770816</v>
      </c>
      <c r="C104" s="56">
        <f>'DHW &amp; Appliance Units'!AE44</f>
        <v>48492.86215457531</v>
      </c>
      <c r="D104" s="56">
        <f>IF(O$84=1,0,'DHW &amp; Appliance Units'!AF44)</f>
        <v>0</v>
      </c>
      <c r="E104" s="63">
        <f t="shared" si="11"/>
        <v>124811.09129228347</v>
      </c>
    </row>
    <row r="105" spans="1:5" ht="13.5" thickBot="1">
      <c r="A105" s="197"/>
      <c r="B105" s="13"/>
      <c r="C105" s="13"/>
      <c r="D105" s="13"/>
      <c r="E105" s="54"/>
    </row>
    <row r="106" spans="1:5" ht="39" thickBot="1">
      <c r="A106" s="199" t="s">
        <v>85</v>
      </c>
      <c r="B106" s="125" t="s">
        <v>28</v>
      </c>
      <c r="C106" s="125" t="s">
        <v>41</v>
      </c>
      <c r="D106" s="125" t="s">
        <v>42</v>
      </c>
      <c r="E106" s="126" t="s">
        <v>39</v>
      </c>
    </row>
    <row r="107" spans="1:5" ht="12.75">
      <c r="A107" s="60" t="s">
        <v>14</v>
      </c>
      <c r="B107" s="11">
        <f>'DHW &amp; Appliance Units'!AD47</f>
        <v>290109.1098312666</v>
      </c>
      <c r="C107" s="11">
        <f>'DHW &amp; Appliance Units'!AE47</f>
        <v>154790.58323485916</v>
      </c>
      <c r="D107" s="11">
        <f>IF(O$84=1,0,'DHW &amp; Appliance Units'!AF47)</f>
        <v>0</v>
      </c>
      <c r="E107" s="61">
        <f>SUM(B107:D107)</f>
        <v>444899.6930661258</v>
      </c>
    </row>
    <row r="108" spans="1:5" ht="12.75">
      <c r="A108" s="60" t="s">
        <v>15</v>
      </c>
      <c r="B108" s="11">
        <f>'DHW &amp; Appliance Units'!AD48</f>
        <v>509461.15054032527</v>
      </c>
      <c r="C108" s="11">
        <f>'DHW &amp; Appliance Units'!AE48</f>
        <v>271828.0328167075</v>
      </c>
      <c r="D108" s="11">
        <f>IF(O$84=1,0,'DHW &amp; Appliance Units'!AF48)</f>
        <v>0</v>
      </c>
      <c r="E108" s="61">
        <f aca="true" t="shared" si="12" ref="E108:E115">SUM(B108:D108)</f>
        <v>781289.1833570327</v>
      </c>
    </row>
    <row r="109" spans="1:5" ht="12.75">
      <c r="A109" s="60" t="s">
        <v>16</v>
      </c>
      <c r="B109" s="11">
        <f>'DHW &amp; Appliance Units'!AD49</f>
        <v>257981.77712132235</v>
      </c>
      <c r="C109" s="11">
        <f>'DHW &amp; Appliance Units'!AE49</f>
        <v>137648.72729367533</v>
      </c>
      <c r="D109" s="11">
        <f>IF(O$84=1,0,'DHW &amp; Appliance Units'!AF49)</f>
        <v>0</v>
      </c>
      <c r="E109" s="61">
        <f t="shared" si="12"/>
        <v>395630.50441499765</v>
      </c>
    </row>
    <row r="110" spans="1:5" ht="12.75">
      <c r="A110" s="60" t="s">
        <v>17</v>
      </c>
      <c r="B110" s="11">
        <f>'DHW &amp; Appliance Units'!AD50</f>
        <v>385077.43151599664</v>
      </c>
      <c r="C110" s="11">
        <f>'DHW &amp; Appliance Units'!AE50</f>
        <v>205461.8700171495</v>
      </c>
      <c r="D110" s="11">
        <f>IF(O$84=1,0,'DHW &amp; Appliance Units'!AF50)</f>
        <v>0</v>
      </c>
      <c r="E110" s="61">
        <f t="shared" si="12"/>
        <v>590539.3015331461</v>
      </c>
    </row>
    <row r="111" spans="1:5" ht="12.75">
      <c r="A111" s="60" t="s">
        <v>18</v>
      </c>
      <c r="B111" s="11">
        <f>'DHW &amp; Appliance Units'!AD51</f>
        <v>373235.84434554866</v>
      </c>
      <c r="C111" s="11">
        <f>'DHW &amp; Appliance Units'!AE51</f>
        <v>199143.6741300705</v>
      </c>
      <c r="D111" s="11">
        <f>IF(O$84=1,0,'DHW &amp; Appliance Units'!AF51)</f>
        <v>0</v>
      </c>
      <c r="E111" s="61">
        <f t="shared" si="12"/>
        <v>572379.5184756191</v>
      </c>
    </row>
    <row r="112" spans="1:5" ht="12.75">
      <c r="A112" s="60" t="s">
        <v>19</v>
      </c>
      <c r="B112" s="11">
        <f>'DHW &amp; Appliance Units'!AD52</f>
        <v>305372.17983432364</v>
      </c>
      <c r="C112" s="11">
        <f>'DHW &amp; Appliance Units'!AE52</f>
        <v>162934.34510811375</v>
      </c>
      <c r="D112" s="11">
        <f>IF(O$84=1,0,'DHW &amp; Appliance Units'!AF52)</f>
        <v>0</v>
      </c>
      <c r="E112" s="61">
        <f t="shared" si="12"/>
        <v>468306.5249424374</v>
      </c>
    </row>
    <row r="113" spans="1:5" ht="12.75">
      <c r="A113" s="60" t="s">
        <v>20</v>
      </c>
      <c r="B113" s="11">
        <f>'DHW &amp; Appliance Units'!AD53</f>
        <v>374806.9979394461</v>
      </c>
      <c r="C113" s="11">
        <f>'DHW &amp; Appliance Units'!AE53</f>
        <v>199981.97866070864</v>
      </c>
      <c r="D113" s="11">
        <f>IF(O$84=1,0,'DHW &amp; Appliance Units'!AF53)</f>
        <v>0</v>
      </c>
      <c r="E113" s="61">
        <f t="shared" si="12"/>
        <v>574788.9766001548</v>
      </c>
    </row>
    <row r="114" spans="1:5" ht="12.75">
      <c r="A114" s="60" t="s">
        <v>22</v>
      </c>
      <c r="B114" s="11">
        <f>'DHW &amp; Appliance Units'!AD54</f>
        <v>50511.25108249135</v>
      </c>
      <c r="C114" s="11">
        <f>'DHW &amp; Appliance Units'!AE54</f>
        <v>26950.777311090795</v>
      </c>
      <c r="D114" s="11">
        <f>IF(O$84=1,0,'DHW &amp; Appliance Units'!AF54)</f>
        <v>0</v>
      </c>
      <c r="E114" s="61">
        <f t="shared" si="12"/>
        <v>77462.02839358215</v>
      </c>
    </row>
    <row r="115" spans="1:5" ht="13.5" thickBot="1">
      <c r="A115" s="62" t="s">
        <v>25</v>
      </c>
      <c r="B115" s="56">
        <f>'DHW &amp; Appliance Units'!AD55</f>
        <v>113456.22590488408</v>
      </c>
      <c r="C115" s="56">
        <f>'DHW &amp; Appliance Units'!AE55</f>
        <v>60535.69082907236</v>
      </c>
      <c r="D115" s="56">
        <f>IF(O$84=1,0,'DHW &amp; Appliance Units'!AF55)</f>
        <v>0</v>
      </c>
      <c r="E115" s="63">
        <f t="shared" si="12"/>
        <v>173991.91673395643</v>
      </c>
    </row>
  </sheetData>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1:V70"/>
  <sheetViews>
    <sheetView tabSelected="1" zoomScale="75" zoomScaleNormal="75" workbookViewId="0" topLeftCell="M34">
      <selection activeCell="L21" sqref="L21:L27"/>
    </sheetView>
  </sheetViews>
  <sheetFormatPr defaultColWidth="9.140625" defaultRowHeight="12.75"/>
  <cols>
    <col min="1" max="1" width="36.00390625" style="0" customWidth="1"/>
    <col min="2" max="2" width="12.00390625" style="0" customWidth="1"/>
    <col min="3" max="3" width="8.421875" style="0" customWidth="1"/>
    <col min="4" max="4" width="9.421875" style="0" customWidth="1"/>
    <col min="5" max="5" width="8.8515625" style="0" customWidth="1"/>
    <col min="6" max="7" width="10.00390625" style="0" customWidth="1"/>
    <col min="8" max="8" width="34.00390625" style="0" customWidth="1"/>
    <col min="9" max="9" width="16.00390625" style="0" bestFit="1" customWidth="1"/>
    <col min="10" max="11" width="16.57421875" style="0" bestFit="1" customWidth="1"/>
    <col min="13" max="13" width="39.7109375" style="0" customWidth="1"/>
    <col min="14" max="14" width="13.8515625" style="0" customWidth="1"/>
    <col min="15" max="15" width="16.28125" style="0" customWidth="1"/>
    <col min="16" max="16" width="20.57421875" style="0" customWidth="1"/>
    <col min="18" max="18" width="40.00390625" style="0" customWidth="1"/>
    <col min="19" max="19" width="13.140625" style="0" customWidth="1"/>
    <col min="20" max="21" width="13.7109375" style="0" customWidth="1"/>
  </cols>
  <sheetData>
    <row r="1" spans="8:21" ht="13.5" thickBot="1">
      <c r="H1" s="378" t="s">
        <v>173</v>
      </c>
      <c r="I1" s="379"/>
      <c r="J1" s="379"/>
      <c r="K1" s="380"/>
      <c r="M1" s="381" t="s">
        <v>171</v>
      </c>
      <c r="N1" s="382"/>
      <c r="O1" s="382"/>
      <c r="P1" s="383"/>
      <c r="R1" s="381" t="s">
        <v>169</v>
      </c>
      <c r="S1" s="382"/>
      <c r="T1" s="382"/>
      <c r="U1" s="383"/>
    </row>
    <row r="2" spans="1:21" ht="26.25" thickBot="1">
      <c r="A2" s="378" t="s">
        <v>125</v>
      </c>
      <c r="B2" s="379"/>
      <c r="C2" s="379"/>
      <c r="D2" s="379"/>
      <c r="E2" s="379"/>
      <c r="F2" s="380"/>
      <c r="H2" s="375"/>
      <c r="I2" s="305" t="s">
        <v>127</v>
      </c>
      <c r="J2" s="305" t="s">
        <v>128</v>
      </c>
      <c r="K2" s="307" t="s">
        <v>129</v>
      </c>
      <c r="R2" s="375"/>
      <c r="S2" s="305" t="s">
        <v>134</v>
      </c>
      <c r="T2" s="305" t="s">
        <v>135</v>
      </c>
      <c r="U2" s="307" t="s">
        <v>136</v>
      </c>
    </row>
    <row r="3" spans="1:21" ht="26.25" thickBot="1">
      <c r="A3" s="304" t="s">
        <v>123</v>
      </c>
      <c r="B3" s="305" t="s">
        <v>110</v>
      </c>
      <c r="C3" s="305" t="s">
        <v>112</v>
      </c>
      <c r="D3" s="305" t="s">
        <v>113</v>
      </c>
      <c r="E3" s="306" t="s">
        <v>114</v>
      </c>
      <c r="F3" s="307" t="s">
        <v>115</v>
      </c>
      <c r="H3" s="354" t="s">
        <v>39</v>
      </c>
      <c r="I3" s="355">
        <f>'Total Housing Units'!AF79</f>
        <v>814462.0376339236</v>
      </c>
      <c r="J3" s="355">
        <f>'Total Housing Units'!AF80</f>
        <v>289363.91900011647</v>
      </c>
      <c r="K3" s="356">
        <f>'Total Housing Units'!AF81</f>
        <v>128265.04654597466</v>
      </c>
      <c r="R3" s="354" t="s">
        <v>39</v>
      </c>
      <c r="S3" s="355">
        <f>'New Space Heating Units'!AD12</f>
        <v>194309.993878383</v>
      </c>
      <c r="T3" s="355">
        <f>'New Space Heating Units'!AD25</f>
        <v>320554.03324511414</v>
      </c>
      <c r="U3" s="356">
        <f>'New Space Heating Units'!AD37</f>
        <v>192792.14074003632</v>
      </c>
    </row>
    <row r="4" spans="1:21" ht="12.75">
      <c r="A4" s="291" t="s">
        <v>116</v>
      </c>
      <c r="B4" s="310">
        <f>'[3]Zone Weighted HDD &amp; CDD '!B3</f>
        <v>8596537</v>
      </c>
      <c r="C4" s="296">
        <f>'[3]Zone Weighted HDD &amp; CDD '!C3</f>
        <v>0.8017468895077884</v>
      </c>
      <c r="D4" s="293">
        <f>'[3]Zone Weighted HDD &amp; CDD '!D3</f>
        <v>5194.382997290322</v>
      </c>
      <c r="E4" s="293">
        <f>'[3]Zone Weighted HDD &amp; CDD '!E3</f>
        <v>5181.844531738558</v>
      </c>
      <c r="F4" s="297">
        <f>'[3]Zone Weighted HDD &amp; CDD '!F3</f>
        <v>5010.92720149611</v>
      </c>
      <c r="H4" s="291" t="s">
        <v>116</v>
      </c>
      <c r="I4" s="11">
        <f aca="true" t="shared" si="0" ref="I4:K7">I$3*$C4</f>
        <v>652992.4052951735</v>
      </c>
      <c r="J4" s="11">
        <f t="shared" si="0"/>
        <v>231996.621994127</v>
      </c>
      <c r="K4" s="61">
        <f t="shared" si="0"/>
        <v>102836.10210080688</v>
      </c>
      <c r="R4" s="291" t="s">
        <v>116</v>
      </c>
      <c r="S4" s="11">
        <f aca="true" t="shared" si="1" ref="S4:U7">S$3*$C4</f>
        <v>155787.43319227095</v>
      </c>
      <c r="T4" s="11">
        <f t="shared" si="1"/>
        <v>257003.19907344645</v>
      </c>
      <c r="U4" s="61">
        <f t="shared" si="1"/>
        <v>154570.4991598719</v>
      </c>
    </row>
    <row r="5" spans="1:21" ht="12.75">
      <c r="A5" s="291" t="s">
        <v>117</v>
      </c>
      <c r="B5" s="310">
        <f>'[3]Zone Weighted HDD &amp; CDD '!B4</f>
        <v>1567384</v>
      </c>
      <c r="C5" s="296">
        <f>'[3]Zone Weighted HDD &amp; CDD '!C4</f>
        <v>0.14618040341875752</v>
      </c>
      <c r="D5" s="293">
        <f>'[3]Zone Weighted HDD &amp; CDD '!D4</f>
        <v>6786.4884720026375</v>
      </c>
      <c r="E5" s="293">
        <f>'[3]Zone Weighted HDD &amp; CDD '!E4</f>
        <v>6824.427138156911</v>
      </c>
      <c r="F5" s="297">
        <f>'[3]Zone Weighted HDD &amp; CDD '!F4</f>
        <v>6769.402837331667</v>
      </c>
      <c r="H5" s="291" t="s">
        <v>117</v>
      </c>
      <c r="I5" s="11">
        <f t="shared" si="0"/>
        <v>119058.38923059021</v>
      </c>
      <c r="J5" s="11">
        <f t="shared" si="0"/>
        <v>42299.334414269695</v>
      </c>
      <c r="K5" s="61">
        <f t="shared" si="0"/>
        <v>18749.836248616288</v>
      </c>
      <c r="R5" s="291" t="s">
        <v>117</v>
      </c>
      <c r="S5" s="11">
        <f t="shared" si="1"/>
        <v>28404.31329343833</v>
      </c>
      <c r="T5" s="11">
        <f t="shared" si="1"/>
        <v>46858.71789728059</v>
      </c>
      <c r="U5" s="61">
        <f t="shared" si="1"/>
        <v>28182.432909344385</v>
      </c>
    </row>
    <row r="6" spans="1:21" ht="12.75">
      <c r="A6" s="291" t="s">
        <v>118</v>
      </c>
      <c r="B6" s="310">
        <f>'[3]Zone Weighted HDD &amp; CDD '!B5</f>
        <v>558337</v>
      </c>
      <c r="C6" s="296">
        <f>'[3]Zone Weighted HDD &amp; CDD '!C5</f>
        <v>0.05207270707345412</v>
      </c>
      <c r="D6" s="293">
        <f>'[3]Zone Weighted HDD &amp; CDD '!D5</f>
        <v>8361.04200979539</v>
      </c>
      <c r="E6" s="293">
        <f>'[3]Zone Weighted HDD &amp; CDD '!E5</f>
        <v>8362.612291786329</v>
      </c>
      <c r="F6" s="297">
        <f>'[3]Zone Weighted HDD &amp; CDD '!F5</f>
        <v>8224.52556195639</v>
      </c>
      <c r="H6" s="291" t="s">
        <v>118</v>
      </c>
      <c r="I6" s="11">
        <f t="shared" si="0"/>
        <v>42411.24310815987</v>
      </c>
      <c r="J6" s="11">
        <f t="shared" si="0"/>
        <v>15067.96259171977</v>
      </c>
      <c r="K6" s="61">
        <f t="shared" si="0"/>
        <v>6679.108196551497</v>
      </c>
      <c r="R6" s="291" t="s">
        <v>118</v>
      </c>
      <c r="S6" s="11">
        <f t="shared" si="1"/>
        <v>10118.2473926737</v>
      </c>
      <c r="T6" s="11">
        <f t="shared" si="1"/>
        <v>16692.116274387103</v>
      </c>
      <c r="U6" s="61">
        <f t="shared" si="1"/>
        <v>10039.208670820051</v>
      </c>
    </row>
    <row r="7" spans="1:21" ht="13.5" thickBot="1">
      <c r="A7" s="294"/>
      <c r="B7" s="311">
        <f>'[3]Zone Weighted HDD &amp; CDD '!B6</f>
        <v>10722258</v>
      </c>
      <c r="C7" s="309">
        <f>SUM(C4:C6)</f>
        <v>1</v>
      </c>
      <c r="D7" s="299">
        <f>'[3]Zone Weighted HDD &amp; CDD '!D6</f>
        <v>6382.0741278156465</v>
      </c>
      <c r="E7" s="298">
        <f>'[3]Zone Weighted HDD &amp; CDD '!E6</f>
        <v>6256.103875420279</v>
      </c>
      <c r="F7" s="300">
        <f>'[3]Zone Weighted HDD &amp; CDD '!F6</f>
        <v>5427.076102875061</v>
      </c>
      <c r="H7" s="294" t="s">
        <v>130</v>
      </c>
      <c r="I7" s="56">
        <f t="shared" si="0"/>
        <v>814462.0376339236</v>
      </c>
      <c r="J7" s="56">
        <f t="shared" si="0"/>
        <v>289363.91900011647</v>
      </c>
      <c r="K7" s="63">
        <f t="shared" si="0"/>
        <v>128265.04654597466</v>
      </c>
      <c r="R7" s="294" t="s">
        <v>130</v>
      </c>
      <c r="S7" s="56">
        <f t="shared" si="1"/>
        <v>194309.993878383</v>
      </c>
      <c r="T7" s="56">
        <f t="shared" si="1"/>
        <v>320554.03324511414</v>
      </c>
      <c r="U7" s="63">
        <f t="shared" si="1"/>
        <v>192792.14074003632</v>
      </c>
    </row>
    <row r="8" ht="13.5" thickBot="1"/>
    <row r="9" spans="8:21" ht="13.5" thickBot="1">
      <c r="H9" s="381" t="s">
        <v>174</v>
      </c>
      <c r="I9" s="382"/>
      <c r="J9" s="382"/>
      <c r="K9" s="383"/>
      <c r="M9" s="381" t="s">
        <v>172</v>
      </c>
      <c r="N9" s="382"/>
      <c r="O9" s="382"/>
      <c r="P9" s="383"/>
      <c r="R9" s="381" t="s">
        <v>133</v>
      </c>
      <c r="S9" s="382"/>
      <c r="T9" s="382"/>
      <c r="U9" s="383"/>
    </row>
    <row r="10" spans="1:21" ht="39" thickBot="1">
      <c r="A10" s="378" t="s">
        <v>168</v>
      </c>
      <c r="B10" s="379"/>
      <c r="C10" s="379"/>
      <c r="D10" s="379"/>
      <c r="E10" s="379"/>
      <c r="F10" s="380"/>
      <c r="H10" s="375"/>
      <c r="I10" s="305" t="s">
        <v>127</v>
      </c>
      <c r="J10" s="305" t="s">
        <v>128</v>
      </c>
      <c r="K10" s="307" t="s">
        <v>129</v>
      </c>
      <c r="M10" s="374" t="s">
        <v>170</v>
      </c>
      <c r="N10" s="305" t="s">
        <v>158</v>
      </c>
      <c r="O10" s="305" t="s">
        <v>159</v>
      </c>
      <c r="P10" s="307" t="s">
        <v>160</v>
      </c>
      <c r="R10" s="375"/>
      <c r="S10" s="305" t="s">
        <v>134</v>
      </c>
      <c r="T10" s="305" t="s">
        <v>135</v>
      </c>
      <c r="U10" s="307" t="s">
        <v>136</v>
      </c>
    </row>
    <row r="11" spans="1:21" ht="26.25" thickBot="1">
      <c r="A11" s="304" t="s">
        <v>124</v>
      </c>
      <c r="B11" s="305" t="s">
        <v>110</v>
      </c>
      <c r="C11" s="305" t="s">
        <v>112</v>
      </c>
      <c r="D11" s="305" t="s">
        <v>119</v>
      </c>
      <c r="E11" s="306" t="s">
        <v>114</v>
      </c>
      <c r="F11" s="307" t="s">
        <v>115</v>
      </c>
      <c r="H11" s="354" t="s">
        <v>39</v>
      </c>
      <c r="I11" s="355">
        <f>I3*'Existing Space Heating Units'!B15</f>
        <v>184159.4449463042</v>
      </c>
      <c r="J11" s="355">
        <f>J3*'Existing Space Heating Units'!B28</f>
        <v>28936.391900011648</v>
      </c>
      <c r="K11" s="356">
        <f>K3*'Existing Space Heating Units'!B41</f>
        <v>32004.930077239947</v>
      </c>
      <c r="M11" s="354" t="s">
        <v>39</v>
      </c>
      <c r="N11" s="355">
        <f>'Post79 - Pre93 Units'!AD20</f>
        <v>101812.9686226939</v>
      </c>
      <c r="O11" s="355">
        <f>'Post79 - Pre93 Units'!AD33</f>
        <v>19639.720549446127</v>
      </c>
      <c r="P11" s="356">
        <f>'Post79 - Pre93 Units'!AD46</f>
        <v>24388.377559292978</v>
      </c>
      <c r="R11" s="354" t="s">
        <v>39</v>
      </c>
      <c r="S11" s="355">
        <f>'New Space Heating Units'!AC15</f>
        <v>565972.6114152304</v>
      </c>
      <c r="T11" s="355">
        <f>'New Space Heating Units'!AC28</f>
        <v>142612.5750490422</v>
      </c>
      <c r="U11" s="356">
        <f>'New Space Heating Units'!AC41</f>
        <v>95600.21087426644</v>
      </c>
    </row>
    <row r="12" spans="1:21" ht="12.75">
      <c r="A12" s="291" t="s">
        <v>120</v>
      </c>
      <c r="B12" s="310">
        <f>'[3]Zone Weighted HDD &amp; CDD '!Q3</f>
        <v>6915937</v>
      </c>
      <c r="C12" s="296">
        <f>'[3]Zone Weighted HDD &amp; CDD '!R3</f>
        <v>0.6450075161407234</v>
      </c>
      <c r="D12" s="293">
        <f>'[3]Zone Weighted HDD &amp; CDD '!S3</f>
        <v>165.85662549739246</v>
      </c>
      <c r="E12" s="293">
        <f>'[3]Zone Weighted HDD &amp; CDD '!T3</f>
        <v>169</v>
      </c>
      <c r="F12" s="297">
        <f>'[3]Zone Weighted HDD &amp; CDD '!U3</f>
        <v>163.49993749541406</v>
      </c>
      <c r="H12" s="291" t="s">
        <v>120</v>
      </c>
      <c r="I12" s="11">
        <f aca="true" t="shared" si="2" ref="I12:K15">I$11*$C12</f>
        <v>118784.22615866996</v>
      </c>
      <c r="J12" s="11">
        <f t="shared" si="2"/>
        <v>18664.19026550106</v>
      </c>
      <c r="K12" s="61">
        <f t="shared" si="2"/>
        <v>20643.42045337807</v>
      </c>
      <c r="M12" s="291" t="s">
        <v>120</v>
      </c>
      <c r="N12" s="11">
        <f>N$11*$C12</f>
        <v>65670.1300022372</v>
      </c>
      <c r="O12" s="11">
        <f>O$11*$C12</f>
        <v>12667.767369296169</v>
      </c>
      <c r="P12" s="61">
        <f>P$11*$C12</f>
        <v>15730.686832221721</v>
      </c>
      <c r="R12" s="291" t="s">
        <v>120</v>
      </c>
      <c r="S12" s="11">
        <f aca="true" t="shared" si="3" ref="S12:U15">S$11*$C12</f>
        <v>365056.5882926166</v>
      </c>
      <c r="T12" s="11">
        <f t="shared" si="3"/>
        <v>91986.18280281521</v>
      </c>
      <c r="U12" s="61">
        <f t="shared" si="3"/>
        <v>61662.85455853997</v>
      </c>
    </row>
    <row r="13" spans="1:21" ht="12.75">
      <c r="A13" s="291" t="s">
        <v>121</v>
      </c>
      <c r="B13" s="310">
        <f>'[3]Zone Weighted HDD &amp; CDD '!Q4</f>
        <v>2527462</v>
      </c>
      <c r="C13" s="296">
        <f>'[3]Zone Weighted HDD &amp; CDD '!R4</f>
        <v>0.2357210580084904</v>
      </c>
      <c r="D13" s="293">
        <f>'[3]Zone Weighted HDD &amp; CDD '!S4</f>
        <v>407.8949590663402</v>
      </c>
      <c r="E13" s="293">
        <f>'[3]Zone Weighted HDD &amp; CDD '!T4</f>
        <v>388.5</v>
      </c>
      <c r="F13" s="297">
        <f>'[3]Zone Weighted HDD &amp; CDD '!U4</f>
        <v>386.00030602859715</v>
      </c>
      <c r="H13" s="291" t="s">
        <v>121</v>
      </c>
      <c r="I13" s="11">
        <f t="shared" si="2"/>
        <v>43410.259204999165</v>
      </c>
      <c r="J13" s="11">
        <f t="shared" si="2"/>
        <v>6820.916913619057</v>
      </c>
      <c r="K13" s="61">
        <f t="shared" si="2"/>
        <v>7544.235979294756</v>
      </c>
      <c r="M13" s="291" t="s">
        <v>121</v>
      </c>
      <c r="N13" s="11">
        <f aca="true" t="shared" si="4" ref="N13:P15">N$11*$C13</f>
        <v>23999.46068272664</v>
      </c>
      <c r="O13" s="11">
        <f t="shared" si="4"/>
        <v>4629.495706906531</v>
      </c>
      <c r="P13" s="61">
        <f t="shared" si="4"/>
        <v>5748.854161387065</v>
      </c>
      <c r="R13" s="291" t="s">
        <v>121</v>
      </c>
      <c r="S13" s="11">
        <f t="shared" si="3"/>
        <v>133411.6627666263</v>
      </c>
      <c r="T13" s="11">
        <f t="shared" si="3"/>
        <v>33616.787075875465</v>
      </c>
      <c r="U13" s="61">
        <f t="shared" si="3"/>
        <v>22534.982853116875</v>
      </c>
    </row>
    <row r="14" spans="1:21" ht="12.75">
      <c r="A14" s="291" t="s">
        <v>122</v>
      </c>
      <c r="B14" s="310">
        <f>'[3]Zone Weighted HDD &amp; CDD '!Q5</f>
        <v>1278859</v>
      </c>
      <c r="C14" s="296">
        <f>'[3]Zone Weighted HDD &amp; CDD '!R5</f>
        <v>0.11927142585078628</v>
      </c>
      <c r="D14" s="293">
        <f>'[3]Zone Weighted HDD &amp; CDD '!S5</f>
        <v>718.0464853259411</v>
      </c>
      <c r="E14" s="293">
        <f>'[3]Zone Weighted HDD &amp; CDD '!T5</f>
        <v>718.3018336768905</v>
      </c>
      <c r="F14" s="297">
        <f>'[3]Zone Weighted HDD &amp; CDD '!U5</f>
        <v>732.3503850471769</v>
      </c>
      <c r="H14" s="291" t="s">
        <v>122</v>
      </c>
      <c r="I14" s="11">
        <f t="shared" si="2"/>
        <v>21964.959582635078</v>
      </c>
      <c r="J14" s="11">
        <f t="shared" si="2"/>
        <v>3451.284720891532</v>
      </c>
      <c r="K14" s="61">
        <f t="shared" si="2"/>
        <v>3817.273644567124</v>
      </c>
      <c r="M14" s="291" t="s">
        <v>122</v>
      </c>
      <c r="N14" s="11">
        <f t="shared" si="4"/>
        <v>12143.377937730065</v>
      </c>
      <c r="O14" s="11">
        <f t="shared" si="4"/>
        <v>2342.457473243427</v>
      </c>
      <c r="P14" s="61">
        <f t="shared" si="4"/>
        <v>2908.8365656841925</v>
      </c>
      <c r="R14" s="291" t="s">
        <v>122</v>
      </c>
      <c r="S14" s="11">
        <f t="shared" si="3"/>
        <v>67504.36035598753</v>
      </c>
      <c r="T14" s="11">
        <f t="shared" si="3"/>
        <v>17009.60517035153</v>
      </c>
      <c r="U14" s="61">
        <f t="shared" si="3"/>
        <v>11402.373462609601</v>
      </c>
    </row>
    <row r="15" spans="1:21" ht="13.5" thickBot="1">
      <c r="A15" s="294"/>
      <c r="B15" s="311">
        <f>'[3]Zone Weighted HDD &amp; CDD '!Q6</f>
        <v>10722258</v>
      </c>
      <c r="C15" s="309">
        <f>SUM(C12:C14)</f>
        <v>1</v>
      </c>
      <c r="D15" s="299">
        <f>'[3]Zone Weighted HDD &amp; CDD '!S6</f>
        <v>326.03596764904376</v>
      </c>
      <c r="E15" s="298">
        <f>'[3]Zone Weighted HDD &amp; CDD '!T6</f>
        <v>280</v>
      </c>
      <c r="F15" s="300">
        <f>'[3]Zone Weighted HDD &amp; CDD '!U6</f>
        <v>283.7955637486917</v>
      </c>
      <c r="H15" s="294" t="s">
        <v>130</v>
      </c>
      <c r="I15" s="56">
        <f t="shared" si="2"/>
        <v>184159.4449463042</v>
      </c>
      <c r="J15" s="56">
        <f t="shared" si="2"/>
        <v>28936.391900011648</v>
      </c>
      <c r="K15" s="63">
        <f t="shared" si="2"/>
        <v>32004.930077239947</v>
      </c>
      <c r="M15" s="294" t="s">
        <v>130</v>
      </c>
      <c r="N15" s="56">
        <f t="shared" si="4"/>
        <v>101812.9686226939</v>
      </c>
      <c r="O15" s="56">
        <f t="shared" si="4"/>
        <v>19639.720549446127</v>
      </c>
      <c r="P15" s="63">
        <f t="shared" si="4"/>
        <v>24388.377559292978</v>
      </c>
      <c r="R15" s="294" t="s">
        <v>130</v>
      </c>
      <c r="S15" s="56">
        <f t="shared" si="3"/>
        <v>565972.6114152304</v>
      </c>
      <c r="T15" s="56">
        <f t="shared" si="3"/>
        <v>142612.5750490422</v>
      </c>
      <c r="U15" s="63">
        <f t="shared" si="3"/>
        <v>95600.21087426644</v>
      </c>
    </row>
    <row r="16" ht="13.5" thickBot="1"/>
    <row r="17" spans="1:21" ht="39" thickBot="1">
      <c r="A17" s="378" t="s">
        <v>108</v>
      </c>
      <c r="B17" s="379"/>
      <c r="C17" s="380"/>
      <c r="H17" s="374" t="s">
        <v>149</v>
      </c>
      <c r="I17" s="351" t="s">
        <v>127</v>
      </c>
      <c r="J17" s="351" t="s">
        <v>128</v>
      </c>
      <c r="K17" s="352" t="s">
        <v>129</v>
      </c>
      <c r="M17" s="374" t="s">
        <v>149</v>
      </c>
      <c r="N17" s="305" t="s">
        <v>158</v>
      </c>
      <c r="O17" s="305" t="s">
        <v>159</v>
      </c>
      <c r="P17" s="307" t="s">
        <v>160</v>
      </c>
      <c r="R17" s="374" t="s">
        <v>149</v>
      </c>
      <c r="S17" s="305" t="s">
        <v>134</v>
      </c>
      <c r="T17" s="305" t="s">
        <v>135</v>
      </c>
      <c r="U17" s="307" t="s">
        <v>136</v>
      </c>
    </row>
    <row r="18" spans="1:21" ht="13.5" thickBot="1">
      <c r="A18" s="301" t="s">
        <v>109</v>
      </c>
      <c r="B18" s="302" t="s">
        <v>110</v>
      </c>
      <c r="C18" s="303" t="s">
        <v>111</v>
      </c>
      <c r="H18" s="354" t="s">
        <v>39</v>
      </c>
      <c r="I18" s="355">
        <f>I$3*'Pre-1980 Space Heating Unit'!AE9</f>
        <v>221717.63481246674</v>
      </c>
      <c r="J18" s="355">
        <f>J$3*'Pre-1980 Space Heating Unit'!AE22</f>
        <v>30883.81187000479</v>
      </c>
      <c r="K18" s="356">
        <f>K$3*'Pre-1980 Space Heating Unit'!AE35</f>
        <v>100047.2196257618</v>
      </c>
      <c r="M18" s="354" t="s">
        <v>39</v>
      </c>
      <c r="N18" s="355">
        <f>'Post79 - Pre93 Units'!$F$5*'Pre-1980 Space Heating Unit'!AE9</f>
        <v>40450.44281566813</v>
      </c>
      <c r="O18" s="355">
        <f>'Post79 - Pre93 Units'!$G$5*'Pre-1980 Space Heating Unit'!AE22</f>
        <v>15511.490968746339</v>
      </c>
      <c r="P18" s="356">
        <f>'Post79 - Pre93 Units'!$H$5*'Pre-1980 Space Heating Unit'!AE35</f>
        <v>64039.85456258321</v>
      </c>
      <c r="R18" s="354" t="s">
        <v>39</v>
      </c>
      <c r="S18" s="355">
        <f>'Summary of Residential Units'!C39</f>
        <v>0</v>
      </c>
      <c r="T18" s="355">
        <f>'Summary of Residential Units'!C52</f>
        <v>22736.997799798188</v>
      </c>
      <c r="U18" s="356">
        <f>'Summary of Residential Units'!C65</f>
        <v>186017.13946844082</v>
      </c>
    </row>
    <row r="19" spans="1:21" ht="12.75">
      <c r="A19" s="289" t="s">
        <v>137</v>
      </c>
      <c r="B19" s="310">
        <f>'[3]PNW Climate Zone Weights'!B3</f>
        <v>5753289</v>
      </c>
      <c r="C19" s="290">
        <f>'[3]PNW Climate Zone Weights'!C3</f>
        <v>0.552809805601941</v>
      </c>
      <c r="H19" s="289" t="s">
        <v>137</v>
      </c>
      <c r="I19" s="10">
        <f>I$18*$C19</f>
        <v>122567.6825992019</v>
      </c>
      <c r="J19" s="10">
        <f>J$18*$C19</f>
        <v>17072.874036104266</v>
      </c>
      <c r="K19" s="349">
        <f>K$18*$C19</f>
        <v>55307.08403233208</v>
      </c>
      <c r="M19" s="289" t="s">
        <v>137</v>
      </c>
      <c r="N19" s="10">
        <f>N$18*$C19</f>
        <v>22361.401429441932</v>
      </c>
      <c r="O19" s="10">
        <f>O$18*$C19</f>
        <v>8574.904307028928</v>
      </c>
      <c r="P19" s="349">
        <f>P$18*$C19</f>
        <v>35401.8595515182</v>
      </c>
      <c r="R19" s="289" t="s">
        <v>137</v>
      </c>
      <c r="S19" s="10">
        <f>S$18*$C19</f>
        <v>0</v>
      </c>
      <c r="T19" s="10">
        <f>T$18*$C19</f>
        <v>12569.235333678198</v>
      </c>
      <c r="U19" s="349">
        <f>U$18*$C19</f>
        <v>102832.09870817792</v>
      </c>
    </row>
    <row r="20" spans="1:21" ht="12.75">
      <c r="A20" s="289" t="s">
        <v>138</v>
      </c>
      <c r="B20" s="295">
        <f>'[3]PNW Climate Zone Weights'!B4</f>
        <v>1310807</v>
      </c>
      <c r="C20" s="292">
        <f>'[3]PNW Climate Zone Weights'!C4</f>
        <v>0.12595003707473473</v>
      </c>
      <c r="H20" s="289" t="s">
        <v>138</v>
      </c>
      <c r="I20" s="10">
        <f aca="true" t="shared" si="5" ref="I20:K27">I$18*$C20</f>
        <v>27925.34432475268</v>
      </c>
      <c r="J20" s="10">
        <f t="shared" si="5"/>
        <v>3889.8172500362357</v>
      </c>
      <c r="K20" s="349">
        <f t="shared" si="5"/>
        <v>12600.951021088827</v>
      </c>
      <c r="M20" s="289" t="s">
        <v>138</v>
      </c>
      <c r="N20" s="10">
        <f aca="true" t="shared" si="6" ref="N20:P27">N$18*$C20</f>
        <v>5094.734772322839</v>
      </c>
      <c r="O20" s="10">
        <f t="shared" si="6"/>
        <v>1953.6728625980143</v>
      </c>
      <c r="P20" s="349">
        <f t="shared" si="6"/>
        <v>8065.822056417976</v>
      </c>
      <c r="R20" s="289" t="s">
        <v>138</v>
      </c>
      <c r="S20" s="10">
        <f aca="true" t="shared" si="7" ref="S20:U27">S$18*$C20</f>
        <v>0</v>
      </c>
      <c r="T20" s="10">
        <f t="shared" si="7"/>
        <v>2863.7257158527436</v>
      </c>
      <c r="U20" s="349">
        <f t="shared" si="7"/>
        <v>23428.86561258622</v>
      </c>
    </row>
    <row r="21" spans="1:22" ht="12.75">
      <c r="A21" s="289" t="s">
        <v>139</v>
      </c>
      <c r="B21" s="295">
        <f>'[3]PNW Climate Zone Weights'!B5</f>
        <v>1217540</v>
      </c>
      <c r="C21" s="292">
        <f>'[3]PNW Climate Zone Weights'!C5</f>
        <v>0.11698839580500602</v>
      </c>
      <c r="H21" s="289" t="s">
        <v>139</v>
      </c>
      <c r="I21" s="10">
        <f t="shared" si="5"/>
        <v>25938.39041839064</v>
      </c>
      <c r="J21" s="10">
        <f t="shared" si="5"/>
        <v>3613.047607015463</v>
      </c>
      <c r="K21" s="349">
        <f t="shared" si="5"/>
        <v>11704.363728768987</v>
      </c>
      <c r="L21" s="407">
        <f>SUM(I19:I21)</f>
        <v>176431.41734234523</v>
      </c>
      <c r="M21" s="289" t="s">
        <v>139</v>
      </c>
      <c r="N21" s="10">
        <f t="shared" si="6"/>
        <v>4732.232414607145</v>
      </c>
      <c r="O21" s="10">
        <f t="shared" si="6"/>
        <v>1814.6644449774728</v>
      </c>
      <c r="P21" s="349">
        <f t="shared" si="6"/>
        <v>7491.919852862505</v>
      </c>
      <c r="Q21" s="407">
        <f>SUM(N19:N21)</f>
        <v>32188.368616371914</v>
      </c>
      <c r="R21" s="289" t="s">
        <v>139</v>
      </c>
      <c r="S21" s="10">
        <f t="shared" si="7"/>
        <v>0</v>
      </c>
      <c r="T21" s="10">
        <f t="shared" si="7"/>
        <v>2659.9648980203415</v>
      </c>
      <c r="U21" s="349">
        <f t="shared" si="7"/>
        <v>21761.84673864896</v>
      </c>
      <c r="V21" s="407">
        <f>SUM(U19:U21)</f>
        <v>148022.8110594131</v>
      </c>
    </row>
    <row r="22" spans="1:21" ht="12.75">
      <c r="A22" s="289" t="s">
        <v>140</v>
      </c>
      <c r="B22" s="295">
        <f>'[3]PNW Climate Zone Weights'!B6</f>
        <v>425934</v>
      </c>
      <c r="C22" s="292">
        <f>'[3]PNW Climate Zone Weights'!C6</f>
        <v>0.04092624092745161</v>
      </c>
      <c r="H22" s="289" t="s">
        <v>140</v>
      </c>
      <c r="I22" s="10">
        <f t="shared" si="5"/>
        <v>9074.069340199747</v>
      </c>
      <c r="J22" s="10">
        <f t="shared" si="5"/>
        <v>1263.9583253499059</v>
      </c>
      <c r="K22" s="349">
        <f t="shared" si="5"/>
        <v>4094.556614525593</v>
      </c>
      <c r="M22" s="289" t="s">
        <v>140</v>
      </c>
      <c r="N22" s="10">
        <f t="shared" si="6"/>
        <v>1655.4845682961381</v>
      </c>
      <c r="O22" s="10">
        <f t="shared" si="6"/>
        <v>634.8270165309025</v>
      </c>
      <c r="P22" s="349">
        <f t="shared" si="6"/>
        <v>2620.9105167872417</v>
      </c>
      <c r="R22" s="289" t="s">
        <v>140</v>
      </c>
      <c r="S22" s="10">
        <f t="shared" si="7"/>
        <v>0</v>
      </c>
      <c r="T22" s="10">
        <f t="shared" si="7"/>
        <v>930.5398499214779</v>
      </c>
      <c r="U22" s="349">
        <f t="shared" si="7"/>
        <v>7612.982266520777</v>
      </c>
    </row>
    <row r="23" spans="1:21" ht="12.75">
      <c r="A23" s="289" t="s">
        <v>141</v>
      </c>
      <c r="B23" s="295">
        <f>'[3]PNW Climate Zone Weights'!B7</f>
        <v>1080131</v>
      </c>
      <c r="C23" s="292">
        <f>'[3]PNW Climate Zone Weights'!C7</f>
        <v>0.10378533185706995</v>
      </c>
      <c r="H23" s="289" t="s">
        <v>141</v>
      </c>
      <c r="I23" s="10">
        <f t="shared" si="5"/>
        <v>23011.038307576506</v>
      </c>
      <c r="J23" s="10">
        <f t="shared" si="5"/>
        <v>3205.286663939763</v>
      </c>
      <c r="K23" s="349">
        <f t="shared" si="5"/>
        <v>10383.43389023685</v>
      </c>
      <c r="M23" s="289" t="s">
        <v>141</v>
      </c>
      <c r="N23" s="10">
        <f t="shared" si="6"/>
        <v>4198.162631389548</v>
      </c>
      <c r="O23" s="10">
        <f t="shared" si="6"/>
        <v>1609.8652377892822</v>
      </c>
      <c r="P23" s="349">
        <f t="shared" si="6"/>
        <v>6646.397557856194</v>
      </c>
      <c r="R23" s="289" t="s">
        <v>141</v>
      </c>
      <c r="S23" s="10">
        <f t="shared" si="7"/>
        <v>0</v>
      </c>
      <c r="T23" s="10">
        <f t="shared" si="7"/>
        <v>2359.7668620855243</v>
      </c>
      <c r="U23" s="349">
        <f t="shared" si="7"/>
        <v>19305.850550834995</v>
      </c>
    </row>
    <row r="24" spans="1:22" ht="12.75">
      <c r="A24" s="289" t="s">
        <v>142</v>
      </c>
      <c r="B24" s="295">
        <f>'[3]PNW Climate Zone Weights'!B8</f>
        <v>61319</v>
      </c>
      <c r="C24" s="292">
        <f>'[3]PNW Climate Zone Weights'!C8</f>
        <v>0.005891889746839664</v>
      </c>
      <c r="H24" s="289" t="s">
        <v>142</v>
      </c>
      <c r="I24" s="10">
        <f t="shared" si="5"/>
        <v>1306.3358592451136</v>
      </c>
      <c r="J24" s="10">
        <f t="shared" si="5"/>
        <v>181.96401450020633</v>
      </c>
      <c r="K24" s="349">
        <f t="shared" si="5"/>
        <v>589.467187512842</v>
      </c>
      <c r="L24" s="407">
        <f>SUM(I22:I24)</f>
        <v>33391.443507021366</v>
      </c>
      <c r="M24" s="289" t="s">
        <v>142</v>
      </c>
      <c r="N24" s="10">
        <f t="shared" si="6"/>
        <v>238.3295492807592</v>
      </c>
      <c r="O24" s="10">
        <f t="shared" si="6"/>
        <v>91.3919945969526</v>
      </c>
      <c r="P24" s="349">
        <f t="shared" si="6"/>
        <v>377.3157624863873</v>
      </c>
      <c r="Q24" s="407">
        <f>SUM(N22:N24)</f>
        <v>6091.976748966445</v>
      </c>
      <c r="R24" s="289" t="s">
        <v>142</v>
      </c>
      <c r="S24" s="10">
        <f t="shared" si="7"/>
        <v>0</v>
      </c>
      <c r="T24" s="10">
        <f t="shared" si="7"/>
        <v>133.96388421054695</v>
      </c>
      <c r="U24" s="349">
        <f t="shared" si="7"/>
        <v>1095.9924767705502</v>
      </c>
      <c r="V24" s="407">
        <f>SUM(U22:U24)</f>
        <v>28014.82529412632</v>
      </c>
    </row>
    <row r="25" spans="1:21" ht="12.75">
      <c r="A25" s="289" t="s">
        <v>143</v>
      </c>
      <c r="B25" s="295">
        <f>'[3]PNW Climate Zone Weights'!B9</f>
        <v>421813</v>
      </c>
      <c r="C25" s="292">
        <f>'[3]PNW Climate Zone Weights'!C9</f>
        <v>0.040530271038074314</v>
      </c>
      <c r="H25" s="289" t="s">
        <v>143</v>
      </c>
      <c r="I25" s="10">
        <f t="shared" si="5"/>
        <v>8986.275832870058</v>
      </c>
      <c r="J25" s="10">
        <f t="shared" si="5"/>
        <v>1251.7292657801909</v>
      </c>
      <c r="K25" s="349">
        <f t="shared" si="5"/>
        <v>4054.9409280378736</v>
      </c>
      <c r="M25" s="289" t="s">
        <v>143</v>
      </c>
      <c r="N25" s="10">
        <f t="shared" si="6"/>
        <v>1639.4674109291552</v>
      </c>
      <c r="O25" s="10">
        <f t="shared" si="6"/>
        <v>628.684933167931</v>
      </c>
      <c r="P25" s="349">
        <f t="shared" si="6"/>
        <v>2595.552662660358</v>
      </c>
      <c r="R25" s="289" t="s">
        <v>143</v>
      </c>
      <c r="S25" s="10">
        <f t="shared" si="7"/>
        <v>0</v>
      </c>
      <c r="T25" s="10">
        <f t="shared" si="7"/>
        <v>921.5366834179199</v>
      </c>
      <c r="U25" s="349">
        <f t="shared" si="7"/>
        <v>7539.325080383177</v>
      </c>
    </row>
    <row r="26" spans="1:21" ht="12.75">
      <c r="A26" s="289" t="s">
        <v>144</v>
      </c>
      <c r="B26" s="295">
        <f>'[3]PNW Climate Zone Weights'!B10</f>
        <v>136524</v>
      </c>
      <c r="C26" s="292">
        <f>'[3]PNW Climate Zone Weights'!C10</f>
        <v>0.013118027948882699</v>
      </c>
      <c r="H26" s="289" t="s">
        <v>144</v>
      </c>
      <c r="I26" s="10">
        <f t="shared" si="5"/>
        <v>2908.498130230106</v>
      </c>
      <c r="J26" s="10">
        <f t="shared" si="5"/>
        <v>405.13470727875807</v>
      </c>
      <c r="K26" s="349">
        <f t="shared" si="5"/>
        <v>1312.422223258749</v>
      </c>
      <c r="M26" s="289" t="s">
        <v>144</v>
      </c>
      <c r="N26" s="10">
        <f t="shared" si="6"/>
        <v>530.6300394006159</v>
      </c>
      <c r="O26" s="10">
        <f t="shared" si="6"/>
        <v>203.48017205685605</v>
      </c>
      <c r="P26" s="349">
        <f t="shared" si="6"/>
        <v>840.0766019943499</v>
      </c>
      <c r="R26" s="289" t="s">
        <v>144</v>
      </c>
      <c r="S26" s="10">
        <f t="shared" si="7"/>
        <v>0</v>
      </c>
      <c r="T26" s="10">
        <f t="shared" si="7"/>
        <v>298.2645726114371</v>
      </c>
      <c r="U26" s="349">
        <f t="shared" si="7"/>
        <v>2440.178034518218</v>
      </c>
    </row>
    <row r="27" spans="1:22" ht="12.75">
      <c r="A27" s="289" t="s">
        <v>145</v>
      </c>
      <c r="B27" s="295">
        <f>'[3]PNW Climate Zone Weights'!B11</f>
        <v>0</v>
      </c>
      <c r="C27" s="292">
        <f>'[3]PNW Climate Zone Weights'!C11</f>
        <v>0</v>
      </c>
      <c r="H27" s="289" t="s">
        <v>145</v>
      </c>
      <c r="I27" s="10">
        <f t="shared" si="5"/>
        <v>0</v>
      </c>
      <c r="J27" s="10">
        <f t="shared" si="5"/>
        <v>0</v>
      </c>
      <c r="K27" s="349">
        <f t="shared" si="5"/>
        <v>0</v>
      </c>
      <c r="L27" s="407">
        <f>SUM(I25:I27)</f>
        <v>11894.773963100164</v>
      </c>
      <c r="M27" s="289" t="s">
        <v>145</v>
      </c>
      <c r="N27" s="10">
        <f t="shared" si="6"/>
        <v>0</v>
      </c>
      <c r="O27" s="10">
        <f t="shared" si="6"/>
        <v>0</v>
      </c>
      <c r="P27" s="349">
        <f t="shared" si="6"/>
        <v>0</v>
      </c>
      <c r="Q27" s="407">
        <f>SUM(N25:N27)</f>
        <v>2170.097450329771</v>
      </c>
      <c r="R27" s="289" t="s">
        <v>145</v>
      </c>
      <c r="S27" s="10">
        <f t="shared" si="7"/>
        <v>0</v>
      </c>
      <c r="T27" s="10">
        <f t="shared" si="7"/>
        <v>0</v>
      </c>
      <c r="U27" s="349">
        <f t="shared" si="7"/>
        <v>0</v>
      </c>
      <c r="V27" s="407">
        <f>SUM(U25:U27)</f>
        <v>9979.503114901396</v>
      </c>
    </row>
    <row r="28" spans="1:21" ht="13.5" thickBot="1">
      <c r="A28" s="294" t="str">
        <f>'[3]PNW Climate Zone Weights'!A12</f>
        <v>Total</v>
      </c>
      <c r="B28" s="299">
        <f>'[3]PNW Climate Zone Weights'!B12</f>
        <v>10407357</v>
      </c>
      <c r="C28" s="308">
        <f>SUM(C19:C27)</f>
        <v>0.9999999999999999</v>
      </c>
      <c r="H28" s="294" t="s">
        <v>5</v>
      </c>
      <c r="I28" s="196">
        <f>SUM(I19:I27)</f>
        <v>221717.6348124668</v>
      </c>
      <c r="J28" s="196">
        <f>SUM(J19:J27)</f>
        <v>30883.811870004785</v>
      </c>
      <c r="K28" s="350">
        <f>SUM(K19:K27)</f>
        <v>100047.2196257618</v>
      </c>
      <c r="M28" s="294" t="s">
        <v>5</v>
      </c>
      <c r="N28" s="196">
        <f>SUM(N19:N27)</f>
        <v>40450.442815668124</v>
      </c>
      <c r="O28" s="196">
        <f>SUM(O19:O27)</f>
        <v>15511.490968746339</v>
      </c>
      <c r="P28" s="350">
        <f>SUM(P19:P27)</f>
        <v>64039.85456258321</v>
      </c>
      <c r="R28" s="294" t="s">
        <v>5</v>
      </c>
      <c r="S28" s="196">
        <f>SUM(S19:S27)</f>
        <v>0</v>
      </c>
      <c r="T28" s="196">
        <f>SUM(T19:T27)</f>
        <v>22736.997799798195</v>
      </c>
      <c r="U28" s="350">
        <f>SUM(U19:U27)</f>
        <v>186017.13946844082</v>
      </c>
    </row>
    <row r="30" spans="8:11" ht="13.5" thickBot="1">
      <c r="H30" s="389"/>
      <c r="I30" s="390"/>
      <c r="K30" s="390"/>
    </row>
    <row r="31" spans="1:21" ht="39" thickBot="1">
      <c r="A31" s="378" t="s">
        <v>108</v>
      </c>
      <c r="B31" s="379"/>
      <c r="C31" s="380"/>
      <c r="H31" s="374" t="s">
        <v>175</v>
      </c>
      <c r="I31" s="351" t="s">
        <v>127</v>
      </c>
      <c r="J31" s="351" t="s">
        <v>128</v>
      </c>
      <c r="K31" s="352" t="s">
        <v>129</v>
      </c>
      <c r="M31" s="374" t="s">
        <v>175</v>
      </c>
      <c r="N31" s="305" t="s">
        <v>158</v>
      </c>
      <c r="O31" s="305" t="s">
        <v>159</v>
      </c>
      <c r="P31" s="307" t="s">
        <v>160</v>
      </c>
      <c r="R31" s="374" t="s">
        <v>175</v>
      </c>
      <c r="S31" s="305" t="s">
        <v>134</v>
      </c>
      <c r="T31" s="305" t="s">
        <v>135</v>
      </c>
      <c r="U31" s="307" t="s">
        <v>136</v>
      </c>
    </row>
    <row r="32" spans="1:21" ht="13.5" thickBot="1">
      <c r="A32" s="301" t="s">
        <v>109</v>
      </c>
      <c r="B32" s="302" t="s">
        <v>110</v>
      </c>
      <c r="C32" s="303" t="s">
        <v>111</v>
      </c>
      <c r="H32" s="354" t="s">
        <v>39</v>
      </c>
      <c r="I32" s="355">
        <f>'Pre-1980 Space Heating Unit'!AF15</f>
        <v>38652.00403263157</v>
      </c>
      <c r="J32" s="355">
        <f>'Pre-1980 Space Heating Unit'!AF28</f>
        <v>2689.5729212317706</v>
      </c>
      <c r="K32" s="355">
        <f>'Pre-1980 Space Heating Unit'!AF41</f>
        <v>17441.217698805645</v>
      </c>
      <c r="M32" s="354" t="s">
        <v>39</v>
      </c>
      <c r="N32" s="355">
        <f>'Post79 - Pre93 Units'!AF20</f>
        <v>6847.45875026836</v>
      </c>
      <c r="O32" s="355">
        <f>'Post79 - Pre93 Units'!AF33</f>
        <v>1301.9407799745888</v>
      </c>
      <c r="P32" s="355">
        <f>'Post79 - Pre93 Units'!AF46</f>
        <v>10876.643895282003</v>
      </c>
      <c r="R32" s="354" t="s">
        <v>39</v>
      </c>
      <c r="S32" s="355">
        <f>'New Space Heating Units'!AE15</f>
        <v>0</v>
      </c>
      <c r="T32" s="355">
        <f>'New Space Heating Units'!AE28</f>
        <v>2517.0039404841023</v>
      </c>
      <c r="U32" s="356">
        <f>'New Space Heating Units'!AE41</f>
        <v>46691.96568465137</v>
      </c>
    </row>
    <row r="33" spans="1:21" ht="12.75">
      <c r="A33" s="289" t="s">
        <v>137</v>
      </c>
      <c r="B33" s="310">
        <f>B19</f>
        <v>5753289</v>
      </c>
      <c r="C33" s="292">
        <f>C19</f>
        <v>0.552809805601941</v>
      </c>
      <c r="H33" s="289" t="s">
        <v>137</v>
      </c>
      <c r="I33" s="10">
        <f>I$32*$C33</f>
        <v>21367.2068354045</v>
      </c>
      <c r="J33" s="10">
        <f>J$32*$C33</f>
        <v>1486.8222837383798</v>
      </c>
      <c r="K33" s="349">
        <f>K$32*$C33</f>
        <v>9641.676165537881</v>
      </c>
      <c r="M33" s="289" t="s">
        <v>137</v>
      </c>
      <c r="N33" s="10">
        <f>N$32*$C33</f>
        <v>3785.342340603162</v>
      </c>
      <c r="O33" s="10">
        <f>O$32*$C33</f>
        <v>719.725629482992</v>
      </c>
      <c r="P33" s="349">
        <f>P$32*$C33</f>
        <v>6012.715397352383</v>
      </c>
      <c r="R33" s="289" t="s">
        <v>137</v>
      </c>
      <c r="S33" s="10">
        <f>S$32*$C33</f>
        <v>0</v>
      </c>
      <c r="T33" s="10">
        <f>T$32*$C33</f>
        <v>1391.4244590383362</v>
      </c>
      <c r="U33" s="349">
        <f>U$32*$C33</f>
        <v>25811.776473304624</v>
      </c>
    </row>
    <row r="34" spans="1:21" ht="12.75">
      <c r="A34" s="289" t="s">
        <v>138</v>
      </c>
      <c r="B34" s="310">
        <f>B20</f>
        <v>1310807</v>
      </c>
      <c r="C34" s="292">
        <f>C20</f>
        <v>0.12595003707473473</v>
      </c>
      <c r="H34" s="289" t="s">
        <v>138</v>
      </c>
      <c r="I34" s="10">
        <f aca="true" t="shared" si="8" ref="I34:K42">I$32*$C34</f>
        <v>4868.2213409227425</v>
      </c>
      <c r="J34" s="10">
        <f t="shared" si="8"/>
        <v>338.7518091443441</v>
      </c>
      <c r="K34" s="349">
        <f t="shared" si="8"/>
        <v>2196.7220157930906</v>
      </c>
      <c r="M34" s="289" t="s">
        <v>138</v>
      </c>
      <c r="N34" s="10">
        <f aca="true" t="shared" si="9" ref="N34:P42">N$32*$C34</f>
        <v>862.4376834640167</v>
      </c>
      <c r="O34" s="10">
        <f t="shared" si="9"/>
        <v>163.97948950690852</v>
      </c>
      <c r="P34" s="349">
        <f t="shared" si="9"/>
        <v>1369.9137018594554</v>
      </c>
      <c r="R34" s="289" t="s">
        <v>138</v>
      </c>
      <c r="S34" s="10">
        <f aca="true" t="shared" si="10" ref="S34:U42">S$32*$C34</f>
        <v>0</v>
      </c>
      <c r="T34" s="10">
        <f t="shared" si="10"/>
        <v>317.0167396212261</v>
      </c>
      <c r="U34" s="349">
        <f t="shared" si="10"/>
        <v>5880.8548090740815</v>
      </c>
    </row>
    <row r="35" spans="1:21" ht="12.75">
      <c r="A35" s="289" t="s">
        <v>139</v>
      </c>
      <c r="B35" s="310">
        <f>B21</f>
        <v>1217540</v>
      </c>
      <c r="C35" s="292">
        <f>C21</f>
        <v>0.11698839580500602</v>
      </c>
      <c r="H35" s="289" t="s">
        <v>139</v>
      </c>
      <c r="I35" s="10">
        <f t="shared" si="8"/>
        <v>4521.835946426191</v>
      </c>
      <c r="J35" s="10">
        <f t="shared" si="8"/>
        <v>314.64882145548864</v>
      </c>
      <c r="K35" s="349">
        <f t="shared" si="8"/>
        <v>2040.420079469151</v>
      </c>
      <c r="M35" s="289" t="s">
        <v>139</v>
      </c>
      <c r="N35" s="10">
        <f t="shared" si="9"/>
        <v>801.0732145348467</v>
      </c>
      <c r="O35" s="10">
        <f t="shared" si="9"/>
        <v>152.31196328234546</v>
      </c>
      <c r="P35" s="349">
        <f t="shared" si="9"/>
        <v>1272.4411210513533</v>
      </c>
      <c r="R35" s="289" t="s">
        <v>139</v>
      </c>
      <c r="S35" s="10">
        <f t="shared" si="10"/>
        <v>0</v>
      </c>
      <c r="T35" s="10">
        <f t="shared" si="10"/>
        <v>294.460253232114</v>
      </c>
      <c r="U35" s="349">
        <f t="shared" si="10"/>
        <v>5462.418162429753</v>
      </c>
    </row>
    <row r="36" spans="1:21" ht="12.75">
      <c r="A36" s="289" t="s">
        <v>140</v>
      </c>
      <c r="B36" s="310">
        <f>B22</f>
        <v>425934</v>
      </c>
      <c r="C36" s="292">
        <f>C22</f>
        <v>0.04092624092745161</v>
      </c>
      <c r="H36" s="289" t="s">
        <v>140</v>
      </c>
      <c r="I36" s="10">
        <f t="shared" si="8"/>
        <v>1581.8812293683109</v>
      </c>
      <c r="J36" s="10">
        <f t="shared" si="8"/>
        <v>110.07410936628128</v>
      </c>
      <c r="K36" s="349">
        <f t="shared" si="8"/>
        <v>713.803477609453</v>
      </c>
      <c r="M36" s="289" t="s">
        <v>140</v>
      </c>
      <c r="N36" s="10">
        <f t="shared" si="9"/>
        <v>280.2407465542696</v>
      </c>
      <c r="O36" s="10">
        <f t="shared" si="9"/>
        <v>53.28354203451429</v>
      </c>
      <c r="P36" s="349">
        <f t="shared" si="9"/>
        <v>445.14014854040704</v>
      </c>
      <c r="R36" s="289" t="s">
        <v>140</v>
      </c>
      <c r="S36" s="10">
        <f t="shared" si="10"/>
        <v>0</v>
      </c>
      <c r="T36" s="10">
        <f t="shared" si="10"/>
        <v>103.01150968359744</v>
      </c>
      <c r="U36" s="349">
        <f t="shared" si="10"/>
        <v>1910.926636986345</v>
      </c>
    </row>
    <row r="37" spans="1:21" ht="12.75">
      <c r="A37" s="289" t="s">
        <v>141</v>
      </c>
      <c r="B37" s="310">
        <f>B23</f>
        <v>1080131</v>
      </c>
      <c r="C37" s="292">
        <f>C23</f>
        <v>0.10378533185706995</v>
      </c>
      <c r="H37" s="289" t="s">
        <v>141</v>
      </c>
      <c r="I37" s="10">
        <f t="shared" si="8"/>
        <v>4011.5110654674736</v>
      </c>
      <c r="J37" s="10">
        <f t="shared" si="8"/>
        <v>279.13821818382837</v>
      </c>
      <c r="K37" s="349">
        <f t="shared" si="8"/>
        <v>1810.1425668619459</v>
      </c>
      <c r="M37" s="289" t="s">
        <v>141</v>
      </c>
      <c r="N37" s="10">
        <f t="shared" si="9"/>
        <v>710.6657787741992</v>
      </c>
      <c r="O37" s="10">
        <f t="shared" si="9"/>
        <v>135.1223559079152</v>
      </c>
      <c r="P37" s="349">
        <f t="shared" si="9"/>
        <v>1128.8360961630167</v>
      </c>
      <c r="R37" s="289" t="s">
        <v>141</v>
      </c>
      <c r="S37" s="10">
        <f t="shared" si="10"/>
        <v>0</v>
      </c>
      <c r="T37" s="10">
        <f t="shared" si="10"/>
        <v>261.2280892486953</v>
      </c>
      <c r="U37" s="349">
        <f t="shared" si="10"/>
        <v>4845.941153640465</v>
      </c>
    </row>
    <row r="38" spans="1:21" ht="12.75">
      <c r="A38" s="289" t="s">
        <v>142</v>
      </c>
      <c r="B38" s="310">
        <f>B24</f>
        <v>61319</v>
      </c>
      <c r="C38" s="292">
        <f>C24</f>
        <v>0.005891889746839664</v>
      </c>
      <c r="H38" s="289" t="s">
        <v>142</v>
      </c>
      <c r="I38" s="10">
        <f t="shared" si="8"/>
        <v>227.7333462546673</v>
      </c>
      <c r="J38" s="10">
        <f t="shared" si="8"/>
        <v>15.846667117983072</v>
      </c>
      <c r="K38" s="349">
        <f t="shared" si="8"/>
        <v>102.76173173199146</v>
      </c>
      <c r="M38" s="289" t="s">
        <v>142</v>
      </c>
      <c r="N38" s="10">
        <f t="shared" si="9"/>
        <v>40.344472002613685</v>
      </c>
      <c r="O38" s="10">
        <f t="shared" si="9"/>
        <v>7.670891532524715</v>
      </c>
      <c r="P38" s="349">
        <f t="shared" si="9"/>
        <v>64.08398664663825</v>
      </c>
      <c r="R38" s="289" t="s">
        <v>142</v>
      </c>
      <c r="S38" s="10">
        <f t="shared" si="10"/>
        <v>0</v>
      </c>
      <c r="T38" s="10">
        <f t="shared" si="10"/>
        <v>14.829909709693313</v>
      </c>
      <c r="U38" s="349">
        <f t="shared" si="10"/>
        <v>275.1039138771868</v>
      </c>
    </row>
    <row r="39" spans="1:21" ht="12.75">
      <c r="A39" s="289" t="s">
        <v>143</v>
      </c>
      <c r="B39" s="310">
        <f>B25</f>
        <v>421813</v>
      </c>
      <c r="C39" s="292">
        <f>C25</f>
        <v>0.040530271038074314</v>
      </c>
      <c r="H39" s="289" t="s">
        <v>143</v>
      </c>
      <c r="I39" s="10">
        <f t="shared" si="8"/>
        <v>1566.576199607299</v>
      </c>
      <c r="J39" s="10">
        <f t="shared" si="8"/>
        <v>109.00911947418896</v>
      </c>
      <c r="K39" s="349">
        <f t="shared" si="8"/>
        <v>706.8972805666516</v>
      </c>
      <c r="M39" s="289" t="s">
        <v>143</v>
      </c>
      <c r="N39" s="10">
        <f t="shared" si="9"/>
        <v>277.52935907041024</v>
      </c>
      <c r="O39" s="10">
        <f t="shared" si="9"/>
        <v>52.76801268789196</v>
      </c>
      <c r="P39" s="349">
        <f t="shared" si="9"/>
        <v>440.83332506039596</v>
      </c>
      <c r="R39" s="289" t="s">
        <v>143</v>
      </c>
      <c r="S39" s="10">
        <f t="shared" si="10"/>
        <v>0</v>
      </c>
      <c r="T39" s="10">
        <f t="shared" si="10"/>
        <v>102.01485191172173</v>
      </c>
      <c r="U39" s="349">
        <f t="shared" si="10"/>
        <v>1892.4380244993852</v>
      </c>
    </row>
    <row r="40" spans="1:21" ht="12.75">
      <c r="A40" s="289" t="s">
        <v>144</v>
      </c>
      <c r="B40" s="310">
        <f>B26</f>
        <v>136524</v>
      </c>
      <c r="C40" s="292">
        <f>C26</f>
        <v>0.013118027948882699</v>
      </c>
      <c r="H40" s="289" t="s">
        <v>144</v>
      </c>
      <c r="I40" s="10">
        <f t="shared" si="8"/>
        <v>507.03806918038777</v>
      </c>
      <c r="J40" s="10">
        <f t="shared" si="8"/>
        <v>35.28189275127645</v>
      </c>
      <c r="K40" s="349">
        <f t="shared" si="8"/>
        <v>228.79438123548005</v>
      </c>
      <c r="M40" s="289" t="s">
        <v>144</v>
      </c>
      <c r="N40" s="10">
        <f t="shared" si="9"/>
        <v>89.82515526484174</v>
      </c>
      <c r="O40" s="10">
        <f t="shared" si="9"/>
        <v>17.0788955394968</v>
      </c>
      <c r="P40" s="349">
        <f t="shared" si="9"/>
        <v>142.6801186083537</v>
      </c>
      <c r="R40" s="289" t="s">
        <v>144</v>
      </c>
      <c r="S40" s="10">
        <f t="shared" si="10"/>
        <v>0</v>
      </c>
      <c r="T40" s="10">
        <f t="shared" si="10"/>
        <v>33.01812803871834</v>
      </c>
      <c r="U40" s="349">
        <f t="shared" si="10"/>
        <v>612.5065108395286</v>
      </c>
    </row>
    <row r="41" spans="1:21" ht="12.75">
      <c r="A41" s="289" t="s">
        <v>145</v>
      </c>
      <c r="B41" s="310">
        <f>B27</f>
        <v>0</v>
      </c>
      <c r="C41" s="292">
        <f>C27</f>
        <v>0</v>
      </c>
      <c r="H41" s="289" t="s">
        <v>145</v>
      </c>
      <c r="I41" s="10">
        <f t="shared" si="8"/>
        <v>0</v>
      </c>
      <c r="J41" s="10">
        <f t="shared" si="8"/>
        <v>0</v>
      </c>
      <c r="K41" s="349">
        <f t="shared" si="8"/>
        <v>0</v>
      </c>
      <c r="M41" s="289" t="s">
        <v>145</v>
      </c>
      <c r="N41" s="10">
        <f t="shared" si="9"/>
        <v>0</v>
      </c>
      <c r="O41" s="10">
        <f t="shared" si="9"/>
        <v>0</v>
      </c>
      <c r="P41" s="349">
        <f t="shared" si="9"/>
        <v>0</v>
      </c>
      <c r="R41" s="289" t="s">
        <v>145</v>
      </c>
      <c r="S41" s="10">
        <f t="shared" si="10"/>
        <v>0</v>
      </c>
      <c r="T41" s="10">
        <f t="shared" si="10"/>
        <v>0</v>
      </c>
      <c r="U41" s="349">
        <f t="shared" si="10"/>
        <v>0</v>
      </c>
    </row>
    <row r="42" spans="1:21" ht="13.5" thickBot="1">
      <c r="A42" s="294" t="str">
        <f>'[3]PNW Climate Zone Weights'!A26</f>
        <v>Pacific County, WA</v>
      </c>
      <c r="B42" s="311">
        <f>B28</f>
        <v>10407357</v>
      </c>
      <c r="C42" s="377">
        <f>C28</f>
        <v>0.9999999999999999</v>
      </c>
      <c r="H42" s="294" t="s">
        <v>5</v>
      </c>
      <c r="I42" s="196">
        <f t="shared" si="8"/>
        <v>38652.004032631565</v>
      </c>
      <c r="J42" s="196">
        <f t="shared" si="8"/>
        <v>2689.57292123177</v>
      </c>
      <c r="K42" s="350">
        <f t="shared" si="8"/>
        <v>17441.21769880564</v>
      </c>
      <c r="M42" s="294" t="s">
        <v>5</v>
      </c>
      <c r="N42" s="196">
        <f t="shared" si="9"/>
        <v>6847.458750268359</v>
      </c>
      <c r="O42" s="196">
        <f t="shared" si="9"/>
        <v>1301.9407799745886</v>
      </c>
      <c r="P42" s="350">
        <f t="shared" si="9"/>
        <v>10876.643895282</v>
      </c>
      <c r="R42" s="294" t="s">
        <v>5</v>
      </c>
      <c r="S42" s="196">
        <f t="shared" si="10"/>
        <v>0</v>
      </c>
      <c r="T42" s="196">
        <f t="shared" si="10"/>
        <v>2517.003940484102</v>
      </c>
      <c r="U42" s="350">
        <f t="shared" si="10"/>
        <v>46691.96568465136</v>
      </c>
    </row>
    <row r="44" ht="13.5" thickBot="1"/>
    <row r="45" spans="1:21" ht="39" thickBot="1">
      <c r="A45" s="378" t="s">
        <v>108</v>
      </c>
      <c r="B45" s="379"/>
      <c r="C45" s="380"/>
      <c r="H45" s="374" t="s">
        <v>151</v>
      </c>
      <c r="I45" s="305" t="s">
        <v>127</v>
      </c>
      <c r="J45" s="305" t="s">
        <v>128</v>
      </c>
      <c r="K45" s="307" t="s">
        <v>129</v>
      </c>
      <c r="M45" s="374" t="s">
        <v>151</v>
      </c>
      <c r="N45" s="305" t="s">
        <v>146</v>
      </c>
      <c r="O45" s="305" t="s">
        <v>147</v>
      </c>
      <c r="P45" s="307" t="s">
        <v>148</v>
      </c>
      <c r="R45" s="374" t="s">
        <v>151</v>
      </c>
      <c r="S45" s="305" t="s">
        <v>134</v>
      </c>
      <c r="T45" s="305" t="s">
        <v>135</v>
      </c>
      <c r="U45" s="307" t="s">
        <v>136</v>
      </c>
    </row>
    <row r="46" spans="1:21" ht="13.5" thickBot="1">
      <c r="A46" s="301" t="s">
        <v>109</v>
      </c>
      <c r="B46" s="302" t="s">
        <v>110</v>
      </c>
      <c r="C46" s="303" t="s">
        <v>111</v>
      </c>
      <c r="H46" s="354" t="s">
        <v>39</v>
      </c>
      <c r="I46" s="355">
        <f>I$3*'Pre-1980 Space Heating Unit'!AE10</f>
        <v>131613.52844229658</v>
      </c>
      <c r="J46" s="355">
        <f>J$3*'Pre-1980 Space Heating Unit'!AE23</f>
        <v>5239.147794924341</v>
      </c>
      <c r="K46" s="356">
        <f>K$3*'Pre-1980 Space Heating Unit'!AE36</f>
        <v>11784.95026670608</v>
      </c>
      <c r="M46" s="354" t="s">
        <v>39</v>
      </c>
      <c r="N46" s="355">
        <f>'Post79 - Pre93 Units'!$F$5*'Pre-1980 Space Heating Unit'!AE10</f>
        <v>24011.736867599317</v>
      </c>
      <c r="O46" s="355">
        <f>'Post79 - Pre93 Units'!$G$5*'Pre-1980 Space Heating Unit'!AE23</f>
        <v>2631.37834302847</v>
      </c>
      <c r="P46" s="356">
        <f>'Post79 - Pre93 Units'!$H$5*'Pre-1980 Space Heating Unit'!AE36</f>
        <v>7543.502997186734</v>
      </c>
      <c r="R46" s="354" t="s">
        <v>39</v>
      </c>
      <c r="S46" s="355">
        <f>'Summary of Residential Units'!C40</f>
        <v>147185.03594307744</v>
      </c>
      <c r="T46" s="355">
        <f>'Summary of Residential Units'!C53</f>
        <v>108271.4180942771</v>
      </c>
      <c r="U46" s="356">
        <f>'Summary of Residential Units'!C66</f>
        <v>34059.47624070043</v>
      </c>
    </row>
    <row r="47" spans="1:21" ht="12.75">
      <c r="A47" s="289" t="str">
        <f aca="true" t="shared" si="11" ref="A47:C56">A19</f>
        <v>Heating Zone 1 - Cooling Zone 1</v>
      </c>
      <c r="B47" s="310">
        <f t="shared" si="11"/>
        <v>5753289</v>
      </c>
      <c r="C47" s="290">
        <f t="shared" si="11"/>
        <v>0.552809805601941</v>
      </c>
      <c r="H47" s="289" t="s">
        <v>137</v>
      </c>
      <c r="I47" s="10">
        <f>I$46*$C47</f>
        <v>72757.2490727715</v>
      </c>
      <c r="J47" s="10">
        <f aca="true" t="shared" si="12" ref="J47:K55">J$46*$C47</f>
        <v>2896.2522740319628</v>
      </c>
      <c r="K47" s="349">
        <f t="shared" si="12"/>
        <v>6514.836065966331</v>
      </c>
      <c r="M47" s="289" t="s">
        <v>137</v>
      </c>
      <c r="N47" s="10">
        <f>N$46*$C47</f>
        <v>13273.923589942538</v>
      </c>
      <c r="O47" s="10">
        <f>O$46*$C47</f>
        <v>1454.6517502747263</v>
      </c>
      <c r="P47" s="349">
        <f>P$46*$C47</f>
        <v>4170.122425432458</v>
      </c>
      <c r="R47" s="289" t="s">
        <v>137</v>
      </c>
      <c r="S47" s="10">
        <f>S$46*$C47</f>
        <v>81365.33110720734</v>
      </c>
      <c r="T47" s="10">
        <f>T$46*$C47</f>
        <v>59853.50158894381</v>
      </c>
      <c r="U47" s="349">
        <f>U$46*$C47</f>
        <v>18828.412439525535</v>
      </c>
    </row>
    <row r="48" spans="1:21" ht="12.75">
      <c r="A48" s="289" t="str">
        <f t="shared" si="11"/>
        <v>Heating Zone 1 - Cooling Zone 2</v>
      </c>
      <c r="B48" s="295">
        <f t="shared" si="11"/>
        <v>1310807</v>
      </c>
      <c r="C48" s="292">
        <f t="shared" si="11"/>
        <v>0.12595003707473473</v>
      </c>
      <c r="H48" s="289" t="s">
        <v>138</v>
      </c>
      <c r="I48" s="10">
        <f aca="true" t="shared" si="13" ref="I48:I55">I$46*$C48</f>
        <v>16576.72878684391</v>
      </c>
      <c r="J48" s="10">
        <f t="shared" si="12"/>
        <v>659.8708590107354</v>
      </c>
      <c r="K48" s="349">
        <f t="shared" si="12"/>
        <v>1484.314923015536</v>
      </c>
      <c r="M48" s="289" t="s">
        <v>138</v>
      </c>
      <c r="N48" s="10">
        <f aca="true" t="shared" si="14" ref="N48:P55">N$46*$C48</f>
        <v>3024.279148702909</v>
      </c>
      <c r="O48" s="10">
        <f t="shared" si="14"/>
        <v>331.4221998620899</v>
      </c>
      <c r="P48" s="349">
        <f t="shared" si="14"/>
        <v>950.1044821690417</v>
      </c>
      <c r="R48" s="289" t="s">
        <v>138</v>
      </c>
      <c r="S48" s="10">
        <f aca="true" t="shared" si="15" ref="S48:U55">S$46*$C48</f>
        <v>18537.960733876767</v>
      </c>
      <c r="T48" s="10">
        <f t="shared" si="15"/>
        <v>13636.789123108307</v>
      </c>
      <c r="U48" s="349">
        <f t="shared" si="15"/>
        <v>4289.792295262266</v>
      </c>
    </row>
    <row r="49" spans="1:21" ht="12.75">
      <c r="A49" s="289" t="str">
        <f t="shared" si="11"/>
        <v>Heating Zone 1 - Cooling Zone 3</v>
      </c>
      <c r="B49" s="295">
        <f t="shared" si="11"/>
        <v>1217540</v>
      </c>
      <c r="C49" s="292">
        <f t="shared" si="11"/>
        <v>0.11698839580500602</v>
      </c>
      <c r="H49" s="289" t="s">
        <v>139</v>
      </c>
      <c r="I49" s="10">
        <f t="shared" si="13"/>
        <v>15397.255558700808</v>
      </c>
      <c r="J49" s="10">
        <f t="shared" si="12"/>
        <v>612.9194959135333</v>
      </c>
      <c r="K49" s="349">
        <f t="shared" si="12"/>
        <v>1378.7024263437222</v>
      </c>
      <c r="M49" s="289" t="s">
        <v>139</v>
      </c>
      <c r="N49" s="10">
        <f t="shared" si="14"/>
        <v>2809.0945766323644</v>
      </c>
      <c r="O49" s="10">
        <f t="shared" si="14"/>
        <v>307.84073110693555</v>
      </c>
      <c r="P49" s="349">
        <f t="shared" si="14"/>
        <v>882.5023143911309</v>
      </c>
      <c r="R49" s="289" t="s">
        <v>139</v>
      </c>
      <c r="S49" s="10">
        <f t="shared" si="15"/>
        <v>17218.941241482782</v>
      </c>
      <c r="T49" s="10">
        <f t="shared" si="15"/>
        <v>12666.49951438258</v>
      </c>
      <c r="U49" s="349">
        <f t="shared" si="15"/>
        <v>3984.5634873582603</v>
      </c>
    </row>
    <row r="50" spans="1:21" ht="12.75">
      <c r="A50" s="289" t="str">
        <f t="shared" si="11"/>
        <v>Heating Zone 2 - Cooling Zone 1</v>
      </c>
      <c r="B50" s="295">
        <f t="shared" si="11"/>
        <v>425934</v>
      </c>
      <c r="C50" s="292">
        <f t="shared" si="11"/>
        <v>0.04092624092745161</v>
      </c>
      <c r="H50" s="289" t="s">
        <v>140</v>
      </c>
      <c r="I50" s="10">
        <f t="shared" si="13"/>
        <v>5386.446974341435</v>
      </c>
      <c r="J50" s="10">
        <f t="shared" si="12"/>
        <v>214.41862490960042</v>
      </c>
      <c r="K50" s="349">
        <f t="shared" si="12"/>
        <v>482.31371393324815</v>
      </c>
      <c r="M50" s="289" t="s">
        <v>140</v>
      </c>
      <c r="N50" s="10">
        <f t="shared" si="14"/>
        <v>982.710128129942</v>
      </c>
      <c r="O50" s="10">
        <f t="shared" si="14"/>
        <v>107.69242403806159</v>
      </c>
      <c r="P50" s="349">
        <f t="shared" si="14"/>
        <v>308.7272210998176</v>
      </c>
      <c r="R50" s="289" t="s">
        <v>140</v>
      </c>
      <c r="S50" s="10">
        <f t="shared" si="15"/>
        <v>6023.730241922012</v>
      </c>
      <c r="T50" s="10">
        <f t="shared" si="15"/>
        <v>4431.142142483229</v>
      </c>
      <c r="U50" s="349">
        <f t="shared" si="15"/>
        <v>1393.9263304897197</v>
      </c>
    </row>
    <row r="51" spans="1:21" ht="12.75">
      <c r="A51" s="289" t="str">
        <f t="shared" si="11"/>
        <v>Heating Zone 2 - Cooling Zone 2</v>
      </c>
      <c r="B51" s="295">
        <f t="shared" si="11"/>
        <v>1080131</v>
      </c>
      <c r="C51" s="292">
        <f t="shared" si="11"/>
        <v>0.10378533185706995</v>
      </c>
      <c r="H51" s="289" t="s">
        <v>141</v>
      </c>
      <c r="I51" s="10">
        <f t="shared" si="13"/>
        <v>13659.553726263664</v>
      </c>
      <c r="J51" s="10">
        <f t="shared" si="12"/>
        <v>543.7466925444589</v>
      </c>
      <c r="K51" s="349">
        <f t="shared" si="12"/>
        <v>1223.1049743491556</v>
      </c>
      <c r="M51" s="289" t="s">
        <v>141</v>
      </c>
      <c r="N51" s="10">
        <f t="shared" si="14"/>
        <v>2492.066079268436</v>
      </c>
      <c r="O51" s="10">
        <f t="shared" si="14"/>
        <v>273.0984745727166</v>
      </c>
      <c r="P51" s="349">
        <f t="shared" si="14"/>
        <v>782.904961927827</v>
      </c>
      <c r="R51" s="289" t="s">
        <v>141</v>
      </c>
      <c r="S51" s="10">
        <f t="shared" si="15"/>
        <v>15275.647799747061</v>
      </c>
      <c r="T51" s="10">
        <f t="shared" si="15"/>
        <v>11236.985057550117</v>
      </c>
      <c r="U51" s="349">
        <f t="shared" si="15"/>
        <v>3534.8740445190833</v>
      </c>
    </row>
    <row r="52" spans="1:21" ht="12.75">
      <c r="A52" s="289" t="str">
        <f t="shared" si="11"/>
        <v>Heating Zone 2 - Cooling Zone 3</v>
      </c>
      <c r="B52" s="295">
        <f t="shared" si="11"/>
        <v>61319</v>
      </c>
      <c r="C52" s="292">
        <f t="shared" si="11"/>
        <v>0.005891889746839664</v>
      </c>
      <c r="H52" s="289" t="s">
        <v>142</v>
      </c>
      <c r="I52" s="10">
        <f t="shared" si="13"/>
        <v>775.4523987745577</v>
      </c>
      <c r="J52" s="10">
        <f t="shared" si="12"/>
        <v>30.86848117509236</v>
      </c>
      <c r="K52" s="349">
        <f t="shared" si="12"/>
        <v>69.43562764342091</v>
      </c>
      <c r="M52" s="289" t="s">
        <v>142</v>
      </c>
      <c r="N52" s="10">
        <f t="shared" si="14"/>
        <v>141.47450625402035</v>
      </c>
      <c r="O52" s="10">
        <f t="shared" si="14"/>
        <v>15.503791079345387</v>
      </c>
      <c r="P52" s="349">
        <f t="shared" si="14"/>
        <v>44.44548796437879</v>
      </c>
      <c r="R52" s="289" t="s">
        <v>142</v>
      </c>
      <c r="S52" s="10">
        <f t="shared" si="15"/>
        <v>867.1980041612454</v>
      </c>
      <c r="T52" s="10">
        <f t="shared" si="15"/>
        <v>637.9232581454618</v>
      </c>
      <c r="U52" s="349">
        <f t="shared" si="15"/>
        <v>200.674678845312</v>
      </c>
    </row>
    <row r="53" spans="1:21" ht="12.75">
      <c r="A53" s="289" t="str">
        <f t="shared" si="11"/>
        <v>Heating Zone 3 - Cooling Zone 1</v>
      </c>
      <c r="B53" s="295">
        <f t="shared" si="11"/>
        <v>421813</v>
      </c>
      <c r="C53" s="292">
        <f t="shared" si="11"/>
        <v>0.040530271038074314</v>
      </c>
      <c r="H53" s="289" t="s">
        <v>143</v>
      </c>
      <c r="I53" s="10">
        <f t="shared" si="13"/>
        <v>5334.331980043583</v>
      </c>
      <c r="J53" s="10">
        <f t="shared" si="12"/>
        <v>212.34408013681292</v>
      </c>
      <c r="K53" s="349">
        <f t="shared" si="12"/>
        <v>477.64722847982364</v>
      </c>
      <c r="M53" s="289" t="s">
        <v>143</v>
      </c>
      <c r="N53" s="10">
        <f t="shared" si="14"/>
        <v>973.2022033387218</v>
      </c>
      <c r="O53" s="10">
        <f t="shared" si="14"/>
        <v>106.65047744666279</v>
      </c>
      <c r="P53" s="349">
        <f t="shared" si="14"/>
        <v>305.7402210525043</v>
      </c>
      <c r="R53" s="289" t="s">
        <v>143</v>
      </c>
      <c r="S53" s="10">
        <f t="shared" si="15"/>
        <v>5965.449399521639</v>
      </c>
      <c r="T53" s="10">
        <f t="shared" si="15"/>
        <v>4388.269921037715</v>
      </c>
      <c r="U53" s="349">
        <f t="shared" si="15"/>
        <v>1380.4398034504409</v>
      </c>
    </row>
    <row r="54" spans="1:21" ht="12.75">
      <c r="A54" s="289" t="str">
        <f t="shared" si="11"/>
        <v>Heating Zone 3 - Cooling Zone 2</v>
      </c>
      <c r="B54" s="295">
        <f t="shared" si="11"/>
        <v>136524</v>
      </c>
      <c r="C54" s="292">
        <f t="shared" si="11"/>
        <v>0.013118027948882699</v>
      </c>
      <c r="H54" s="289" t="s">
        <v>144</v>
      </c>
      <c r="I54" s="10">
        <f t="shared" si="13"/>
        <v>1726.5099445571145</v>
      </c>
      <c r="J54" s="10">
        <f t="shared" si="12"/>
        <v>68.72728720214467</v>
      </c>
      <c r="K54" s="349">
        <f t="shared" si="12"/>
        <v>154.59530697484297</v>
      </c>
      <c r="M54" s="289" t="s">
        <v>144</v>
      </c>
      <c r="N54" s="10">
        <f t="shared" si="14"/>
        <v>314.98663533038496</v>
      </c>
      <c r="O54" s="10">
        <f t="shared" si="14"/>
        <v>34.518494647932116</v>
      </c>
      <c r="P54" s="349">
        <f t="shared" si="14"/>
        <v>98.95588314957598</v>
      </c>
      <c r="R54" s="289" t="s">
        <v>144</v>
      </c>
      <c r="S54" s="10">
        <f t="shared" si="15"/>
        <v>1930.7774151585945</v>
      </c>
      <c r="T54" s="10">
        <f t="shared" si="15"/>
        <v>1420.307488625891</v>
      </c>
      <c r="U54" s="349">
        <f t="shared" si="15"/>
        <v>446.7931612498145</v>
      </c>
    </row>
    <row r="55" spans="1:21" ht="12.75">
      <c r="A55" s="289" t="str">
        <f t="shared" si="11"/>
        <v>Heating Zone 3 - Cooling Zone 3</v>
      </c>
      <c r="B55" s="295">
        <f t="shared" si="11"/>
        <v>0</v>
      </c>
      <c r="C55" s="292">
        <f t="shared" si="11"/>
        <v>0</v>
      </c>
      <c r="H55" s="289" t="s">
        <v>145</v>
      </c>
      <c r="I55" s="10">
        <f t="shared" si="13"/>
        <v>0</v>
      </c>
      <c r="J55" s="10">
        <f t="shared" si="12"/>
        <v>0</v>
      </c>
      <c r="K55" s="349">
        <f t="shared" si="12"/>
        <v>0</v>
      </c>
      <c r="M55" s="289" t="s">
        <v>145</v>
      </c>
      <c r="N55" s="10">
        <f t="shared" si="14"/>
        <v>0</v>
      </c>
      <c r="O55" s="10">
        <f t="shared" si="14"/>
        <v>0</v>
      </c>
      <c r="P55" s="349">
        <f t="shared" si="14"/>
        <v>0</v>
      </c>
      <c r="R55" s="289" t="s">
        <v>145</v>
      </c>
      <c r="S55" s="10">
        <f t="shared" si="15"/>
        <v>0</v>
      </c>
      <c r="T55" s="10">
        <f t="shared" si="15"/>
        <v>0</v>
      </c>
      <c r="U55" s="349">
        <f t="shared" si="15"/>
        <v>0</v>
      </c>
    </row>
    <row r="56" spans="1:21" ht="13.5" thickBot="1">
      <c r="A56" s="294" t="str">
        <f t="shared" si="11"/>
        <v>Total</v>
      </c>
      <c r="B56" s="299">
        <f t="shared" si="11"/>
        <v>10407357</v>
      </c>
      <c r="C56" s="308">
        <f t="shared" si="11"/>
        <v>0.9999999999999999</v>
      </c>
      <c r="H56" s="294" t="s">
        <v>5</v>
      </c>
      <c r="I56" s="196">
        <f>SUM(I47:I55)</f>
        <v>131613.52844229658</v>
      </c>
      <c r="J56" s="196">
        <f>SUM(J47:J55)</f>
        <v>5239.147794924341</v>
      </c>
      <c r="K56" s="350">
        <f>SUM(K47:K55)</f>
        <v>11784.95026670608</v>
      </c>
      <c r="M56" s="294" t="s">
        <v>5</v>
      </c>
      <c r="N56" s="196">
        <f>SUM(N47:N55)</f>
        <v>24011.736867599317</v>
      </c>
      <c r="O56" s="196">
        <f>SUM(O47:O55)</f>
        <v>2631.37834302847</v>
      </c>
      <c r="P56" s="350">
        <f>SUM(P47:P55)</f>
        <v>7543.502997186735</v>
      </c>
      <c r="R56" s="294" t="s">
        <v>5</v>
      </c>
      <c r="S56" s="196">
        <f>SUM(S47:S55)</f>
        <v>147185.03594307744</v>
      </c>
      <c r="T56" s="196">
        <f>SUM(T47:T55)</f>
        <v>108271.41809427709</v>
      </c>
      <c r="U56" s="350">
        <f>SUM(U47:U55)</f>
        <v>34059.47624070043</v>
      </c>
    </row>
    <row r="58" ht="13.5" thickBot="1"/>
    <row r="59" spans="1:21" ht="39" thickBot="1">
      <c r="A59" s="378" t="s">
        <v>108</v>
      </c>
      <c r="B59" s="379"/>
      <c r="C59" s="380"/>
      <c r="H59" s="374" t="s">
        <v>152</v>
      </c>
      <c r="I59" s="305" t="s">
        <v>127</v>
      </c>
      <c r="J59" s="305" t="s">
        <v>128</v>
      </c>
      <c r="K59" s="307" t="s">
        <v>129</v>
      </c>
      <c r="M59" s="374" t="s">
        <v>152</v>
      </c>
      <c r="N59" s="305" t="s">
        <v>146</v>
      </c>
      <c r="O59" s="305" t="s">
        <v>147</v>
      </c>
      <c r="P59" s="307" t="s">
        <v>148</v>
      </c>
      <c r="R59" s="374" t="s">
        <v>152</v>
      </c>
      <c r="S59" s="351" t="s">
        <v>134</v>
      </c>
      <c r="T59" s="351" t="s">
        <v>135</v>
      </c>
      <c r="U59" s="352" t="s">
        <v>136</v>
      </c>
    </row>
    <row r="60" spans="1:21" ht="13.5" thickBot="1">
      <c r="A60" s="301" t="s">
        <v>109</v>
      </c>
      <c r="B60" s="302" t="s">
        <v>110</v>
      </c>
      <c r="C60" s="303" t="s">
        <v>111</v>
      </c>
      <c r="H60" s="354" t="s">
        <v>39</v>
      </c>
      <c r="I60" s="355">
        <f>I$3*'Pre-1980 Space Heating Unit'!AE11</f>
        <v>461130.8743791603</v>
      </c>
      <c r="J60" s="355">
        <f>J$3*'Pre-1980 Space Heating Unit'!AE24</f>
        <v>253240.9593351873</v>
      </c>
      <c r="K60" s="356">
        <f>K$3*'Pre-1980 Space Heating Unit'!AE37</f>
        <v>16432.87665350677</v>
      </c>
      <c r="M60" s="354" t="s">
        <v>39</v>
      </c>
      <c r="N60" s="355">
        <f>'Post79 - Pre93 Units'!$F$5*'Pre-1980 Space Heating Unit'!AE11</f>
        <v>84129.29391200798</v>
      </c>
      <c r="O60" s="355">
        <f>'Post79 - Pre93 Units'!$G$5*'Pre-1980 Space Heating Unit'!AE24</f>
        <v>127191.06275412653</v>
      </c>
      <c r="P60" s="356">
        <f>'Post79 - Pre93 Units'!$H$5*'Pre-1980 Space Heating Unit'!AE37</f>
        <v>10518.623454723813</v>
      </c>
      <c r="R60" s="354" t="s">
        <v>39</v>
      </c>
      <c r="S60" s="355">
        <f>'Summary of Residential Units'!C41</f>
        <v>74624.24366277969</v>
      </c>
      <c r="T60" s="355">
        <f>'Summary of Residential Units'!C54</f>
        <v>126639.8892830754</v>
      </c>
      <c r="U60" s="356">
        <f>'Summary of Residential Units'!C67</f>
        <v>0</v>
      </c>
    </row>
    <row r="61" spans="1:21" ht="12.75">
      <c r="A61" s="289" t="str">
        <f aca="true" t="shared" si="16" ref="A61:C68">A47</f>
        <v>Heating Zone 1 - Cooling Zone 1</v>
      </c>
      <c r="B61" s="295">
        <f t="shared" si="16"/>
        <v>5753289</v>
      </c>
      <c r="C61" s="292">
        <f t="shared" si="16"/>
        <v>0.552809805601941</v>
      </c>
      <c r="H61" s="289" t="s">
        <v>137</v>
      </c>
      <c r="I61" s="10">
        <f>I$60*$C61</f>
        <v>254917.6690225967</v>
      </c>
      <c r="J61" s="10">
        <f>J$60*$C61</f>
        <v>139994.08550053395</v>
      </c>
      <c r="K61" s="349">
        <f>K$60*$C61</f>
        <v>9084.255348305753</v>
      </c>
      <c r="M61" s="289" t="s">
        <v>137</v>
      </c>
      <c r="N61" s="10">
        <f>N$60*$C61</f>
        <v>46507.498612925694</v>
      </c>
      <c r="O61" s="10">
        <f>O$60*$C61</f>
        <v>70312.46667541297</v>
      </c>
      <c r="P61" s="349">
        <f>P$60*$C61</f>
        <v>5814.798187205888</v>
      </c>
      <c r="R61" s="289" t="s">
        <v>137</v>
      </c>
      <c r="S61" s="175">
        <f>S$60*$C61</f>
        <v>41253.013632413116</v>
      </c>
      <c r="T61" s="175">
        <f>T$60*$C61</f>
        <v>70007.77257602825</v>
      </c>
      <c r="U61" s="353">
        <f>U$60*$C61</f>
        <v>0</v>
      </c>
    </row>
    <row r="62" spans="1:21" ht="12.75">
      <c r="A62" s="289" t="str">
        <f t="shared" si="16"/>
        <v>Heating Zone 1 - Cooling Zone 2</v>
      </c>
      <c r="B62" s="295">
        <f t="shared" si="16"/>
        <v>1310807</v>
      </c>
      <c r="C62" s="292">
        <f t="shared" si="16"/>
        <v>0.12595003707473473</v>
      </c>
      <c r="H62" s="289" t="s">
        <v>138</v>
      </c>
      <c r="I62" s="10">
        <f aca="true" t="shared" si="17" ref="I62:K69">I$60*$C62</f>
        <v>58079.45072436008</v>
      </c>
      <c r="J62" s="10">
        <f t="shared" si="17"/>
        <v>31895.708217108233</v>
      </c>
      <c r="K62" s="349">
        <f t="shared" si="17"/>
        <v>2069.7214237537205</v>
      </c>
      <c r="M62" s="289" t="s">
        <v>138</v>
      </c>
      <c r="N62" s="10">
        <f aca="true" t="shared" si="18" ref="N62:P69">N$60*$C62</f>
        <v>10596.08768728866</v>
      </c>
      <c r="O62" s="10">
        <f t="shared" si="18"/>
        <v>16019.719069457147</v>
      </c>
      <c r="P62" s="349">
        <f t="shared" si="18"/>
        <v>1324.8210140976385</v>
      </c>
      <c r="R62" s="289" t="s">
        <v>138</v>
      </c>
      <c r="S62" s="10">
        <f aca="true" t="shared" si="19" ref="S62:U69">S$60*$C62</f>
        <v>9398.92625600114</v>
      </c>
      <c r="T62" s="10">
        <f t="shared" si="19"/>
        <v>15950.298750343649</v>
      </c>
      <c r="U62" s="349">
        <f t="shared" si="19"/>
        <v>0</v>
      </c>
    </row>
    <row r="63" spans="1:21" ht="12.75">
      <c r="A63" s="289" t="str">
        <f t="shared" si="16"/>
        <v>Heating Zone 1 - Cooling Zone 3</v>
      </c>
      <c r="B63" s="295">
        <f t="shared" si="16"/>
        <v>1217540</v>
      </c>
      <c r="C63" s="292">
        <f t="shared" si="16"/>
        <v>0.11698839580500602</v>
      </c>
      <c r="H63" s="289" t="s">
        <v>139</v>
      </c>
      <c r="I63" s="10">
        <f t="shared" si="17"/>
        <v>53946.96124977771</v>
      </c>
      <c r="J63" s="10">
        <f t="shared" si="17"/>
        <v>29626.253584744325</v>
      </c>
      <c r="K63" s="349">
        <f t="shared" si="17"/>
        <v>1922.4558781552926</v>
      </c>
      <c r="M63" s="289" t="s">
        <v>139</v>
      </c>
      <c r="N63" s="10">
        <f t="shared" si="18"/>
        <v>9842.151134973672</v>
      </c>
      <c r="O63" s="10">
        <f t="shared" si="18"/>
        <v>14879.878392339113</v>
      </c>
      <c r="P63" s="349">
        <f t="shared" si="18"/>
        <v>1230.5568840450492</v>
      </c>
      <c r="R63" s="289" t="s">
        <v>139</v>
      </c>
      <c r="S63" s="10">
        <f t="shared" si="19"/>
        <v>8730.170554270482</v>
      </c>
      <c r="T63" s="10">
        <f t="shared" si="19"/>
        <v>14815.397492150565</v>
      </c>
      <c r="U63" s="349">
        <f t="shared" si="19"/>
        <v>0</v>
      </c>
    </row>
    <row r="64" spans="1:21" ht="12.75">
      <c r="A64" s="289" t="str">
        <f t="shared" si="16"/>
        <v>Heating Zone 2 - Cooling Zone 1</v>
      </c>
      <c r="B64" s="295">
        <f t="shared" si="16"/>
        <v>425934</v>
      </c>
      <c r="C64" s="292">
        <f t="shared" si="16"/>
        <v>0.04092624092745161</v>
      </c>
      <c r="H64" s="289" t="s">
        <v>140</v>
      </c>
      <c r="I64" s="10">
        <f t="shared" si="17"/>
        <v>18872.353263927936</v>
      </c>
      <c r="J64" s="10">
        <f t="shared" si="17"/>
        <v>10364.200514450851</v>
      </c>
      <c r="K64" s="349">
        <f t="shared" si="17"/>
        <v>672.5358690525128</v>
      </c>
      <c r="M64" s="289" t="s">
        <v>140</v>
      </c>
      <c r="N64" s="10">
        <f t="shared" si="18"/>
        <v>3443.0957516992266</v>
      </c>
      <c r="O64" s="10">
        <f t="shared" si="18"/>
        <v>5205.452078093999</v>
      </c>
      <c r="P64" s="349">
        <f t="shared" si="18"/>
        <v>430.48771773317014</v>
      </c>
      <c r="R64" s="289" t="s">
        <v>140</v>
      </c>
      <c r="S64" s="10">
        <f t="shared" si="19"/>
        <v>3054.0897751717753</v>
      </c>
      <c r="T64" s="10">
        <f t="shared" si="19"/>
        <v>5182.894619824941</v>
      </c>
      <c r="U64" s="349">
        <f t="shared" si="19"/>
        <v>0</v>
      </c>
    </row>
    <row r="65" spans="1:21" ht="12.75">
      <c r="A65" s="289" t="str">
        <f t="shared" si="16"/>
        <v>Heating Zone 2 - Cooling Zone 2</v>
      </c>
      <c r="B65" s="295">
        <f t="shared" si="16"/>
        <v>1080131</v>
      </c>
      <c r="C65" s="292">
        <f t="shared" si="16"/>
        <v>0.10378533185706995</v>
      </c>
      <c r="H65" s="289" t="s">
        <v>141</v>
      </c>
      <c r="I65" s="10">
        <f t="shared" si="17"/>
        <v>47858.62082698198</v>
      </c>
      <c r="J65" s="10">
        <f t="shared" si="17"/>
        <v>26282.69700440517</v>
      </c>
      <c r="K65" s="349">
        <f t="shared" si="17"/>
        <v>1705.4915568504973</v>
      </c>
      <c r="M65" s="289" t="s">
        <v>141</v>
      </c>
      <c r="N65" s="10">
        <f t="shared" si="18"/>
        <v>8731.386687558723</v>
      </c>
      <c r="O65" s="10">
        <f t="shared" si="18"/>
        <v>13200.566657190431</v>
      </c>
      <c r="P65" s="349">
        <f t="shared" si="18"/>
        <v>1091.6788259280704</v>
      </c>
      <c r="R65" s="289" t="s">
        <v>141</v>
      </c>
      <c r="S65" s="10">
        <f t="shared" si="19"/>
        <v>7744.901893124439</v>
      </c>
      <c r="T65" s="10">
        <f t="shared" si="19"/>
        <v>13143.362935586578</v>
      </c>
      <c r="U65" s="349">
        <f t="shared" si="19"/>
        <v>0</v>
      </c>
    </row>
    <row r="66" spans="1:21" ht="12.75">
      <c r="A66" s="289" t="str">
        <f t="shared" si="16"/>
        <v>Heating Zone 2 - Cooling Zone 3</v>
      </c>
      <c r="B66" s="295">
        <f t="shared" si="16"/>
        <v>61319</v>
      </c>
      <c r="C66" s="292">
        <f t="shared" si="16"/>
        <v>0.005891889746839664</v>
      </c>
      <c r="H66" s="289" t="s">
        <v>142</v>
      </c>
      <c r="I66" s="10">
        <f t="shared" si="17"/>
        <v>2716.9322707057836</v>
      </c>
      <c r="J66" s="10">
        <f t="shared" si="17"/>
        <v>1492.0678117868304</v>
      </c>
      <c r="K66" s="349">
        <f t="shared" si="17"/>
        <v>96.82069746587743</v>
      </c>
      <c r="M66" s="289" t="s">
        <v>142</v>
      </c>
      <c r="N66" s="10">
        <f t="shared" si="18"/>
        <v>495.6805242090204</v>
      </c>
      <c r="O66" s="10">
        <f t="shared" si="18"/>
        <v>749.3957185306783</v>
      </c>
      <c r="P66" s="349">
        <f t="shared" si="18"/>
        <v>61.97456968375444</v>
      </c>
      <c r="R66" s="289" t="s">
        <v>142</v>
      </c>
      <c r="S66" s="10">
        <f t="shared" si="19"/>
        <v>439.6778161023964</v>
      </c>
      <c r="T66" s="10">
        <f t="shared" si="19"/>
        <v>746.1482652078622</v>
      </c>
      <c r="U66" s="349">
        <f t="shared" si="19"/>
        <v>0</v>
      </c>
    </row>
    <row r="67" spans="1:21" ht="12.75">
      <c r="A67" s="289" t="str">
        <f t="shared" si="16"/>
        <v>Heating Zone 3 - Cooling Zone 1</v>
      </c>
      <c r="B67" s="295">
        <f t="shared" si="16"/>
        <v>421813</v>
      </c>
      <c r="C67" s="292">
        <f t="shared" si="16"/>
        <v>0.040530271038074314</v>
      </c>
      <c r="H67" s="289" t="s">
        <v>143</v>
      </c>
      <c r="I67" s="10">
        <f t="shared" si="17"/>
        <v>18689.759322611564</v>
      </c>
      <c r="J67" s="10">
        <f t="shared" si="17"/>
        <v>10263.924719797096</v>
      </c>
      <c r="K67" s="349">
        <f t="shared" si="17"/>
        <v>666.028944701873</v>
      </c>
      <c r="M67" s="289" t="s">
        <v>143</v>
      </c>
      <c r="N67" s="10">
        <f t="shared" si="18"/>
        <v>3409.7830844954988</v>
      </c>
      <c r="O67" s="10">
        <f t="shared" si="18"/>
        <v>5155.088247045467</v>
      </c>
      <c r="P67" s="349">
        <f t="shared" si="18"/>
        <v>426.32265956740173</v>
      </c>
      <c r="R67" s="289" t="s">
        <v>143</v>
      </c>
      <c r="S67" s="10">
        <f t="shared" si="19"/>
        <v>3024.54082166376</v>
      </c>
      <c r="T67" s="10">
        <f t="shared" si="19"/>
        <v>5132.7490368747685</v>
      </c>
      <c r="U67" s="349">
        <f t="shared" si="19"/>
        <v>0</v>
      </c>
    </row>
    <row r="68" spans="1:21" ht="12.75">
      <c r="A68" s="289" t="str">
        <f t="shared" si="16"/>
        <v>Heating Zone 3 - Cooling Zone 2</v>
      </c>
      <c r="B68" s="295">
        <f t="shared" si="16"/>
        <v>136524</v>
      </c>
      <c r="C68" s="292">
        <f t="shared" si="16"/>
        <v>0.013118027948882699</v>
      </c>
      <c r="H68" s="289" t="s">
        <v>144</v>
      </c>
      <c r="I68" s="10">
        <f t="shared" si="17"/>
        <v>6049.127698198542</v>
      </c>
      <c r="J68" s="10">
        <f t="shared" si="17"/>
        <v>3322.021982360854</v>
      </c>
      <c r="K68" s="349">
        <f t="shared" si="17"/>
        <v>215.5669352212438</v>
      </c>
      <c r="M68" s="289" t="s">
        <v>144</v>
      </c>
      <c r="N68" s="10">
        <f t="shared" si="18"/>
        <v>1103.6104288574877</v>
      </c>
      <c r="O68" s="10">
        <f t="shared" si="18"/>
        <v>1668.495916056725</v>
      </c>
      <c r="P68" s="349">
        <f t="shared" si="18"/>
        <v>137.98359646284007</v>
      </c>
      <c r="R68" s="289" t="s">
        <v>144</v>
      </c>
      <c r="S68" s="10">
        <f t="shared" si="19"/>
        <v>978.9229140325765</v>
      </c>
      <c r="T68" s="10">
        <f t="shared" si="19"/>
        <v>1661.2656070587936</v>
      </c>
      <c r="U68" s="349">
        <f t="shared" si="19"/>
        <v>0</v>
      </c>
    </row>
    <row r="69" spans="1:21" ht="12.75">
      <c r="A69" s="289" t="str">
        <f>A55</f>
        <v>Heating Zone 3 - Cooling Zone 3</v>
      </c>
      <c r="B69" s="295">
        <f>B55</f>
        <v>0</v>
      </c>
      <c r="C69" s="292">
        <f>C55</f>
        <v>0</v>
      </c>
      <c r="H69" s="289" t="s">
        <v>145</v>
      </c>
      <c r="I69" s="10">
        <f t="shared" si="17"/>
        <v>0</v>
      </c>
      <c r="J69" s="10">
        <f t="shared" si="17"/>
        <v>0</v>
      </c>
      <c r="K69" s="349">
        <f t="shared" si="17"/>
        <v>0</v>
      </c>
      <c r="M69" s="289" t="s">
        <v>145</v>
      </c>
      <c r="N69" s="10">
        <f t="shared" si="18"/>
        <v>0</v>
      </c>
      <c r="O69" s="10">
        <f t="shared" si="18"/>
        <v>0</v>
      </c>
      <c r="P69" s="349">
        <f t="shared" si="18"/>
        <v>0</v>
      </c>
      <c r="R69" s="289" t="s">
        <v>145</v>
      </c>
      <c r="S69" s="10">
        <f t="shared" si="19"/>
        <v>0</v>
      </c>
      <c r="T69" s="10">
        <f t="shared" si="19"/>
        <v>0</v>
      </c>
      <c r="U69" s="349">
        <f t="shared" si="19"/>
        <v>0</v>
      </c>
    </row>
    <row r="70" spans="1:21" ht="13.5" thickBot="1">
      <c r="A70" s="376" t="str">
        <f>A56</f>
        <v>Total</v>
      </c>
      <c r="B70" s="299">
        <f>B56</f>
        <v>10407357</v>
      </c>
      <c r="C70" s="377">
        <f>C56</f>
        <v>0.9999999999999999</v>
      </c>
      <c r="H70" s="294" t="s">
        <v>5</v>
      </c>
      <c r="I70" s="196">
        <f>SUM(I61:I69)</f>
        <v>461130.87437916023</v>
      </c>
      <c r="J70" s="196">
        <f>SUM(J61:J69)</f>
        <v>253240.95933518733</v>
      </c>
      <c r="K70" s="350">
        <f>SUM(K61:K69)</f>
        <v>16432.87665350677</v>
      </c>
      <c r="M70" s="294" t="s">
        <v>5</v>
      </c>
      <c r="N70" s="196">
        <f>SUM(N61:N69)</f>
        <v>84129.29391200798</v>
      </c>
      <c r="O70" s="196">
        <f>SUM(O61:O69)</f>
        <v>127191.06275412653</v>
      </c>
      <c r="P70" s="350">
        <f>SUM(P61:P69)</f>
        <v>10518.623454723815</v>
      </c>
      <c r="R70" s="294" t="s">
        <v>5</v>
      </c>
      <c r="S70" s="196">
        <f>SUM(S61:S69)</f>
        <v>74624.24366277969</v>
      </c>
      <c r="T70" s="196">
        <f>SUM(T61:T69)</f>
        <v>126639.8892830754</v>
      </c>
      <c r="U70" s="350">
        <f>SUM(U61:U69)</f>
        <v>0</v>
      </c>
    </row>
  </sheetData>
  <mergeCells count="12">
    <mergeCell ref="A59:C59"/>
    <mergeCell ref="A45:C45"/>
    <mergeCell ref="A17:C17"/>
    <mergeCell ref="A2:F2"/>
    <mergeCell ref="A10:F10"/>
    <mergeCell ref="A31:C31"/>
    <mergeCell ref="H1:K1"/>
    <mergeCell ref="M1:P1"/>
    <mergeCell ref="R1:U1"/>
    <mergeCell ref="R9:U9"/>
    <mergeCell ref="H9:K9"/>
    <mergeCell ref="M9:P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AF82"/>
  <sheetViews>
    <sheetView workbookViewId="0" topLeftCell="A31">
      <selection activeCell="D77" sqref="D77"/>
    </sheetView>
  </sheetViews>
  <sheetFormatPr defaultColWidth="9.140625" defaultRowHeight="12.75"/>
  <cols>
    <col min="1" max="1" width="39.00390625" style="7" customWidth="1"/>
    <col min="2" max="2" width="7.8515625" style="7" customWidth="1"/>
    <col min="3" max="3" width="11.57421875" style="7" customWidth="1"/>
    <col min="4" max="4" width="12.57421875" style="7" customWidth="1"/>
    <col min="5" max="19" width="10.7109375" style="7" customWidth="1"/>
    <col min="20" max="25" width="10.7109375" style="7" bestFit="1" customWidth="1"/>
    <col min="26" max="26" width="11.57421875" style="7" customWidth="1"/>
    <col min="27" max="27" width="10.7109375" style="7" customWidth="1"/>
    <col min="28" max="28" width="11.28125" style="7" customWidth="1"/>
    <col min="29" max="29" width="12.8515625" style="7" customWidth="1"/>
    <col min="30" max="30" width="11.7109375" style="7" customWidth="1"/>
    <col min="31" max="31" width="13.57421875" style="7" customWidth="1"/>
    <col min="32" max="32" width="15.8515625" style="7" customWidth="1"/>
    <col min="33" max="16384" width="9.140625" style="7" customWidth="1"/>
  </cols>
  <sheetData>
    <row r="1" spans="1:19" s="2" customFormat="1" ht="13.5" thickBot="1">
      <c r="A1" s="12" t="s">
        <v>45</v>
      </c>
      <c r="L1" s="24"/>
      <c r="M1" s="24"/>
      <c r="N1" s="24"/>
      <c r="O1" s="24"/>
      <c r="P1" s="24"/>
      <c r="Q1" s="24"/>
      <c r="R1" s="24"/>
      <c r="S1" s="24"/>
    </row>
    <row r="2" spans="1:19" s="2" customFormat="1" ht="13.5" thickBot="1">
      <c r="A2" s="32" t="s">
        <v>36</v>
      </c>
      <c r="B2" s="33"/>
      <c r="D2" s="237" t="s">
        <v>86</v>
      </c>
      <c r="E2" s="238">
        <v>4796054</v>
      </c>
      <c r="F2" s="239">
        <f>E2/D9</f>
        <v>0.9920834863191862</v>
      </c>
      <c r="L2" s="24"/>
      <c r="M2" s="24"/>
      <c r="N2" s="24"/>
      <c r="O2" s="24"/>
      <c r="P2" s="24"/>
      <c r="Q2" s="24"/>
      <c r="R2" s="24"/>
      <c r="S2" s="24"/>
    </row>
    <row r="3" spans="1:19" s="2" customFormat="1" ht="13.5" thickBot="1">
      <c r="A3" s="107" t="s">
        <v>37</v>
      </c>
      <c r="B3" s="108"/>
      <c r="C3" s="68"/>
      <c r="D3" s="68"/>
      <c r="L3" s="24"/>
      <c r="M3" s="24"/>
      <c r="N3" s="24"/>
      <c r="O3" s="24"/>
      <c r="P3" s="24"/>
      <c r="Q3" s="24"/>
      <c r="R3" s="24"/>
      <c r="S3" s="24"/>
    </row>
    <row r="4" spans="1:29" s="3" customFormat="1" ht="26.25" thickBot="1">
      <c r="A4" s="122" t="s">
        <v>3</v>
      </c>
      <c r="B4" s="123"/>
      <c r="C4" s="124" t="s">
        <v>35</v>
      </c>
      <c r="D4" s="125">
        <v>2000</v>
      </c>
      <c r="E4" s="125">
        <v>2001</v>
      </c>
      <c r="F4" s="125">
        <v>2002</v>
      </c>
      <c r="G4" s="125">
        <v>2003</v>
      </c>
      <c r="H4" s="125">
        <v>2004</v>
      </c>
      <c r="I4" s="125">
        <v>2005</v>
      </c>
      <c r="J4" s="125">
        <v>2006</v>
      </c>
      <c r="K4" s="125">
        <v>2007</v>
      </c>
      <c r="L4" s="125">
        <v>2008</v>
      </c>
      <c r="M4" s="125">
        <v>2009</v>
      </c>
      <c r="N4" s="125">
        <v>2010</v>
      </c>
      <c r="O4" s="125">
        <v>2011</v>
      </c>
      <c r="P4" s="125">
        <v>2012</v>
      </c>
      <c r="Q4" s="125">
        <v>2013</v>
      </c>
      <c r="R4" s="125">
        <v>2014</v>
      </c>
      <c r="S4" s="125">
        <v>2015</v>
      </c>
      <c r="T4" s="125">
        <v>2016</v>
      </c>
      <c r="U4" s="125">
        <v>2017</v>
      </c>
      <c r="V4" s="125">
        <v>2018</v>
      </c>
      <c r="W4" s="125">
        <v>2019</v>
      </c>
      <c r="X4" s="125">
        <v>2020</v>
      </c>
      <c r="Y4" s="125">
        <v>2021</v>
      </c>
      <c r="Z4" s="125">
        <v>2022</v>
      </c>
      <c r="AA4" s="125">
        <v>2023</v>
      </c>
      <c r="AB4" s="125">
        <v>2024</v>
      </c>
      <c r="AC4" s="126">
        <v>2025</v>
      </c>
    </row>
    <row r="5" spans="1:31" s="4" customFormat="1" ht="13.5" thickBot="1">
      <c r="A5" s="118" t="s">
        <v>54</v>
      </c>
      <c r="B5" s="119"/>
      <c r="C5" s="240"/>
      <c r="D5" s="242">
        <f>D6/8760</f>
        <v>7095.331164383561</v>
      </c>
      <c r="E5" s="241">
        <f aca="true" t="shared" si="0" ref="E5:AC5">E6/8760</f>
        <v>7195.375333801369</v>
      </c>
      <c r="F5" s="120">
        <f t="shared" si="0"/>
        <v>7296.830126007969</v>
      </c>
      <c r="G5" s="120">
        <f t="shared" si="0"/>
        <v>7399.715430784681</v>
      </c>
      <c r="H5" s="120">
        <f t="shared" si="0"/>
        <v>7504.051418358745</v>
      </c>
      <c r="I5" s="120">
        <f t="shared" si="0"/>
        <v>7609.858543357604</v>
      </c>
      <c r="J5" s="120">
        <f t="shared" si="0"/>
        <v>7717.157548818946</v>
      </c>
      <c r="K5" s="120">
        <f t="shared" si="0"/>
        <v>7825.969470257293</v>
      </c>
      <c r="L5" s="120">
        <f t="shared" si="0"/>
        <v>7936.315639787921</v>
      </c>
      <c r="M5" s="120">
        <f t="shared" si="0"/>
        <v>8048.217690308931</v>
      </c>
      <c r="N5" s="120">
        <f t="shared" si="0"/>
        <v>8161.697559742288</v>
      </c>
      <c r="O5" s="120">
        <f t="shared" si="0"/>
        <v>8276.777495334654</v>
      </c>
      <c r="P5" s="120">
        <f t="shared" si="0"/>
        <v>8393.480058018873</v>
      </c>
      <c r="Q5" s="120">
        <f t="shared" si="0"/>
        <v>8511.82812683694</v>
      </c>
      <c r="R5" s="120">
        <f t="shared" si="0"/>
        <v>8631.844903425339</v>
      </c>
      <c r="S5" s="120">
        <f t="shared" si="0"/>
        <v>8753.553916563638</v>
      </c>
      <c r="T5" s="120">
        <f t="shared" si="0"/>
        <v>8876.979026787185</v>
      </c>
      <c r="U5" s="120">
        <f t="shared" si="0"/>
        <v>9002.144431064886</v>
      </c>
      <c r="V5" s="120">
        <f t="shared" si="0"/>
        <v>9129.0746675429</v>
      </c>
      <c r="W5" s="120">
        <f t="shared" si="0"/>
        <v>9257.794620355256</v>
      </c>
      <c r="X5" s="120">
        <f t="shared" si="0"/>
        <v>9388.329524502265</v>
      </c>
      <c r="Y5" s="120">
        <f t="shared" si="0"/>
        <v>9520.704970797748</v>
      </c>
      <c r="Z5" s="120">
        <f t="shared" si="0"/>
        <v>9654.946910885996</v>
      </c>
      <c r="AA5" s="120">
        <f t="shared" si="0"/>
        <v>9791.081662329487</v>
      </c>
      <c r="AB5" s="120">
        <f t="shared" si="0"/>
        <v>9929.135913768332</v>
      </c>
      <c r="AC5" s="121">
        <f t="shared" si="0"/>
        <v>10069.136730152466</v>
      </c>
      <c r="AD5" s="286">
        <f>AC5-9712</f>
        <v>357.13673015246604</v>
      </c>
      <c r="AE5" s="286">
        <f>AC5-700</f>
        <v>9369.136730152466</v>
      </c>
    </row>
    <row r="6" spans="1:31" s="6" customFormat="1" ht="13.5" thickBot="1">
      <c r="A6" s="111" t="s">
        <v>2</v>
      </c>
      <c r="B6" s="70"/>
      <c r="C6" s="243">
        <v>0.0141</v>
      </c>
      <c r="D6" s="242">
        <v>62155101</v>
      </c>
      <c r="E6" s="168">
        <f>D6*(1+$C6)</f>
        <v>63031487.9241</v>
      </c>
      <c r="F6" s="5">
        <f aca="true" t="shared" si="1" ref="F6:AC6">E6*(1+$C6)</f>
        <v>63920231.903829806</v>
      </c>
      <c r="G6" s="5">
        <f t="shared" si="1"/>
        <v>64821507.17367381</v>
      </c>
      <c r="H6" s="5">
        <f t="shared" si="1"/>
        <v>65735490.424822606</v>
      </c>
      <c r="I6" s="5">
        <f t="shared" si="1"/>
        <v>66662360.83981261</v>
      </c>
      <c r="J6" s="5">
        <f t="shared" si="1"/>
        <v>67602300.12765397</v>
      </c>
      <c r="K6" s="19">
        <f t="shared" si="1"/>
        <v>68555492.55945389</v>
      </c>
      <c r="L6" s="19">
        <f t="shared" si="1"/>
        <v>69522125.00454219</v>
      </c>
      <c r="M6" s="19">
        <f t="shared" si="1"/>
        <v>70502386.96710624</v>
      </c>
      <c r="N6" s="19">
        <f t="shared" si="1"/>
        <v>71496470.62334244</v>
      </c>
      <c r="O6" s="19">
        <f t="shared" si="1"/>
        <v>72504570.85913157</v>
      </c>
      <c r="P6" s="19">
        <f t="shared" si="1"/>
        <v>73526885.30824533</v>
      </c>
      <c r="Q6" s="19">
        <f t="shared" si="1"/>
        <v>74563614.39109159</v>
      </c>
      <c r="R6" s="19">
        <f t="shared" si="1"/>
        <v>75614961.35400598</v>
      </c>
      <c r="S6" s="19">
        <f t="shared" si="1"/>
        <v>76681132.30909747</v>
      </c>
      <c r="T6" s="19">
        <f t="shared" si="1"/>
        <v>77762336.27465574</v>
      </c>
      <c r="U6" s="19">
        <f t="shared" si="1"/>
        <v>78858785.2161284</v>
      </c>
      <c r="V6" s="19">
        <f t="shared" si="1"/>
        <v>79970694.08767581</v>
      </c>
      <c r="W6" s="19">
        <f t="shared" si="1"/>
        <v>81098280.87431204</v>
      </c>
      <c r="X6" s="19">
        <f t="shared" si="1"/>
        <v>82241766.63463984</v>
      </c>
      <c r="Y6" s="19">
        <f t="shared" si="1"/>
        <v>83401375.54418826</v>
      </c>
      <c r="Z6" s="19">
        <f t="shared" si="1"/>
        <v>84577334.93936132</v>
      </c>
      <c r="AA6" s="19">
        <f t="shared" si="1"/>
        <v>85769875.3620063</v>
      </c>
      <c r="AB6" s="19">
        <f t="shared" si="1"/>
        <v>86979230.60461059</v>
      </c>
      <c r="AC6" s="112">
        <f t="shared" si="1"/>
        <v>88205637.7561356</v>
      </c>
      <c r="AE6" s="287">
        <f>AE5*8760</f>
        <v>82073637.7561356</v>
      </c>
    </row>
    <row r="7" spans="1:31" ht="13.5" thickBot="1">
      <c r="A7" s="113" t="s">
        <v>47</v>
      </c>
      <c r="B7" s="114"/>
      <c r="C7" s="114"/>
      <c r="D7" s="115">
        <f>D6/D9*1000</f>
        <v>12857.03815941212</v>
      </c>
      <c r="E7" s="76">
        <f aca="true" t="shared" si="2" ref="E7:S7">E6/E9*1000</f>
        <v>12894.058965841388</v>
      </c>
      <c r="F7" s="76">
        <f t="shared" si="2"/>
        <v>12931.186370702715</v>
      </c>
      <c r="G7" s="76">
        <f t="shared" si="2"/>
        <v>12968.420680937701</v>
      </c>
      <c r="H7" s="76">
        <f t="shared" si="2"/>
        <v>13005.762204371764</v>
      </c>
      <c r="I7" s="76">
        <f t="shared" si="2"/>
        <v>13043.21124971668</v>
      </c>
      <c r="J7" s="76">
        <f t="shared" si="2"/>
        <v>13080.76812657314</v>
      </c>
      <c r="K7" s="116">
        <f t="shared" si="2"/>
        <v>13118.433145433297</v>
      </c>
      <c r="L7" s="116">
        <f t="shared" si="2"/>
        <v>13156.206617683347</v>
      </c>
      <c r="M7" s="116">
        <f t="shared" si="2"/>
        <v>13194.088855606098</v>
      </c>
      <c r="N7" s="116">
        <f t="shared" si="2"/>
        <v>13232.080172383548</v>
      </c>
      <c r="O7" s="116">
        <f t="shared" si="2"/>
        <v>13270.18088209948</v>
      </c>
      <c r="P7" s="116">
        <f t="shared" si="2"/>
        <v>13308.39129974205</v>
      </c>
      <c r="Q7" s="116">
        <f t="shared" si="2"/>
        <v>13346.711741206404</v>
      </c>
      <c r="R7" s="116">
        <f t="shared" si="2"/>
        <v>13385.142523297283</v>
      </c>
      <c r="S7" s="116">
        <f t="shared" si="2"/>
        <v>13423.683963731637</v>
      </c>
      <c r="T7" s="116">
        <f aca="true" t="shared" si="3" ref="T7:Y7">T6/T9*1000</f>
        <v>13462.336381141258</v>
      </c>
      <c r="U7" s="116">
        <f t="shared" si="3"/>
        <v>13501.100095075411</v>
      </c>
      <c r="V7" s="116">
        <f t="shared" si="3"/>
        <v>13539.975426003482</v>
      </c>
      <c r="W7" s="116">
        <f t="shared" si="3"/>
        <v>13578.962695317623</v>
      </c>
      <c r="X7" s="116">
        <f t="shared" si="3"/>
        <v>13618.062225335398</v>
      </c>
      <c r="Y7" s="116">
        <f t="shared" si="3"/>
        <v>13657.274339302472</v>
      </c>
      <c r="Z7" s="116">
        <f>Z6/Z9*1000</f>
        <v>13696.599361395263</v>
      </c>
      <c r="AA7" s="116">
        <f>AA6/AA9*1000</f>
        <v>13736.03761672363</v>
      </c>
      <c r="AB7" s="116">
        <f>AB6/AB9*1000</f>
        <v>13775.589431333561</v>
      </c>
      <c r="AC7" s="117">
        <f>AC6/AC9*1000</f>
        <v>13815.255132209868</v>
      </c>
      <c r="AD7" s="117">
        <f>AD6/AD9*1000</f>
        <v>0</v>
      </c>
      <c r="AE7" s="288">
        <f>AE6/AC9*1000</f>
        <v>12854.827356550844</v>
      </c>
    </row>
    <row r="8" spans="1:25" ht="13.5" thickBot="1">
      <c r="A8" s="109"/>
      <c r="B8" s="104"/>
      <c r="C8" s="104"/>
      <c r="D8" s="135"/>
      <c r="E8" s="104"/>
      <c r="F8" s="104"/>
      <c r="G8" s="104"/>
      <c r="H8" s="104"/>
      <c r="I8" s="104"/>
      <c r="J8" s="104"/>
      <c r="K8" s="103"/>
      <c r="L8" s="110"/>
      <c r="M8" s="110"/>
      <c r="N8" s="110"/>
      <c r="O8" s="110"/>
      <c r="P8" s="110"/>
      <c r="Q8" s="110"/>
      <c r="R8" s="110"/>
      <c r="S8" s="110"/>
      <c r="T8" s="110"/>
      <c r="U8" s="110"/>
      <c r="V8" s="110"/>
      <c r="W8" s="110"/>
      <c r="X8" s="110"/>
      <c r="Y8" s="110"/>
    </row>
    <row r="9" spans="1:31" s="6" customFormat="1" ht="13.5" thickBot="1">
      <c r="A9" s="127" t="s">
        <v>46</v>
      </c>
      <c r="C9" s="234">
        <v>0.01118836450187031</v>
      </c>
      <c r="D9" s="236">
        <f>'[2]Summary for 5th Plan'!$B$6</f>
        <v>4834325</v>
      </c>
      <c r="E9" s="235">
        <f aca="true" t="shared" si="4" ref="E9:AC9">D9*(1+$C9)</f>
        <v>4888413.190220504</v>
      </c>
      <c r="F9" s="102">
        <f t="shared" si="4"/>
        <v>4943106.538828441</v>
      </c>
      <c r="G9" s="102">
        <f t="shared" si="4"/>
        <v>4998411.816556431</v>
      </c>
      <c r="H9" s="102">
        <f t="shared" si="4"/>
        <v>5054335.86989052</v>
      </c>
      <c r="I9" s="102">
        <f t="shared" si="4"/>
        <v>5110885.621917733</v>
      </c>
      <c r="J9" s="102">
        <f t="shared" si="4"/>
        <v>5168068.0731831165</v>
      </c>
      <c r="K9" s="102">
        <f t="shared" si="4"/>
        <v>5225890.302556368</v>
      </c>
      <c r="L9" s="102">
        <f t="shared" si="4"/>
        <v>5284359.468108157</v>
      </c>
      <c r="M9" s="102">
        <f t="shared" si="4"/>
        <v>5343482.80799626</v>
      </c>
      <c r="N9" s="102">
        <f t="shared" si="4"/>
        <v>5403267.641361599</v>
      </c>
      <c r="O9" s="102">
        <f t="shared" si="4"/>
        <v>5463721.369234313</v>
      </c>
      <c r="P9" s="102">
        <f t="shared" si="4"/>
        <v>5524851.475449964</v>
      </c>
      <c r="Q9" s="102">
        <f t="shared" si="4"/>
        <v>5586665.527575994</v>
      </c>
      <c r="R9" s="102">
        <f t="shared" si="4"/>
        <v>5649171.177848547</v>
      </c>
      <c r="S9" s="102">
        <f t="shared" si="4"/>
        <v>5712376.164119775</v>
      </c>
      <c r="T9" s="102">
        <f t="shared" si="4"/>
        <v>5776288.310815742</v>
      </c>
      <c r="U9" s="102">
        <f t="shared" si="4"/>
        <v>5840915.529905041</v>
      </c>
      <c r="V9" s="102">
        <f t="shared" si="4"/>
        <v>5906265.821878253</v>
      </c>
      <c r="W9" s="102">
        <f t="shared" si="4"/>
        <v>5972347.276738364</v>
      </c>
      <c r="X9" s="102">
        <f t="shared" si="4"/>
        <v>6039168.075002265</v>
      </c>
      <c r="Y9" s="102">
        <f t="shared" si="4"/>
        <v>6106736.488713449</v>
      </c>
      <c r="Z9" s="102">
        <f t="shared" si="4"/>
        <v>6175060.882466046</v>
      </c>
      <c r="AA9" s="102">
        <f t="shared" si="4"/>
        <v>6244149.714440317</v>
      </c>
      <c r="AB9" s="102">
        <f t="shared" si="4"/>
        <v>6314011.537449724</v>
      </c>
      <c r="AC9" s="244">
        <f t="shared" si="4"/>
        <v>6384654.999999725</v>
      </c>
      <c r="AD9" s="245">
        <f>'[2]PNW Households &amp;  Housing Units'!$B$48</f>
        <v>6358218.999998799</v>
      </c>
      <c r="AE9" s="65" t="s">
        <v>95</v>
      </c>
    </row>
    <row r="10" spans="1:31" s="6" customFormat="1" ht="64.5" thickBot="1">
      <c r="A10" s="258" t="s">
        <v>57</v>
      </c>
      <c r="B10" s="145" t="s">
        <v>48</v>
      </c>
      <c r="C10" s="255" t="s">
        <v>60</v>
      </c>
      <c r="D10" s="132">
        <v>2000</v>
      </c>
      <c r="E10" s="125">
        <v>2001</v>
      </c>
      <c r="F10" s="125">
        <v>2002</v>
      </c>
      <c r="G10" s="125">
        <v>2003</v>
      </c>
      <c r="H10" s="125">
        <v>2004</v>
      </c>
      <c r="I10" s="125">
        <v>2005</v>
      </c>
      <c r="J10" s="125">
        <v>2006</v>
      </c>
      <c r="K10" s="125">
        <v>2007</v>
      </c>
      <c r="L10" s="125">
        <v>2008</v>
      </c>
      <c r="M10" s="125">
        <v>2009</v>
      </c>
      <c r="N10" s="125">
        <v>2010</v>
      </c>
      <c r="O10" s="125">
        <v>2011</v>
      </c>
      <c r="P10" s="125">
        <v>2012</v>
      </c>
      <c r="Q10" s="125">
        <v>2013</v>
      </c>
      <c r="R10" s="125">
        <v>2014</v>
      </c>
      <c r="S10" s="125">
        <v>2015</v>
      </c>
      <c r="T10" s="125">
        <v>2016</v>
      </c>
      <c r="U10" s="125">
        <v>2017</v>
      </c>
      <c r="V10" s="125">
        <v>2018</v>
      </c>
      <c r="W10" s="125">
        <v>2019</v>
      </c>
      <c r="X10" s="125">
        <v>2020</v>
      </c>
      <c r="Y10" s="125">
        <v>2021</v>
      </c>
      <c r="Z10" s="125">
        <v>2022</v>
      </c>
      <c r="AA10" s="125">
        <v>2023</v>
      </c>
      <c r="AB10" s="125">
        <v>2024</v>
      </c>
      <c r="AC10" s="126">
        <v>2025</v>
      </c>
      <c r="AD10" s="250" t="s">
        <v>64</v>
      </c>
      <c r="AE10" s="249" t="s">
        <v>93</v>
      </c>
    </row>
    <row r="11" spans="1:31" s="6" customFormat="1" ht="12.75">
      <c r="A11" s="259" t="s">
        <v>0</v>
      </c>
      <c r="B11" s="256">
        <f>'[2]Summary for 5th Plan'!$B$8</f>
        <v>0.7454366431714873</v>
      </c>
      <c r="C11" s="254">
        <v>-0.007229605896719974</v>
      </c>
      <c r="D11" s="128">
        <f>D$9*B11</f>
        <v>3603683.0000000005</v>
      </c>
      <c r="E11" s="104">
        <f>D11*(1+$C11)</f>
        <v>3577629.7921332913</v>
      </c>
      <c r="F11" s="104">
        <f aca="true" t="shared" si="5" ref="F11:AC13">E11*(1+$C11)</f>
        <v>3551764.9386918033</v>
      </c>
      <c r="G11" s="104">
        <f t="shared" si="5"/>
        <v>3526087.077947274</v>
      </c>
      <c r="H11" s="104">
        <f t="shared" si="5"/>
        <v>3500594.858016198</v>
      </c>
      <c r="I11" s="104">
        <f t="shared" si="5"/>
        <v>3475286.9367886567</v>
      </c>
      <c r="J11" s="104">
        <f t="shared" si="5"/>
        <v>3450161.9818576556</v>
      </c>
      <c r="K11" s="104">
        <f t="shared" si="5"/>
        <v>3425218.6704489784</v>
      </c>
      <c r="L11" s="104">
        <f t="shared" si="5"/>
        <v>3400455.689351545</v>
      </c>
      <c r="M11" s="104">
        <f t="shared" si="5"/>
        <v>3375871.7348482744</v>
      </c>
      <c r="N11" s="104">
        <f t="shared" si="5"/>
        <v>3351465.5126474453</v>
      </c>
      <c r="O11" s="104">
        <f t="shared" si="5"/>
        <v>3327235.737814556</v>
      </c>
      <c r="P11" s="104">
        <f t="shared" si="5"/>
        <v>3303181.1347046746</v>
      </c>
      <c r="Q11" s="104">
        <f t="shared" si="5"/>
        <v>3279300.4368952797</v>
      </c>
      <c r="R11" s="104">
        <f t="shared" si="5"/>
        <v>3255592.387119585</v>
      </c>
      <c r="S11" s="104">
        <f t="shared" si="5"/>
        <v>3232055.7372003486</v>
      </c>
      <c r="T11" s="104">
        <f t="shared" si="5"/>
        <v>3208689.2479841574</v>
      </c>
      <c r="U11" s="104">
        <f t="shared" si="5"/>
        <v>3185491.689276189</v>
      </c>
      <c r="V11" s="104">
        <f t="shared" si="5"/>
        <v>3162461.8397754454</v>
      </c>
      <c r="W11" s="104">
        <f t="shared" si="5"/>
        <v>3139598.487010453</v>
      </c>
      <c r="X11" s="104">
        <f t="shared" si="5"/>
        <v>3116900.427275429</v>
      </c>
      <c r="Y11" s="104">
        <f t="shared" si="5"/>
        <v>3094366.46556691</v>
      </c>
      <c r="Z11" s="104">
        <f t="shared" si="5"/>
        <v>3071995.4155208347</v>
      </c>
      <c r="AA11" s="104">
        <f t="shared" si="5"/>
        <v>3049786.0993500887</v>
      </c>
      <c r="AB11" s="104">
        <f t="shared" si="5"/>
        <v>3027737.3477824926</v>
      </c>
      <c r="AC11" s="129">
        <f t="shared" si="5"/>
        <v>3005847.999999245</v>
      </c>
      <c r="AD11" s="246">
        <f>AC11</f>
        <v>3005847.999999245</v>
      </c>
      <c r="AE11" s="251">
        <f>'[2]Summary for 5th Plan'!$I8</f>
        <v>3008359.6007769923</v>
      </c>
    </row>
    <row r="12" spans="1:31" s="6" customFormat="1" ht="12.75">
      <c r="A12" s="260" t="s">
        <v>1</v>
      </c>
      <c r="B12" s="165">
        <f>'[2]Summary for 5th Plan'!$B$9</f>
        <v>0.15901702926468536</v>
      </c>
      <c r="C12" s="253">
        <v>-0.007229633716104819</v>
      </c>
      <c r="D12" s="105">
        <f>D$9*B12</f>
        <v>768740.0000000001</v>
      </c>
      <c r="E12" s="5">
        <f aca="true" t="shared" si="6" ref="E12:T13">D12*(1+$C12)</f>
        <v>763182.2913770817</v>
      </c>
      <c r="F12" s="5">
        <f t="shared" si="6"/>
        <v>757664.7629518077</v>
      </c>
      <c r="G12" s="5">
        <f t="shared" si="6"/>
        <v>752187.1242360667</v>
      </c>
      <c r="H12" s="5">
        <f t="shared" si="6"/>
        <v>746749.0868418696</v>
      </c>
      <c r="I12" s="5">
        <f t="shared" si="6"/>
        <v>741350.3644661672</v>
      </c>
      <c r="J12" s="5">
        <f t="shared" si="6"/>
        <v>735990.672875776</v>
      </c>
      <c r="K12" s="5">
        <f t="shared" si="6"/>
        <v>730669.7298924145</v>
      </c>
      <c r="L12" s="5">
        <f t="shared" si="6"/>
        <v>725387.2553778471</v>
      </c>
      <c r="M12" s="5">
        <f t="shared" si="6"/>
        <v>720142.9712191346</v>
      </c>
      <c r="N12" s="5">
        <f t="shared" si="6"/>
        <v>714936.6013139929</v>
      </c>
      <c r="O12" s="5">
        <f t="shared" si="6"/>
        <v>709767.8715562559</v>
      </c>
      <c r="P12" s="5">
        <f t="shared" si="6"/>
        <v>704636.5098214447</v>
      </c>
      <c r="Q12" s="5">
        <f t="shared" si="6"/>
        <v>699542.2459524412</v>
      </c>
      <c r="R12" s="5">
        <f t="shared" si="6"/>
        <v>694484.8117452638</v>
      </c>
      <c r="S12" s="5">
        <f t="shared" si="6"/>
        <v>689463.9409349475</v>
      </c>
      <c r="T12" s="5">
        <f t="shared" si="6"/>
        <v>684479.3691815257</v>
      </c>
      <c r="U12" s="5">
        <f t="shared" si="5"/>
        <v>679530.8340561127</v>
      </c>
      <c r="V12" s="5">
        <f t="shared" si="5"/>
        <v>674618.0750270877</v>
      </c>
      <c r="W12" s="5">
        <f t="shared" si="5"/>
        <v>669740.8334463781</v>
      </c>
      <c r="X12" s="5">
        <f t="shared" si="5"/>
        <v>664898.852535842</v>
      </c>
      <c r="Y12" s="5">
        <f t="shared" si="5"/>
        <v>660091.8773737494</v>
      </c>
      <c r="Z12" s="5">
        <f t="shared" si="5"/>
        <v>655319.6548813612</v>
      </c>
      <c r="AA12" s="5">
        <f t="shared" si="5"/>
        <v>650581.9338096047</v>
      </c>
      <c r="AB12" s="5">
        <f t="shared" si="5"/>
        <v>645878.4647258461</v>
      </c>
      <c r="AC12" s="74">
        <f t="shared" si="5"/>
        <v>641209.0000007581</v>
      </c>
      <c r="AD12" s="247">
        <f>AC12</f>
        <v>641209.0000007581</v>
      </c>
      <c r="AE12" s="251">
        <f>'[2]Summary for 5th Plan'!$I9</f>
        <v>641745.2255099311</v>
      </c>
    </row>
    <row r="13" spans="1:31" s="6" customFormat="1" ht="12.75">
      <c r="A13" s="260" t="s">
        <v>11</v>
      </c>
      <c r="B13" s="165">
        <f>'[2]Summary for 5th Plan'!$B$10</f>
        <v>0.09554632756382742</v>
      </c>
      <c r="C13" s="253">
        <v>-0.015603795742753165</v>
      </c>
      <c r="D13" s="105">
        <f>D$9*B13</f>
        <v>461902</v>
      </c>
      <c r="E13" s="5">
        <f t="shared" si="6"/>
        <v>454694.57553883083</v>
      </c>
      <c r="F13" s="5">
        <f t="shared" si="5"/>
        <v>447599.6142567851</v>
      </c>
      <c r="G13" s="5">
        <f t="shared" si="5"/>
        <v>440615.3613013871</v>
      </c>
      <c r="H13" s="5">
        <f t="shared" si="5"/>
        <v>433740.08920252084</v>
      </c>
      <c r="I13" s="5">
        <f t="shared" si="5"/>
        <v>426972.0974451612</v>
      </c>
      <c r="J13" s="5">
        <f t="shared" si="5"/>
        <v>420309.712048772</v>
      </c>
      <c r="K13" s="5">
        <f t="shared" si="5"/>
        <v>413751.2851532676</v>
      </c>
      <c r="L13" s="5">
        <f t="shared" si="5"/>
        <v>407295.1946114344</v>
      </c>
      <c r="M13" s="5">
        <f t="shared" si="5"/>
        <v>400939.8435877127</v>
      </c>
      <c r="N13" s="5">
        <f t="shared" si="5"/>
        <v>394683.6601632386</v>
      </c>
      <c r="O13" s="5">
        <f t="shared" si="5"/>
        <v>388525.0969470492</v>
      </c>
      <c r="P13" s="5">
        <f t="shared" si="5"/>
        <v>382462.63069335406</v>
      </c>
      <c r="Q13" s="5">
        <f t="shared" si="5"/>
        <v>376494.7619247789</v>
      </c>
      <c r="R13" s="5">
        <f t="shared" si="5"/>
        <v>370620.0145614882</v>
      </c>
      <c r="S13" s="5">
        <f t="shared" si="5"/>
        <v>364836.9355560945</v>
      </c>
      <c r="T13" s="5">
        <f t="shared" si="5"/>
        <v>359144.0945342652</v>
      </c>
      <c r="U13" s="5">
        <f t="shared" si="5"/>
        <v>353540.0834409365</v>
      </c>
      <c r="V13" s="5">
        <f t="shared" si="5"/>
        <v>348023.5161920482</v>
      </c>
      <c r="W13" s="5">
        <f t="shared" si="5"/>
        <v>342593.02833171276</v>
      </c>
      <c r="X13" s="5">
        <f t="shared" si="5"/>
        <v>337247.2766947335</v>
      </c>
      <c r="Y13" s="5">
        <f t="shared" si="5"/>
        <v>331984.9390743891</v>
      </c>
      <c r="Z13" s="5">
        <f t="shared" si="5"/>
        <v>326804.713895402</v>
      </c>
      <c r="AA13" s="5">
        <f t="shared" si="5"/>
        <v>321705.31989200925</v>
      </c>
      <c r="AB13" s="5">
        <f t="shared" si="5"/>
        <v>316685.4957910573</v>
      </c>
      <c r="AC13" s="74">
        <f t="shared" si="5"/>
        <v>311744.0000000411</v>
      </c>
      <c r="AD13" s="247">
        <f>AC13</f>
        <v>311744.0000000411</v>
      </c>
      <c r="AE13" s="251">
        <f>'[2]Summary for 5th Plan'!$I10</f>
        <v>312004.0283356045</v>
      </c>
    </row>
    <row r="14" spans="1:31" s="6" customFormat="1" ht="13.5" thickBot="1">
      <c r="A14" s="261" t="s">
        <v>49</v>
      </c>
      <c r="B14" s="257"/>
      <c r="C14" s="163"/>
      <c r="D14" s="106">
        <f>SUM(D11:D13)</f>
        <v>4834325.000000001</v>
      </c>
      <c r="E14" s="77">
        <f aca="true" t="shared" si="7" ref="E14:AC14">SUM(E11:E13)</f>
        <v>4795506.659049204</v>
      </c>
      <c r="F14" s="77">
        <f t="shared" si="7"/>
        <v>4757029.315900397</v>
      </c>
      <c r="G14" s="77">
        <f t="shared" si="7"/>
        <v>4718889.563484727</v>
      </c>
      <c r="H14" s="77">
        <f t="shared" si="7"/>
        <v>4681084.034060588</v>
      </c>
      <c r="I14" s="77">
        <f t="shared" si="7"/>
        <v>4643609.398699985</v>
      </c>
      <c r="J14" s="77">
        <f t="shared" si="7"/>
        <v>4606462.366782203</v>
      </c>
      <c r="K14" s="77">
        <f t="shared" si="7"/>
        <v>4569639.68549466</v>
      </c>
      <c r="L14" s="77">
        <f t="shared" si="7"/>
        <v>4533138.139340827</v>
      </c>
      <c r="M14" s="77">
        <f t="shared" si="7"/>
        <v>4496954.549655122</v>
      </c>
      <c r="N14" s="77">
        <f t="shared" si="7"/>
        <v>4461085.774124676</v>
      </c>
      <c r="O14" s="77">
        <f t="shared" si="7"/>
        <v>4425528.706317861</v>
      </c>
      <c r="P14" s="77">
        <f t="shared" si="7"/>
        <v>4390280.275219473</v>
      </c>
      <c r="Q14" s="77">
        <f t="shared" si="7"/>
        <v>4355337.4447725</v>
      </c>
      <c r="R14" s="77">
        <f t="shared" si="7"/>
        <v>4320697.213426337</v>
      </c>
      <c r="S14" s="77">
        <f t="shared" si="7"/>
        <v>4286356.6136913905</v>
      </c>
      <c r="T14" s="77">
        <f t="shared" si="7"/>
        <v>4252312.711699948</v>
      </c>
      <c r="U14" s="77">
        <f t="shared" si="7"/>
        <v>4218562.606773238</v>
      </c>
      <c r="V14" s="77">
        <f t="shared" si="7"/>
        <v>4185103.4309945814</v>
      </c>
      <c r="W14" s="77">
        <f t="shared" si="7"/>
        <v>4151932.3487885436</v>
      </c>
      <c r="X14" s="77">
        <f t="shared" si="7"/>
        <v>4119046.5565060047</v>
      </c>
      <c r="Y14" s="77">
        <f t="shared" si="7"/>
        <v>4086443.2820150484</v>
      </c>
      <c r="Z14" s="77">
        <f t="shared" si="7"/>
        <v>4054119.7842975976</v>
      </c>
      <c r="AA14" s="77">
        <f t="shared" si="7"/>
        <v>4022073.353051703</v>
      </c>
      <c r="AB14" s="77">
        <f t="shared" si="7"/>
        <v>3990301.3082993957</v>
      </c>
      <c r="AC14" s="78">
        <f t="shared" si="7"/>
        <v>3958801.0000000442</v>
      </c>
      <c r="AD14" s="248">
        <f>AC14</f>
        <v>3958801.0000000442</v>
      </c>
      <c r="AE14" s="252">
        <f>'[2]Summary for 5th Plan'!$I11</f>
        <v>3962108.8546225275</v>
      </c>
    </row>
    <row r="15" spans="1:25" s="6" customFormat="1" ht="13.5" thickBot="1">
      <c r="A15" s="133"/>
      <c r="B15" s="133"/>
      <c r="C15" s="133"/>
      <c r="D15" s="133"/>
      <c r="E15" s="134"/>
      <c r="F15" s="135"/>
      <c r="G15" s="135"/>
      <c r="H15" s="135"/>
      <c r="I15" s="135"/>
      <c r="J15" s="135"/>
      <c r="K15" s="134"/>
      <c r="L15" s="136"/>
      <c r="M15" s="137"/>
      <c r="N15" s="137"/>
      <c r="O15" s="137"/>
      <c r="P15" s="137"/>
      <c r="Q15" s="137"/>
      <c r="R15" s="137"/>
      <c r="S15" s="137"/>
      <c r="T15" s="137"/>
      <c r="U15" s="137"/>
      <c r="V15" s="137"/>
      <c r="W15" s="137"/>
      <c r="X15" s="137"/>
      <c r="Y15" s="137"/>
    </row>
    <row r="16" spans="1:31" ht="64.5" thickBot="1">
      <c r="A16" s="130" t="s">
        <v>62</v>
      </c>
      <c r="B16" s="124" t="s">
        <v>48</v>
      </c>
      <c r="C16" s="124" t="s">
        <v>35</v>
      </c>
      <c r="D16" s="125">
        <v>2000</v>
      </c>
      <c r="E16" s="125">
        <v>2001</v>
      </c>
      <c r="F16" s="125">
        <v>2002</v>
      </c>
      <c r="G16" s="125">
        <v>2003</v>
      </c>
      <c r="H16" s="125">
        <v>2004</v>
      </c>
      <c r="I16" s="125">
        <v>2005</v>
      </c>
      <c r="J16" s="125">
        <v>2006</v>
      </c>
      <c r="K16" s="125">
        <v>2007</v>
      </c>
      <c r="L16" s="125">
        <v>2008</v>
      </c>
      <c r="M16" s="125">
        <v>2009</v>
      </c>
      <c r="N16" s="125">
        <v>2010</v>
      </c>
      <c r="O16" s="125">
        <v>2011</v>
      </c>
      <c r="P16" s="125">
        <v>2012</v>
      </c>
      <c r="Q16" s="125">
        <v>2013</v>
      </c>
      <c r="R16" s="125">
        <v>2014</v>
      </c>
      <c r="S16" s="125">
        <v>2015</v>
      </c>
      <c r="T16" s="125">
        <v>2016</v>
      </c>
      <c r="U16" s="125">
        <v>2017</v>
      </c>
      <c r="V16" s="125">
        <v>2018</v>
      </c>
      <c r="W16" s="125">
        <v>2019</v>
      </c>
      <c r="X16" s="125">
        <v>2020</v>
      </c>
      <c r="Y16" s="125">
        <v>2021</v>
      </c>
      <c r="Z16" s="125">
        <v>2022</v>
      </c>
      <c r="AA16" s="125">
        <v>2023</v>
      </c>
      <c r="AB16" s="125">
        <v>2024</v>
      </c>
      <c r="AC16" s="125">
        <v>2025</v>
      </c>
      <c r="AD16" s="101" t="s">
        <v>63</v>
      </c>
      <c r="AE16" s="249" t="s">
        <v>94</v>
      </c>
    </row>
    <row r="17" spans="1:31" ht="12.75">
      <c r="A17" s="138" t="s">
        <v>0</v>
      </c>
      <c r="B17" s="139">
        <f>'[2]Housing Completion Summary'!$B$7</f>
        <v>0.6892971018608723</v>
      </c>
      <c r="C17" s="161">
        <v>0.029067262957315782</v>
      </c>
      <c r="D17" s="164"/>
      <c r="E17" s="140">
        <v>46427.49901453212</v>
      </c>
      <c r="F17" s="140">
        <f>E17*(1+$C17)</f>
        <v>47777.01933683805</v>
      </c>
      <c r="G17" s="140">
        <f aca="true" t="shared" si="8" ref="G17:AC19">F17*(1+$C17)</f>
        <v>49165.766521218684</v>
      </c>
      <c r="H17" s="140">
        <f t="shared" si="8"/>
        <v>50594.88078518894</v>
      </c>
      <c r="I17" s="140">
        <f t="shared" si="8"/>
        <v>52065.535489266076</v>
      </c>
      <c r="J17" s="140">
        <f t="shared" si="8"/>
        <v>53578.93810034604</v>
      </c>
      <c r="K17" s="140">
        <f t="shared" si="8"/>
        <v>55136.33118308255</v>
      </c>
      <c r="L17" s="140">
        <f t="shared" si="8"/>
        <v>56738.993420082865</v>
      </c>
      <c r="M17" s="140">
        <f t="shared" si="8"/>
        <v>58388.24066175783</v>
      </c>
      <c r="N17" s="140">
        <f t="shared" si="8"/>
        <v>60085.42700668819</v>
      </c>
      <c r="O17" s="140">
        <f t="shared" si="8"/>
        <v>61831.9459133942</v>
      </c>
      <c r="P17" s="140">
        <f t="shared" si="8"/>
        <v>63629.231344421365</v>
      </c>
      <c r="Q17" s="140">
        <f t="shared" si="8"/>
        <v>65478.75894368155</v>
      </c>
      <c r="R17" s="140">
        <f t="shared" si="8"/>
        <v>67382.04724801624</v>
      </c>
      <c r="S17" s="140">
        <f t="shared" si="8"/>
        <v>69340.6589339766</v>
      </c>
      <c r="T17" s="140">
        <f t="shared" si="8"/>
        <v>71356.20210084406</v>
      </c>
      <c r="U17" s="140">
        <f t="shared" si="8"/>
        <v>73430.33159094467</v>
      </c>
      <c r="V17" s="140">
        <f t="shared" si="8"/>
        <v>75564.75034834155</v>
      </c>
      <c r="W17" s="140">
        <f t="shared" si="8"/>
        <v>77761.21081702072</v>
      </c>
      <c r="X17" s="140">
        <f t="shared" si="8"/>
        <v>80021.51637971833</v>
      </c>
      <c r="Y17" s="140">
        <f t="shared" si="8"/>
        <v>82347.52283857076</v>
      </c>
      <c r="Z17" s="140">
        <f t="shared" si="8"/>
        <v>84741.13993880307</v>
      </c>
      <c r="AA17" s="140">
        <f t="shared" si="8"/>
        <v>87204.33293670697</v>
      </c>
      <c r="AB17" s="140">
        <f t="shared" si="8"/>
        <v>89739.12421319555</v>
      </c>
      <c r="AC17" s="141">
        <f t="shared" si="8"/>
        <v>92347.59493425975</v>
      </c>
      <c r="AD17" s="100">
        <f>SUM(E17:AC17)</f>
        <v>1672135.000000897</v>
      </c>
      <c r="AE17" s="251">
        <f>'[2]Summary for 5th Plan'!$C3*'[2]PNW Households &amp;  Housing Units'!$B$48/'[2]PNW Households &amp;  Housing Units'!$C$48</f>
        <v>1673531.7700462446</v>
      </c>
    </row>
    <row r="18" spans="1:31" ht="12.75">
      <c r="A18" s="142" t="s">
        <v>1</v>
      </c>
      <c r="B18" s="41">
        <f>'[2]Housing Completion Summary'!$C$7</f>
        <v>0.20746132805777565</v>
      </c>
      <c r="C18" s="162">
        <v>0.007656389835073908</v>
      </c>
      <c r="D18" s="165"/>
      <c r="E18" s="5">
        <v>18342.378454176796</v>
      </c>
      <c r="F18" s="5">
        <f>E18*(1+$C18)</f>
        <v>18482.814854124434</v>
      </c>
      <c r="G18" s="5">
        <f t="shared" si="8"/>
        <v>18624.326489897103</v>
      </c>
      <c r="H18" s="5">
        <f t="shared" si="8"/>
        <v>18766.921593919447</v>
      </c>
      <c r="I18" s="5">
        <f t="shared" si="8"/>
        <v>18910.60846164676</v>
      </c>
      <c r="J18" s="5">
        <f t="shared" si="8"/>
        <v>19055.395452047575</v>
      </c>
      <c r="K18" s="5">
        <f t="shared" si="8"/>
        <v>19201.290988089946</v>
      </c>
      <c r="L18" s="5">
        <f t="shared" si="8"/>
        <v>19348.303557231455</v>
      </c>
      <c r="M18" s="5">
        <f t="shared" si="8"/>
        <v>19496.441711912965</v>
      </c>
      <c r="N18" s="5">
        <f t="shared" si="8"/>
        <v>19645.714070056165</v>
      </c>
      <c r="O18" s="5">
        <f t="shared" si="8"/>
        <v>19796.12931556491</v>
      </c>
      <c r="P18" s="5">
        <f t="shared" si="8"/>
        <v>19947.69619883041</v>
      </c>
      <c r="Q18" s="5">
        <f t="shared" si="8"/>
        <v>20100.423537240276</v>
      </c>
      <c r="R18" s="5">
        <f t="shared" si="8"/>
        <v>20254.32021569148</v>
      </c>
      <c r="S18" s="5">
        <f t="shared" si="8"/>
        <v>20409.39518710723</v>
      </c>
      <c r="T18" s="5">
        <f t="shared" si="8"/>
        <v>20565.657472957806</v>
      </c>
      <c r="U18" s="5">
        <f t="shared" si="8"/>
        <v>20723.116163785373</v>
      </c>
      <c r="V18" s="5">
        <f t="shared" si="8"/>
        <v>20881.780419732833</v>
      </c>
      <c r="W18" s="5">
        <f t="shared" si="8"/>
        <v>21041.65947107672</v>
      </c>
      <c r="X18" s="5">
        <f t="shared" si="8"/>
        <v>21202.762618764158</v>
      </c>
      <c r="Y18" s="5">
        <f t="shared" si="8"/>
        <v>21365.09923495395</v>
      </c>
      <c r="Z18" s="5">
        <f t="shared" si="8"/>
        <v>21528.678763561795</v>
      </c>
      <c r="AA18" s="5">
        <f t="shared" si="8"/>
        <v>21693.5107208097</v>
      </c>
      <c r="AB18" s="5">
        <f t="shared" si="8"/>
        <v>21859.604695779573</v>
      </c>
      <c r="AC18" s="74">
        <f t="shared" si="8"/>
        <v>22026.970350971074</v>
      </c>
      <c r="AD18" s="98">
        <f>SUM(E18:AC18)</f>
        <v>503270.99999993</v>
      </c>
      <c r="AE18" s="251">
        <f>'[2]Summary for 5th Plan'!$C4*'[2]PNW Households &amp;  Housing Units'!$B$48/'[2]PNW Households &amp;  Housing Units'!$C$48</f>
        <v>503691.5469735304</v>
      </c>
    </row>
    <row r="19" spans="1:31" ht="12.75">
      <c r="A19" s="142" t="s">
        <v>11</v>
      </c>
      <c r="B19" s="41">
        <f>'[2]Housing Completion Summary'!$D$7</f>
        <v>0.10324157008135199</v>
      </c>
      <c r="C19" s="162">
        <v>0.01976904954745648</v>
      </c>
      <c r="D19" s="165"/>
      <c r="E19" s="5">
        <v>7842.214634831057</v>
      </c>
      <c r="F19" s="5">
        <f>E19*(1+$C19)</f>
        <v>7997.247764508821</v>
      </c>
      <c r="G19" s="5">
        <f t="shared" si="8"/>
        <v>8155.345751808682</v>
      </c>
      <c r="H19" s="5">
        <f t="shared" si="8"/>
        <v>8316.569186052826</v>
      </c>
      <c r="I19" s="5">
        <f t="shared" si="8"/>
        <v>8480.979854356754</v>
      </c>
      <c r="J19" s="5">
        <f t="shared" si="8"/>
        <v>8648.640765308513</v>
      </c>
      <c r="K19" s="5">
        <f t="shared" si="8"/>
        <v>8819.61617311605</v>
      </c>
      <c r="L19" s="5">
        <f t="shared" si="8"/>
        <v>8993.97160223193</v>
      </c>
      <c r="M19" s="5">
        <f t="shared" si="8"/>
        <v>9171.77387246487</v>
      </c>
      <c r="N19" s="5">
        <f t="shared" si="8"/>
        <v>9353.091124587694</v>
      </c>
      <c r="O19" s="5">
        <f t="shared" si="8"/>
        <v>9537.992846451543</v>
      </c>
      <c r="P19" s="5">
        <f t="shared" si="8"/>
        <v>9726.54989961633</v>
      </c>
      <c r="Q19" s="5">
        <f t="shared" si="8"/>
        <v>9918.834546507653</v>
      </c>
      <c r="R19" s="5">
        <f t="shared" si="8"/>
        <v>10114.920478110585</v>
      </c>
      <c r="S19" s="5">
        <f t="shared" si="8"/>
        <v>10314.882842210936</v>
      </c>
      <c r="T19" s="5">
        <f t="shared" si="8"/>
        <v>10518.798272194814</v>
      </c>
      <c r="U19" s="5">
        <f t="shared" si="8"/>
        <v>10726.744916417532</v>
      </c>
      <c r="V19" s="5">
        <f t="shared" si="8"/>
        <v>10938.802468153117</v>
      </c>
      <c r="W19" s="5">
        <f t="shared" si="8"/>
        <v>11155.052196135875</v>
      </c>
      <c r="X19" s="5">
        <f t="shared" si="8"/>
        <v>11375.57697570575</v>
      </c>
      <c r="Y19" s="5">
        <f t="shared" si="8"/>
        <v>11600.461320569382</v>
      </c>
      <c r="Z19" s="5">
        <f t="shared" si="8"/>
        <v>11829.79141518907</v>
      </c>
      <c r="AA19" s="5">
        <f t="shared" si="8"/>
        <v>12063.65514781202</v>
      </c>
      <c r="AB19" s="5">
        <f t="shared" si="8"/>
        <v>12302.142144152545</v>
      </c>
      <c r="AC19" s="74">
        <f t="shared" si="8"/>
        <v>12545.34380174015</v>
      </c>
      <c r="AD19" s="98">
        <f>SUM(E19:AC19)</f>
        <v>250449.00000023446</v>
      </c>
      <c r="AE19" s="251">
        <f>'[2]Summary for 5th Plan'!$C5*'[2]PNW Households &amp;  Housing Units'!$B$48/'[2]PNW Households &amp;  Housing Units'!$C$48</f>
        <v>250658.31127703175</v>
      </c>
    </row>
    <row r="20" spans="1:31" ht="13.5" thickBot="1">
      <c r="A20" s="113" t="s">
        <v>56</v>
      </c>
      <c r="B20" s="143">
        <f>SUM(B17:B19)</f>
        <v>1</v>
      </c>
      <c r="C20" s="163">
        <v>0.023283280275597402</v>
      </c>
      <c r="D20" s="166"/>
      <c r="E20" s="77">
        <v>72612.09210353997</v>
      </c>
      <c r="F20" s="77">
        <f>E20*(1+$C20)</f>
        <v>74302.73979538417</v>
      </c>
      <c r="G20" s="77">
        <f aca="true" t="shared" si="9" ref="G20:AC20">F20*(1+$C20)</f>
        <v>76032.75131128488</v>
      </c>
      <c r="H20" s="77">
        <f t="shared" si="9"/>
        <v>77803.04317019031</v>
      </c>
      <c r="I20" s="77">
        <f t="shared" si="9"/>
        <v>79614.55323061625</v>
      </c>
      <c r="J20" s="77">
        <f t="shared" si="9"/>
        <v>81468.24118750115</v>
      </c>
      <c r="K20" s="77">
        <f t="shared" si="9"/>
        <v>83365.0890806297</v>
      </c>
      <c r="L20" s="77">
        <f t="shared" si="9"/>
        <v>85306.10181489414</v>
      </c>
      <c r="M20" s="77">
        <f t="shared" si="9"/>
        <v>87292.30769266895</v>
      </c>
      <c r="N20" s="77">
        <f t="shared" si="9"/>
        <v>89324.75895858105</v>
      </c>
      <c r="O20" s="77">
        <f t="shared" si="9"/>
        <v>91404.53235696387</v>
      </c>
      <c r="P20" s="77">
        <f t="shared" si="9"/>
        <v>93532.72970229096</v>
      </c>
      <c r="Q20" s="77">
        <f t="shared" si="9"/>
        <v>95710.47846289109</v>
      </c>
      <c r="R20" s="77">
        <f t="shared" si="9"/>
        <v>97938.9323582541</v>
      </c>
      <c r="S20" s="77">
        <f t="shared" si="9"/>
        <v>100219.2719702441</v>
      </c>
      <c r="T20" s="77">
        <f t="shared" si="9"/>
        <v>102552.70536854361</v>
      </c>
      <c r="U20" s="77">
        <f t="shared" si="9"/>
        <v>104940.46875066016</v>
      </c>
      <c r="V20" s="77">
        <f t="shared" si="9"/>
        <v>107383.82709683434</v>
      </c>
      <c r="W20" s="77">
        <f t="shared" si="9"/>
        <v>109884.07484019622</v>
      </c>
      <c r="X20" s="77">
        <f t="shared" si="9"/>
        <v>112442.53655252523</v>
      </c>
      <c r="Y20" s="77">
        <f t="shared" si="9"/>
        <v>115060.56764597677</v>
      </c>
      <c r="Z20" s="77">
        <f t="shared" si="9"/>
        <v>117739.55509114737</v>
      </c>
      <c r="AA20" s="77">
        <f t="shared" si="9"/>
        <v>120480.91815185868</v>
      </c>
      <c r="AB20" s="77">
        <f t="shared" si="9"/>
        <v>123286.10913704972</v>
      </c>
      <c r="AC20" s="78">
        <f t="shared" si="9"/>
        <v>126156.61417017553</v>
      </c>
      <c r="AD20" s="99">
        <f>SUM(E20:AC20)</f>
        <v>2425855.000000902</v>
      </c>
      <c r="AE20" s="252">
        <f>'[2]Summary for 5th Plan'!$C6*'[2]PNW Households &amp;  Housing Units'!$B$48/'[2]PNW Households &amp;  Housing Units'!$C$48</f>
        <v>2427881.628296807</v>
      </c>
    </row>
    <row r="21" spans="2:29" ht="13.5" thickBot="1">
      <c r="B21" s="34"/>
      <c r="C21" s="34"/>
      <c r="D21" s="3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row>
    <row r="22" spans="1:30" ht="64.5" thickBot="1">
      <c r="A22" s="130" t="s">
        <v>77</v>
      </c>
      <c r="B22" s="124" t="s">
        <v>48</v>
      </c>
      <c r="C22" s="124" t="s">
        <v>87</v>
      </c>
      <c r="D22" s="125">
        <v>2000</v>
      </c>
      <c r="E22" s="125">
        <v>2001</v>
      </c>
      <c r="F22" s="125">
        <v>2002</v>
      </c>
      <c r="G22" s="125">
        <v>2003</v>
      </c>
      <c r="H22" s="125">
        <v>2004</v>
      </c>
      <c r="I22" s="125">
        <v>2005</v>
      </c>
      <c r="J22" s="125">
        <v>2006</v>
      </c>
      <c r="K22" s="125">
        <v>2007</v>
      </c>
      <c r="L22" s="125">
        <v>2008</v>
      </c>
      <c r="M22" s="125">
        <v>2009</v>
      </c>
      <c r="N22" s="125">
        <v>2010</v>
      </c>
      <c r="O22" s="125">
        <v>2011</v>
      </c>
      <c r="P22" s="125">
        <v>2012</v>
      </c>
      <c r="Q22" s="125">
        <v>2013</v>
      </c>
      <c r="R22" s="125">
        <v>2014</v>
      </c>
      <c r="S22" s="125">
        <v>2015</v>
      </c>
      <c r="T22" s="125">
        <v>2016</v>
      </c>
      <c r="U22" s="125">
        <v>2017</v>
      </c>
      <c r="V22" s="125">
        <v>2018</v>
      </c>
      <c r="W22" s="125">
        <v>2019</v>
      </c>
      <c r="X22" s="125">
        <v>2020</v>
      </c>
      <c r="Y22" s="125">
        <v>2021</v>
      </c>
      <c r="Z22" s="125">
        <v>2022</v>
      </c>
      <c r="AA22" s="125">
        <v>2023</v>
      </c>
      <c r="AB22" s="125">
        <v>2024</v>
      </c>
      <c r="AC22" s="125">
        <v>2025</v>
      </c>
      <c r="AD22" s="101" t="s">
        <v>63</v>
      </c>
    </row>
    <row r="23" spans="1:31" ht="12.75">
      <c r="A23" s="138" t="s">
        <v>0</v>
      </c>
      <c r="B23" s="139">
        <f>B11</f>
        <v>0.7454366431714873</v>
      </c>
      <c r="C23" s="139">
        <f>AD23/AD$26</f>
        <v>0.7326914715529622</v>
      </c>
      <c r="D23" s="167">
        <f>D11+D17</f>
        <v>3603683.0000000005</v>
      </c>
      <c r="E23" s="140">
        <f>E11+SUM($E17:E17)</f>
        <v>3624057.2911478234</v>
      </c>
      <c r="F23" s="140">
        <f>F11+SUM($E17:F17)</f>
        <v>3645969.4570431733</v>
      </c>
      <c r="G23" s="140">
        <f>G11+SUM($E17:G17)</f>
        <v>3669457.3628198626</v>
      </c>
      <c r="H23" s="140">
        <f>H11+SUM($E17:H17)</f>
        <v>3694560.023673976</v>
      </c>
      <c r="I23" s="140">
        <f>I11+SUM($E17:I17)</f>
        <v>3721317.637935701</v>
      </c>
      <c r="J23" s="140">
        <f>J11+SUM($E17:J17)</f>
        <v>3749771.6211050455</v>
      </c>
      <c r="K23" s="140">
        <f>K11+SUM($E17:K17)</f>
        <v>3779964.640879451</v>
      </c>
      <c r="L23" s="140">
        <f>L11+SUM($E17:L17)</f>
        <v>3811940.6532021007</v>
      </c>
      <c r="M23" s="140">
        <f>M11+SUM($E17:M17)</f>
        <v>3845744.9393605874</v>
      </c>
      <c r="N23" s="140">
        <f>N11+SUM($E17:N17)</f>
        <v>3881424.1441664468</v>
      </c>
      <c r="O23" s="140">
        <f>O11+SUM($E17:O17)</f>
        <v>3919026.3152469513</v>
      </c>
      <c r="P23" s="140">
        <f>P11+SUM($E17:P17)</f>
        <v>3958600.9434814914</v>
      </c>
      <c r="Q23" s="140">
        <f>Q11+SUM($E17:Q17)</f>
        <v>4000199.004615778</v>
      </c>
      <c r="R23" s="140">
        <f>R11+SUM($E17:R17)</f>
        <v>4043873.0020880997</v>
      </c>
      <c r="S23" s="140">
        <f>S11+SUM($E17:S17)</f>
        <v>4089677.01110284</v>
      </c>
      <c r="T23" s="140">
        <f>T11+SUM($E17:T17)</f>
        <v>4137666.7239874927</v>
      </c>
      <c r="U23" s="140">
        <f>U11+SUM($E17:U17)</f>
        <v>4187899.4968704693</v>
      </c>
      <c r="V23" s="140">
        <f>V11+SUM($E17:V17)</f>
        <v>4240434.397718067</v>
      </c>
      <c r="W23" s="140">
        <f>W11+SUM($E17:W17)</f>
        <v>4295332.255770095</v>
      </c>
      <c r="X23" s="140">
        <f>X11+SUM($E17:X17)</f>
        <v>4352655.71241479</v>
      </c>
      <c r="Y23" s="140">
        <f>Y11+SUM($E17:Y17)</f>
        <v>4412469.273544841</v>
      </c>
      <c r="Z23" s="140">
        <f>Z11+SUM($E17:Z17)</f>
        <v>4474839.36343757</v>
      </c>
      <c r="AA23" s="140">
        <f>AA11+SUM($E17:AA17)</f>
        <v>4539834.38020353</v>
      </c>
      <c r="AB23" s="140">
        <f>AB11+SUM($E17:AB17)</f>
        <v>4607524.75284913</v>
      </c>
      <c r="AC23" s="140">
        <f>AC11+SUM($E17:AC17)</f>
        <v>4677983.0000001425</v>
      </c>
      <c r="AD23" s="100">
        <f>AD11+AD17</f>
        <v>4677983.0000001425</v>
      </c>
      <c r="AE23" s="65"/>
    </row>
    <row r="24" spans="1:31" ht="12.75">
      <c r="A24" s="142" t="s">
        <v>1</v>
      </c>
      <c r="B24" s="41">
        <f>B12</f>
        <v>0.15901702926468536</v>
      </c>
      <c r="C24" s="41">
        <f>AD24/AD$26</f>
        <v>0.17925476329508094</v>
      </c>
      <c r="D24" s="168">
        <f>D12+D18</f>
        <v>768740.0000000001</v>
      </c>
      <c r="E24" s="5">
        <f>E12+SUM($E18:E18)</f>
        <v>781524.6698312585</v>
      </c>
      <c r="F24" s="5">
        <f>F12+SUM($E18:F18)</f>
        <v>794489.956260109</v>
      </c>
      <c r="G24" s="5">
        <f>G12+SUM($E18:G18)</f>
        <v>807636.6440342651</v>
      </c>
      <c r="H24" s="5">
        <f>H12+SUM($E18:H18)</f>
        <v>820965.5282339874</v>
      </c>
      <c r="I24" s="5">
        <f>I12+SUM($E18:I18)</f>
        <v>834477.4143199318</v>
      </c>
      <c r="J24" s="5">
        <f>J12+SUM($E18:J18)</f>
        <v>848173.1181815881</v>
      </c>
      <c r="K24" s="5">
        <f>K12+SUM($E18:K18)</f>
        <v>862053.4661863166</v>
      </c>
      <c r="L24" s="5">
        <f>L12+SUM($E18:L18)</f>
        <v>876119.2952289807</v>
      </c>
      <c r="M24" s="5">
        <f>M12+SUM($E18:M18)</f>
        <v>890371.4527821811</v>
      </c>
      <c r="N24" s="5">
        <f>N12+SUM($E18:N18)</f>
        <v>904810.7969470955</v>
      </c>
      <c r="O24" s="5">
        <f>O12+SUM($E18:O18)</f>
        <v>919438.1965049234</v>
      </c>
      <c r="P24" s="5">
        <f>P12+SUM($E18:P18)</f>
        <v>934254.5309689427</v>
      </c>
      <c r="Q24" s="5">
        <f>Q12+SUM($E18:Q18)</f>
        <v>949260.6906371795</v>
      </c>
      <c r="R24" s="5">
        <f>R12+SUM($E18:R18)</f>
        <v>964457.5766456935</v>
      </c>
      <c r="S24" s="5">
        <f>S12+SUM($E18:S18)</f>
        <v>979846.1010224845</v>
      </c>
      <c r="T24" s="5">
        <f>T12+SUM($E18:T18)</f>
        <v>995427.1867420204</v>
      </c>
      <c r="U24" s="5">
        <f>U12+SUM($E18:U18)</f>
        <v>1011201.7677803929</v>
      </c>
      <c r="V24" s="5">
        <f>V12+SUM($E18:V18)</f>
        <v>1027170.7891711007</v>
      </c>
      <c r="W24" s="5">
        <f>W12+SUM($E18:W18)</f>
        <v>1043335.2070614679</v>
      </c>
      <c r="X24" s="5">
        <f>X12+SUM($E18:X18)</f>
        <v>1059695.9887696959</v>
      </c>
      <c r="Y24" s="5">
        <f>Y12+SUM($E18:Y18)</f>
        <v>1076254.1128425573</v>
      </c>
      <c r="Z24" s="5">
        <f>Z12+SUM($E18:Z18)</f>
        <v>1093010.569113731</v>
      </c>
      <c r="AA24" s="5">
        <f>AA12+SUM($E18:AA18)</f>
        <v>1109966.358762784</v>
      </c>
      <c r="AB24" s="5">
        <f>AB12+SUM($E18:AB18)</f>
        <v>1127122.494374805</v>
      </c>
      <c r="AC24" s="5">
        <f>AC12+SUM($E18:AC18)</f>
        <v>1144480.000000688</v>
      </c>
      <c r="AD24" s="98">
        <f>AD12+AD18</f>
        <v>1144480.000000688</v>
      </c>
      <c r="AE24" s="65"/>
    </row>
    <row r="25" spans="1:31" ht="12.75">
      <c r="A25" s="142" t="s">
        <v>11</v>
      </c>
      <c r="B25" s="41">
        <f>B13</f>
        <v>0.09554632756382742</v>
      </c>
      <c r="C25" s="41">
        <f>AD25/AD$26</f>
        <v>0.08805376515198192</v>
      </c>
      <c r="D25" s="168">
        <f>D13+D19</f>
        <v>461902</v>
      </c>
      <c r="E25" s="5">
        <f>E13+SUM($E19:E19)</f>
        <v>462536.7901736619</v>
      </c>
      <c r="F25" s="5">
        <f>F13+SUM($E19:F19)</f>
        <v>463439.07665612496</v>
      </c>
      <c r="G25" s="5">
        <f>G13+SUM($E19:G19)</f>
        <v>464610.1694525356</v>
      </c>
      <c r="H25" s="5">
        <f>H13+SUM($E19:H19)</f>
        <v>466051.4665397222</v>
      </c>
      <c r="I25" s="5">
        <f>I13+SUM($E19:I19)</f>
        <v>467764.4546367193</v>
      </c>
      <c r="J25" s="5">
        <f>J13+SUM($E19:J19)</f>
        <v>469750.71000563866</v>
      </c>
      <c r="K25" s="5">
        <f>K13+SUM($E19:K19)</f>
        <v>472011.8992832503</v>
      </c>
      <c r="L25" s="5">
        <f>L13+SUM($E19:L19)</f>
        <v>474549.78034364904</v>
      </c>
      <c r="M25" s="5">
        <f>M13+SUM($E19:M19)</f>
        <v>477366.2031923922</v>
      </c>
      <c r="N25" s="5">
        <f>N13+SUM($E19:N19)</f>
        <v>480463.1108925058</v>
      </c>
      <c r="O25" s="5">
        <f>O13+SUM($E19:O19)</f>
        <v>483842.54052276793</v>
      </c>
      <c r="P25" s="5">
        <f>P13+SUM($E19:P19)</f>
        <v>487506.62416868913</v>
      </c>
      <c r="Q25" s="5">
        <f>Q13+SUM($E19:Q19)</f>
        <v>491457.5899466217</v>
      </c>
      <c r="R25" s="5">
        <f>R13+SUM($E19:R19)</f>
        <v>495697.7630614415</v>
      </c>
      <c r="S25" s="5">
        <f>S13+SUM($E19:S19)</f>
        <v>500229.56689825875</v>
      </c>
      <c r="T25" s="5">
        <f>T13+SUM($E19:T19)</f>
        <v>505055.5241486243</v>
      </c>
      <c r="U25" s="5">
        <f>U13+SUM($E19:U19)</f>
        <v>510178.2579717131</v>
      </c>
      <c r="V25" s="5">
        <f>V13+SUM($E19:V19)</f>
        <v>515600.4931909779</v>
      </c>
      <c r="W25" s="5">
        <f>W13+SUM($E19:W19)</f>
        <v>521325.0575267783</v>
      </c>
      <c r="X25" s="5">
        <f>X13+SUM($E19:X19)</f>
        <v>527354.8828655048</v>
      </c>
      <c r="Y25" s="5">
        <f>Y13+SUM($E19:Y19)</f>
        <v>533693.0065657299</v>
      </c>
      <c r="Z25" s="5">
        <f>Z13+SUM($E19:Z19)</f>
        <v>540342.5728019318</v>
      </c>
      <c r="AA25" s="5">
        <f>AA13+SUM($E19:AA19)</f>
        <v>547306.833946351</v>
      </c>
      <c r="AB25" s="5">
        <f>AB13+SUM($E19:AB19)</f>
        <v>554589.1519895516</v>
      </c>
      <c r="AC25" s="5">
        <f>AC13+SUM($E19:AC19)</f>
        <v>562193.0000002756</v>
      </c>
      <c r="AD25" s="98">
        <f>AD13+AD19</f>
        <v>562193.0000002756</v>
      </c>
      <c r="AE25" s="65"/>
    </row>
    <row r="26" spans="1:31" ht="13.5" thickBot="1">
      <c r="A26" s="113" t="s">
        <v>5</v>
      </c>
      <c r="B26" s="143">
        <f>SUM(B23:B25)</f>
        <v>1</v>
      </c>
      <c r="C26" s="143">
        <f>AD26/AD$26</f>
        <v>1</v>
      </c>
      <c r="D26" s="169">
        <f>D14+D20</f>
        <v>4834325.000000001</v>
      </c>
      <c r="E26" s="77">
        <f>E14+SUM($E20:E20)</f>
        <v>4868118.751152744</v>
      </c>
      <c r="F26" s="77">
        <f>F14+SUM($E20:F20)</f>
        <v>4903944.1477993205</v>
      </c>
      <c r="G26" s="77">
        <f>G14+SUM($E20:G20)</f>
        <v>4941837.146694937</v>
      </c>
      <c r="H26" s="77">
        <f>H14+SUM($E20:H20)</f>
        <v>4981834.660440987</v>
      </c>
      <c r="I26" s="77">
        <f>I14+SUM($E20:I20)</f>
        <v>5023974.578311</v>
      </c>
      <c r="J26" s="77">
        <f>J14+SUM($E20:J20)</f>
        <v>5068295.78758072</v>
      </c>
      <c r="K26" s="77">
        <f>K14+SUM($E20:K20)</f>
        <v>5114838.195373807</v>
      </c>
      <c r="L26" s="77">
        <f>L14+SUM($E20:L20)</f>
        <v>5163642.751034868</v>
      </c>
      <c r="M26" s="77">
        <f>M14+SUM($E20:M20)</f>
        <v>5214751.469041832</v>
      </c>
      <c r="N26" s="77">
        <f>N14+SUM($E20:N20)</f>
        <v>5268207.452469967</v>
      </c>
      <c r="O26" s="77">
        <f>O14+SUM($E20:O20)</f>
        <v>5324054.917020115</v>
      </c>
      <c r="P26" s="77">
        <f>P14+SUM($E20:P20)</f>
        <v>5382339.215624019</v>
      </c>
      <c r="Q26" s="77">
        <f>Q14+SUM($E20:Q20)</f>
        <v>5443106.863639936</v>
      </c>
      <c r="R26" s="77">
        <f>R14+SUM($E20:R20)</f>
        <v>5506405.564652028</v>
      </c>
      <c r="S26" s="77">
        <f>S14+SUM($E20:S20)</f>
        <v>5572284.236887325</v>
      </c>
      <c r="T26" s="77">
        <f>T14+SUM($E20:T20)</f>
        <v>5640793.040264426</v>
      </c>
      <c r="U26" s="77">
        <f>U14+SUM($E20:U20)</f>
        <v>5711983.404088376</v>
      </c>
      <c r="V26" s="77">
        <f>V14+SUM($E20:V20)</f>
        <v>5785908.055406554</v>
      </c>
      <c r="W26" s="77">
        <f>W14+SUM($E20:W20)</f>
        <v>5862621.048040712</v>
      </c>
      <c r="X26" s="77">
        <f>X14+SUM($E20:X20)</f>
        <v>5942177.792310698</v>
      </c>
      <c r="Y26" s="77">
        <f>Y14+SUM($E20:Y20)</f>
        <v>6024635.085465719</v>
      </c>
      <c r="Z26" s="77">
        <f>Z14+SUM($E20:Z20)</f>
        <v>6110051.142839415</v>
      </c>
      <c r="AA26" s="77">
        <f>AA14+SUM($E20:AA20)</f>
        <v>6198485.629745379</v>
      </c>
      <c r="AB26" s="77">
        <f>AB14+SUM($E20:AB20)</f>
        <v>6289999.694130123</v>
      </c>
      <c r="AC26" s="77">
        <f>AC14+SUM($E20:AC20)</f>
        <v>6384656.000000946</v>
      </c>
      <c r="AD26" s="99">
        <f>AD14+AD20</f>
        <v>6384656.000000946</v>
      </c>
      <c r="AE26" s="65"/>
    </row>
    <row r="27" ht="12.75">
      <c r="AD27" s="69"/>
    </row>
    <row r="28" ht="12.75">
      <c r="AD28" s="69"/>
    </row>
    <row r="29" ht="12.75">
      <c r="AD29" s="69"/>
    </row>
    <row r="30" ht="13.5" thickBot="1">
      <c r="AD30" s="69"/>
    </row>
    <row r="31" spans="1:30" ht="64.5" thickBot="1">
      <c r="A31" s="144" t="s">
        <v>50</v>
      </c>
      <c r="B31" s="145" t="s">
        <v>48</v>
      </c>
      <c r="C31" s="124" t="s">
        <v>60</v>
      </c>
      <c r="D31" s="125">
        <v>2000</v>
      </c>
      <c r="E31" s="125">
        <v>2001</v>
      </c>
      <c r="F31" s="125">
        <v>2002</v>
      </c>
      <c r="G31" s="125">
        <v>2003</v>
      </c>
      <c r="H31" s="125">
        <v>2004</v>
      </c>
      <c r="I31" s="125">
        <v>2005</v>
      </c>
      <c r="J31" s="125">
        <v>2006</v>
      </c>
      <c r="K31" s="125">
        <v>2007</v>
      </c>
      <c r="L31" s="125">
        <v>2008</v>
      </c>
      <c r="M31" s="125">
        <v>2009</v>
      </c>
      <c r="N31" s="125">
        <v>2010</v>
      </c>
      <c r="O31" s="125">
        <v>2011</v>
      </c>
      <c r="P31" s="125">
        <v>2012</v>
      </c>
      <c r="Q31" s="125">
        <v>2013</v>
      </c>
      <c r="R31" s="125">
        <v>2014</v>
      </c>
      <c r="S31" s="125">
        <v>2015</v>
      </c>
      <c r="T31" s="125">
        <v>2016</v>
      </c>
      <c r="U31" s="125">
        <v>2017</v>
      </c>
      <c r="V31" s="125">
        <v>2018</v>
      </c>
      <c r="W31" s="125">
        <v>2019</v>
      </c>
      <c r="X31" s="125">
        <v>2020</v>
      </c>
      <c r="Y31" s="125">
        <v>2021</v>
      </c>
      <c r="Z31" s="125">
        <v>2022</v>
      </c>
      <c r="AA31" s="125">
        <v>2023</v>
      </c>
      <c r="AB31" s="125">
        <v>2024</v>
      </c>
      <c r="AC31" s="126">
        <v>2025</v>
      </c>
      <c r="AD31" s="101" t="s">
        <v>64</v>
      </c>
    </row>
    <row r="32" spans="1:30" ht="12.75">
      <c r="A32" s="90" t="s">
        <v>8</v>
      </c>
      <c r="B32" s="84">
        <f>'[1]PNW Existing Characteristics'!$B3</f>
        <v>0.1107316556485811</v>
      </c>
      <c r="C32" s="79"/>
      <c r="D32" s="148">
        <f>B32*D14</f>
        <v>535312.811193327</v>
      </c>
      <c r="E32" s="149">
        <f>SUM(E33:E35)</f>
        <v>524391.117861802</v>
      </c>
      <c r="F32" s="149">
        <f aca="true" t="shared" si="10" ref="F32:AC32">SUM(F33:F35)</f>
        <v>520144.0080332012</v>
      </c>
      <c r="G32" s="149">
        <f t="shared" si="10"/>
        <v>515934.7179639278</v>
      </c>
      <c r="H32" s="149">
        <f t="shared" si="10"/>
        <v>511762.8632137852</v>
      </c>
      <c r="I32" s="149">
        <f t="shared" si="10"/>
        <v>507628.06385423336</v>
      </c>
      <c r="J32" s="149">
        <f t="shared" si="10"/>
        <v>503529.94440874044</v>
      </c>
      <c r="K32" s="149">
        <f t="shared" si="10"/>
        <v>499468.1337939879</v>
      </c>
      <c r="L32" s="149">
        <f t="shared" si="10"/>
        <v>495442.2652619159</v>
      </c>
      <c r="M32" s="149">
        <f t="shared" si="10"/>
        <v>491451.976342596</v>
      </c>
      <c r="N32" s="149">
        <f t="shared" si="10"/>
        <v>487496.9087879196</v>
      </c>
      <c r="O32" s="149">
        <f t="shared" si="10"/>
        <v>483576.7085160894</v>
      </c>
      <c r="P32" s="149">
        <f t="shared" si="10"/>
        <v>479691.025556902</v>
      </c>
      <c r="Q32" s="149">
        <f t="shared" si="10"/>
        <v>475839.51399781</v>
      </c>
      <c r="R32" s="149">
        <f t="shared" si="10"/>
        <v>472021.831930752</v>
      </c>
      <c r="S32" s="149">
        <f t="shared" si="10"/>
        <v>468237.64139973815</v>
      </c>
      <c r="T32" s="149">
        <f t="shared" si="10"/>
        <v>464486.60834918206</v>
      </c>
      <c r="U32" s="149">
        <f t="shared" si="10"/>
        <v>460768.4025729653</v>
      </c>
      <c r="V32" s="149">
        <f t="shared" si="10"/>
        <v>457082.69766422577</v>
      </c>
      <c r="W32" s="149">
        <f t="shared" si="10"/>
        <v>453429.1709658583</v>
      </c>
      <c r="X32" s="149">
        <f t="shared" si="10"/>
        <v>449807.50352171634</v>
      </c>
      <c r="Y32" s="149">
        <f t="shared" si="10"/>
        <v>446217.3800285051</v>
      </c>
      <c r="Z32" s="149">
        <f t="shared" si="10"/>
        <v>442658.48878835625</v>
      </c>
      <c r="AA32" s="149">
        <f t="shared" si="10"/>
        <v>439130.52166207257</v>
      </c>
      <c r="AB32" s="149">
        <f t="shared" si="10"/>
        <v>435633.17402303376</v>
      </c>
      <c r="AC32" s="149">
        <f t="shared" si="10"/>
        <v>432166.1447117536</v>
      </c>
      <c r="AD32" s="150">
        <f>AC32</f>
        <v>432166.1447117536</v>
      </c>
    </row>
    <row r="33" spans="1:30" ht="12.75">
      <c r="A33" s="91" t="s">
        <v>4</v>
      </c>
      <c r="B33" s="85">
        <f>'[1]PNW Existing Characteristics'!$B4</f>
        <v>0.7747453540896133</v>
      </c>
      <c r="C33" s="80">
        <f>C$11</f>
        <v>-0.007229605896719974</v>
      </c>
      <c r="D33" s="20">
        <f>D$32*B33</f>
        <v>414731.1134566804</v>
      </c>
      <c r="E33" s="19">
        <f aca="true" t="shared" si="11" ref="E33:T33">D33*(1+$C33)</f>
        <v>411732.77095328073</v>
      </c>
      <c r="F33" s="19">
        <f t="shared" si="11"/>
        <v>408756.10528452403</v>
      </c>
      <c r="G33" s="19">
        <f t="shared" si="11"/>
        <v>405800.95973543875</v>
      </c>
      <c r="H33" s="19">
        <f t="shared" si="11"/>
        <v>402867.1787240408</v>
      </c>
      <c r="I33" s="19">
        <f t="shared" si="11"/>
        <v>399954.60779314255</v>
      </c>
      <c r="J33" s="19">
        <f t="shared" si="11"/>
        <v>397063.09360222094</v>
      </c>
      <c r="K33" s="19">
        <f t="shared" si="11"/>
        <v>394192.48391934443</v>
      </c>
      <c r="L33" s="19">
        <f t="shared" si="11"/>
        <v>391342.62761315843</v>
      </c>
      <c r="M33" s="19">
        <f t="shared" si="11"/>
        <v>388513.37464492844</v>
      </c>
      <c r="N33" s="19">
        <f t="shared" si="11"/>
        <v>385704.5760606409</v>
      </c>
      <c r="O33" s="19">
        <f t="shared" si="11"/>
        <v>382916.083983161</v>
      </c>
      <c r="P33" s="19">
        <f t="shared" si="11"/>
        <v>380147.75160444743</v>
      </c>
      <c r="Q33" s="19">
        <f t="shared" si="11"/>
        <v>377399.4331778231</v>
      </c>
      <c r="R33" s="19">
        <f t="shared" si="11"/>
        <v>374670.98401030194</v>
      </c>
      <c r="S33" s="19">
        <f t="shared" si="11"/>
        <v>371962.26045497117</v>
      </c>
      <c r="T33" s="19">
        <f t="shared" si="11"/>
        <v>369273.11990342865</v>
      </c>
      <c r="U33" s="19">
        <f aca="true" t="shared" si="12" ref="F33:AC47">T33*(1+$C33)</f>
        <v>366603.42077827465</v>
      </c>
      <c r="V33" s="19">
        <f t="shared" si="12"/>
        <v>363953.0225256583</v>
      </c>
      <c r="W33" s="19">
        <f t="shared" si="12"/>
        <v>361321.78560787777</v>
      </c>
      <c r="X33" s="19">
        <f t="shared" si="12"/>
        <v>358709.5714960337</v>
      </c>
      <c r="Y33" s="19">
        <f t="shared" si="12"/>
        <v>356116.2426627361</v>
      </c>
      <c r="Z33" s="19">
        <f t="shared" si="12"/>
        <v>353541.6625748638</v>
      </c>
      <c r="AA33" s="19">
        <f t="shared" si="12"/>
        <v>350985.6956863764</v>
      </c>
      <c r="AB33" s="19">
        <f t="shared" si="12"/>
        <v>348448.20743117784</v>
      </c>
      <c r="AC33" s="19">
        <f t="shared" si="12"/>
        <v>345929.0642160319</v>
      </c>
      <c r="AD33" s="151">
        <f aca="true" t="shared" si="13" ref="AD33:AD51">AC33</f>
        <v>345929.0642160319</v>
      </c>
    </row>
    <row r="34" spans="1:30" ht="12.75">
      <c r="A34" s="91" t="s">
        <v>58</v>
      </c>
      <c r="B34" s="85">
        <f>'[1]PNW Existing Characteristics'!$B5</f>
        <v>0.10953062005909824</v>
      </c>
      <c r="C34" s="80">
        <f>C$12</f>
        <v>-0.007229633716104819</v>
      </c>
      <c r="D34" s="20">
        <f>D$32*B34</f>
        <v>58633.14413558409</v>
      </c>
      <c r="E34" s="19">
        <f>D34*(1+$C34)</f>
        <v>58209.247979860236</v>
      </c>
      <c r="F34" s="19">
        <f t="shared" si="12"/>
        <v>57788.41643807593</v>
      </c>
      <c r="G34" s="19">
        <f t="shared" si="12"/>
        <v>57370.62735419491</v>
      </c>
      <c r="H34" s="19">
        <f t="shared" si="12"/>
        <v>56955.85873236094</v>
      </c>
      <c r="I34" s="19">
        <f t="shared" si="12"/>
        <v>56544.08873573976</v>
      </c>
      <c r="J34" s="19">
        <f t="shared" si="12"/>
        <v>56135.29568536943</v>
      </c>
      <c r="K34" s="19">
        <f t="shared" si="12"/>
        <v>55729.458059018965</v>
      </c>
      <c r="L34" s="19">
        <f t="shared" si="12"/>
        <v>55326.55449005523</v>
      </c>
      <c r="M34" s="19">
        <f t="shared" si="12"/>
        <v>54926.56376631801</v>
      </c>
      <c r="N34" s="19">
        <f t="shared" si="12"/>
        <v>54529.46482900326</v>
      </c>
      <c r="O34" s="19">
        <f t="shared" si="12"/>
        <v>54135.236771554344</v>
      </c>
      <c r="P34" s="19">
        <f t="shared" si="12"/>
        <v>53743.8588385614</v>
      </c>
      <c r="Q34" s="19">
        <f t="shared" si="12"/>
        <v>53355.310424668554</v>
      </c>
      <c r="R34" s="19">
        <f t="shared" si="12"/>
        <v>52969.57107348913</v>
      </c>
      <c r="S34" s="19">
        <f t="shared" si="12"/>
        <v>52586.620476528624</v>
      </c>
      <c r="T34" s="19">
        <f t="shared" si="12"/>
        <v>52206.4384721155</v>
      </c>
      <c r="U34" s="19">
        <f t="shared" si="12"/>
        <v>51829.00504433974</v>
      </c>
      <c r="V34" s="19">
        <f t="shared" si="12"/>
        <v>51454.30032199901</v>
      </c>
      <c r="W34" s="19">
        <f t="shared" si="12"/>
        <v>51082.3045775525</v>
      </c>
      <c r="X34" s="19">
        <f t="shared" si="12"/>
        <v>50712.998226082294</v>
      </c>
      <c r="Y34" s="19">
        <f t="shared" si="12"/>
        <v>50346.36182426225</v>
      </c>
      <c r="Z34" s="19">
        <f t="shared" si="12"/>
        <v>49982.37606933434</v>
      </c>
      <c r="AA34" s="19">
        <f t="shared" si="12"/>
        <v>49621.02179809245</v>
      </c>
      <c r="AB34" s="19">
        <f t="shared" si="12"/>
        <v>49262.279985873385</v>
      </c>
      <c r="AC34" s="19">
        <f t="shared" si="12"/>
        <v>48906.131745555314</v>
      </c>
      <c r="AD34" s="151">
        <f t="shared" si="13"/>
        <v>48906.131745555314</v>
      </c>
    </row>
    <row r="35" spans="1:30" ht="13.5" thickBot="1">
      <c r="A35" s="92" t="s">
        <v>59</v>
      </c>
      <c r="B35" s="86">
        <f>'[1]PNW Existing Characteristics'!$B6</f>
        <v>0.1033268356618064</v>
      </c>
      <c r="C35" s="82">
        <f>C$13</f>
        <v>-0.015603795742753165</v>
      </c>
      <c r="D35" s="116">
        <f>D$32*B35</f>
        <v>55312.17886983249</v>
      </c>
      <c r="E35" s="152">
        <f>D35*(1+$C35)</f>
        <v>54449.098928661</v>
      </c>
      <c r="F35" s="152">
        <f t="shared" si="12"/>
        <v>53599.48631060121</v>
      </c>
      <c r="G35" s="152">
        <f t="shared" si="12"/>
        <v>52763.1308742941</v>
      </c>
      <c r="H35" s="152">
        <f t="shared" si="12"/>
        <v>51939.825757383456</v>
      </c>
      <c r="I35" s="152">
        <f t="shared" si="12"/>
        <v>51129.36732535106</v>
      </c>
      <c r="J35" s="152">
        <f t="shared" si="12"/>
        <v>50331.55512115008</v>
      </c>
      <c r="K35" s="152">
        <f t="shared" si="12"/>
        <v>49546.19181562453</v>
      </c>
      <c r="L35" s="152">
        <f t="shared" si="12"/>
        <v>48773.083158702255</v>
      </c>
      <c r="M35" s="152">
        <f t="shared" si="12"/>
        <v>48012.03793134955</v>
      </c>
      <c r="N35" s="152">
        <f t="shared" si="12"/>
        <v>47262.86789827546</v>
      </c>
      <c r="O35" s="152">
        <f t="shared" si="12"/>
        <v>46525.38776137404</v>
      </c>
      <c r="P35" s="152">
        <f t="shared" si="12"/>
        <v>45799.41511389317</v>
      </c>
      <c r="Q35" s="152">
        <f t="shared" si="12"/>
        <v>45084.77039531842</v>
      </c>
      <c r="R35" s="152">
        <f t="shared" si="12"/>
        <v>44381.276846960944</v>
      </c>
      <c r="S35" s="152">
        <f t="shared" si="12"/>
        <v>43688.76046823838</v>
      </c>
      <c r="T35" s="152">
        <f t="shared" si="12"/>
        <v>43007.04997363792</v>
      </c>
      <c r="U35" s="152">
        <f t="shared" si="12"/>
        <v>42335.9767503509</v>
      </c>
      <c r="V35" s="152">
        <f t="shared" si="12"/>
        <v>41675.374816568474</v>
      </c>
      <c r="W35" s="152">
        <f t="shared" si="12"/>
        <v>41025.08078042806</v>
      </c>
      <c r="X35" s="152">
        <f t="shared" si="12"/>
        <v>40384.933799600316</v>
      </c>
      <c r="Y35" s="152">
        <f t="shared" si="12"/>
        <v>39754.775541506744</v>
      </c>
      <c r="Z35" s="152">
        <f t="shared" si="12"/>
        <v>39134.45014415807</v>
      </c>
      <c r="AA35" s="152">
        <f t="shared" si="12"/>
        <v>38523.80417760367</v>
      </c>
      <c r="AB35" s="152">
        <f t="shared" si="12"/>
        <v>37922.68660598252</v>
      </c>
      <c r="AC35" s="152">
        <f t="shared" si="12"/>
        <v>37330.948750166324</v>
      </c>
      <c r="AD35" s="153">
        <f t="shared" si="13"/>
        <v>37330.948750166324</v>
      </c>
    </row>
    <row r="36" spans="1:30" ht="12.75">
      <c r="A36" s="93" t="s">
        <v>51</v>
      </c>
      <c r="B36" s="87">
        <f>'[1]PNW Existing Characteristics'!$C3</f>
        <v>0.08364543018072775</v>
      </c>
      <c r="C36" s="79"/>
      <c r="D36" s="148">
        <f>B36*D14</f>
        <v>404369.19425844675</v>
      </c>
      <c r="E36" s="149">
        <f>SUM(E37:E39)</f>
        <v>398787.6060216462</v>
      </c>
      <c r="F36" s="149">
        <f aca="true" t="shared" si="14" ref="F36:AC36">SUM(F37:F39)</f>
        <v>395336.61867063557</v>
      </c>
      <c r="G36" s="149">
        <f t="shared" si="14"/>
        <v>391919.4421487126</v>
      </c>
      <c r="H36" s="149">
        <f t="shared" si="14"/>
        <v>388535.69374310406</v>
      </c>
      <c r="I36" s="149">
        <f t="shared" si="14"/>
        <v>385184.9956654954</v>
      </c>
      <c r="J36" s="149">
        <f t="shared" si="14"/>
        <v>381866.97498276207</v>
      </c>
      <c r="K36" s="149">
        <f t="shared" si="14"/>
        <v>378581.263548727</v>
      </c>
      <c r="L36" s="149">
        <f t="shared" si="14"/>
        <v>375327.4979369284</v>
      </c>
      <c r="M36" s="149">
        <f t="shared" si="14"/>
        <v>372105.31937438366</v>
      </c>
      <c r="N36" s="149">
        <f t="shared" si="14"/>
        <v>368914.37367633154</v>
      </c>
      <c r="O36" s="149">
        <f t="shared" si="14"/>
        <v>365754.3111819412</v>
      </c>
      <c r="P36" s="149">
        <f t="shared" si="14"/>
        <v>362624.78669097007</v>
      </c>
      <c r="Q36" s="149">
        <f t="shared" si="14"/>
        <v>359525.45940135914</v>
      </c>
      <c r="R36" s="149">
        <f t="shared" si="14"/>
        <v>356455.9928477488</v>
      </c>
      <c r="S36" s="149">
        <f t="shared" si="14"/>
        <v>353416.0548409032</v>
      </c>
      <c r="T36" s="149">
        <f t="shared" si="14"/>
        <v>350405.31740802777</v>
      </c>
      <c r="U36" s="149">
        <f t="shared" si="14"/>
        <v>347423.45673396805</v>
      </c>
      <c r="V36" s="149">
        <f t="shared" si="14"/>
        <v>344470.15310327476</v>
      </c>
      <c r="W36" s="149">
        <f t="shared" si="14"/>
        <v>341545.09084312303</v>
      </c>
      <c r="X36" s="149">
        <f t="shared" si="14"/>
        <v>338647.9582670721</v>
      </c>
      <c r="Y36" s="149">
        <f t="shared" si="14"/>
        <v>335778.447619654</v>
      </c>
      <c r="Z36" s="149">
        <f t="shared" si="14"/>
        <v>332936.2550217767</v>
      </c>
      <c r="AA36" s="149">
        <f t="shared" si="14"/>
        <v>330121.08041693125</v>
      </c>
      <c r="AB36" s="149">
        <f t="shared" si="14"/>
        <v>327332.62751818943</v>
      </c>
      <c r="AC36" s="149">
        <f t="shared" si="14"/>
        <v>324570.6037559805</v>
      </c>
      <c r="AD36" s="150">
        <f t="shared" si="13"/>
        <v>324570.6037559805</v>
      </c>
    </row>
    <row r="37" spans="1:30" ht="12.75">
      <c r="A37" s="94" t="s">
        <v>4</v>
      </c>
      <c r="B37" s="88">
        <f>'[1]PNW Existing Characteristics'!$C4</f>
        <v>0.79264824451558</v>
      </c>
      <c r="C37" s="80">
        <f>C$11</f>
        <v>-0.007229605896719974</v>
      </c>
      <c r="D37" s="20">
        <f>D$36*B37</f>
        <v>320522.5319651374</v>
      </c>
      <c r="E37" s="19">
        <f>D37*(1+$C37)</f>
        <v>318205.28037801065</v>
      </c>
      <c r="F37" s="19">
        <f t="shared" si="12"/>
        <v>315904.78160662233</v>
      </c>
      <c r="G37" s="19">
        <f t="shared" si="12"/>
        <v>313620.91453471704</v>
      </c>
      <c r="H37" s="19">
        <f t="shared" si="12"/>
        <v>311353.55892166216</v>
      </c>
      <c r="I37" s="19">
        <f t="shared" si="12"/>
        <v>309102.59539611737</v>
      </c>
      <c r="J37" s="19">
        <f t="shared" si="12"/>
        <v>306867.90544975013</v>
      </c>
      <c r="K37" s="19">
        <f t="shared" si="12"/>
        <v>304649.3714309965</v>
      </c>
      <c r="L37" s="19">
        <f t="shared" si="12"/>
        <v>302446.87653886696</v>
      </c>
      <c r="M37" s="19">
        <f t="shared" si="12"/>
        <v>300260.304816797</v>
      </c>
      <c r="N37" s="19">
        <f t="shared" si="12"/>
        <v>298089.5411465426</v>
      </c>
      <c r="O37" s="19">
        <f t="shared" si="12"/>
        <v>295934.471242119</v>
      </c>
      <c r="P37" s="19">
        <f t="shared" si="12"/>
        <v>293794.98164378427</v>
      </c>
      <c r="Q37" s="19">
        <f t="shared" si="12"/>
        <v>291670.95971206564</v>
      </c>
      <c r="R37" s="19">
        <f t="shared" si="12"/>
        <v>289562.2936218293</v>
      </c>
      <c r="S37" s="19">
        <f t="shared" si="12"/>
        <v>287468.8723563932</v>
      </c>
      <c r="T37" s="19">
        <f t="shared" si="12"/>
        <v>285390.58570168196</v>
      </c>
      <c r="U37" s="19">
        <f t="shared" si="12"/>
        <v>283327.3242404247</v>
      </c>
      <c r="V37" s="19">
        <f t="shared" si="12"/>
        <v>281278.97934639425</v>
      </c>
      <c r="W37" s="19">
        <f t="shared" si="12"/>
        <v>279245.4431786882</v>
      </c>
      <c r="X37" s="19">
        <f t="shared" si="12"/>
        <v>277226.6086760514</v>
      </c>
      <c r="Y37" s="19">
        <f t="shared" si="12"/>
        <v>275222.3695512393</v>
      </c>
      <c r="Z37" s="19">
        <f t="shared" si="12"/>
        <v>273232.6202854224</v>
      </c>
      <c r="AA37" s="19">
        <f t="shared" si="12"/>
        <v>271257.2561226307</v>
      </c>
      <c r="AB37" s="19">
        <f t="shared" si="12"/>
        <v>269296.17306423845</v>
      </c>
      <c r="AC37" s="19">
        <f t="shared" si="12"/>
        <v>267349.2678634891</v>
      </c>
      <c r="AD37" s="151">
        <f t="shared" si="13"/>
        <v>267349.2678634891</v>
      </c>
    </row>
    <row r="38" spans="1:30" ht="12.75">
      <c r="A38" s="94" t="s">
        <v>58</v>
      </c>
      <c r="B38" s="88">
        <f>'[1]PNW Existing Characteristics'!$C5</f>
        <v>0.031799175300949806</v>
      </c>
      <c r="C38" s="80">
        <f>C$12</f>
        <v>-0.007229633716104819</v>
      </c>
      <c r="D38" s="20">
        <f>D$36*B38</f>
        <v>12858.606894528173</v>
      </c>
      <c r="E38" s="19">
        <f>D38*(1+$C38)</f>
        <v>12765.643876581355</v>
      </c>
      <c r="F38" s="19">
        <f t="shared" si="12"/>
        <v>12673.352947203435</v>
      </c>
      <c r="G38" s="19">
        <f t="shared" si="12"/>
        <v>12581.729247440237</v>
      </c>
      <c r="H38" s="19">
        <f t="shared" si="12"/>
        <v>12490.76795346604</v>
      </c>
      <c r="I38" s="19">
        <f t="shared" si="12"/>
        <v>12400.46427632962</v>
      </c>
      <c r="J38" s="19">
        <f t="shared" si="12"/>
        <v>12310.813461702113</v>
      </c>
      <c r="K38" s="19">
        <f t="shared" si="12"/>
        <v>12221.810789626714</v>
      </c>
      <c r="L38" s="19">
        <f t="shared" si="12"/>
        <v>12133.451574270175</v>
      </c>
      <c r="M38" s="19">
        <f t="shared" si="12"/>
        <v>12045.731163676106</v>
      </c>
      <c r="N38" s="19">
        <f t="shared" si="12"/>
        <v>11958.644939520058</v>
      </c>
      <c r="O38" s="19">
        <f t="shared" si="12"/>
        <v>11872.188316866377</v>
      </c>
      <c r="P38" s="19">
        <f t="shared" si="12"/>
        <v>11786.356743926814</v>
      </c>
      <c r="Q38" s="19">
        <f t="shared" si="12"/>
        <v>11701.14570182088</v>
      </c>
      <c r="R38" s="19">
        <f t="shared" si="12"/>
        <v>11616.55070433794</v>
      </c>
      <c r="S38" s="19">
        <f t="shared" si="12"/>
        <v>11532.567297701016</v>
      </c>
      <c r="T38" s="19">
        <f t="shared" si="12"/>
        <v>11449.191060332309</v>
      </c>
      <c r="U38" s="19">
        <f t="shared" si="12"/>
        <v>11366.417602620404</v>
      </c>
      <c r="V38" s="19">
        <f t="shared" si="12"/>
        <v>11284.242566689172</v>
      </c>
      <c r="W38" s="19">
        <f t="shared" si="12"/>
        <v>11202.66162616833</v>
      </c>
      <c r="X38" s="19">
        <f t="shared" si="12"/>
        <v>11121.67048596567</v>
      </c>
      <c r="Y38" s="19">
        <f t="shared" si="12"/>
        <v>11041.264882040923</v>
      </c>
      <c r="Z38" s="19">
        <f t="shared" si="12"/>
        <v>10961.440581181276</v>
      </c>
      <c r="AA38" s="19">
        <f t="shared" si="12"/>
        <v>10882.193380778488</v>
      </c>
      <c r="AB38" s="19">
        <f t="shared" si="12"/>
        <v>10803.51910860764</v>
      </c>
      <c r="AC38" s="19">
        <f t="shared" si="12"/>
        <v>10725.413622607466</v>
      </c>
      <c r="AD38" s="151">
        <f t="shared" si="13"/>
        <v>10725.413622607466</v>
      </c>
    </row>
    <row r="39" spans="1:30" ht="13.5" thickBot="1">
      <c r="A39" s="95" t="s">
        <v>59</v>
      </c>
      <c r="B39" s="89">
        <f>'[1]PNW Existing Characteristics'!$C6</f>
        <v>0.17036820318609636</v>
      </c>
      <c r="C39" s="82">
        <f>C$13</f>
        <v>-0.015603795742753165</v>
      </c>
      <c r="D39" s="116">
        <f>D$36*B39</f>
        <v>68891.65304962112</v>
      </c>
      <c r="E39" s="152">
        <f>D39*(1+$C39)</f>
        <v>67816.68176705421</v>
      </c>
      <c r="F39" s="152">
        <f t="shared" si="12"/>
        <v>66758.4841168098</v>
      </c>
      <c r="G39" s="152">
        <f t="shared" si="12"/>
        <v>65716.79836655527</v>
      </c>
      <c r="H39" s="152">
        <f t="shared" si="12"/>
        <v>64691.36686797585</v>
      </c>
      <c r="I39" s="152">
        <f t="shared" si="12"/>
        <v>63681.93599304844</v>
      </c>
      <c r="J39" s="152">
        <f t="shared" si="12"/>
        <v>62688.256071309836</v>
      </c>
      <c r="K39" s="152">
        <f t="shared" si="12"/>
        <v>61710.08132810371</v>
      </c>
      <c r="L39" s="152">
        <f t="shared" si="12"/>
        <v>60747.16982379129</v>
      </c>
      <c r="M39" s="152">
        <f t="shared" si="12"/>
        <v>59799.28339391052</v>
      </c>
      <c r="N39" s="152">
        <f t="shared" si="12"/>
        <v>58866.18759026893</v>
      </c>
      <c r="O39" s="152">
        <f t="shared" si="12"/>
        <v>57947.65162295578</v>
      </c>
      <c r="P39" s="152">
        <f t="shared" si="12"/>
        <v>57043.44830325896</v>
      </c>
      <c r="Q39" s="152">
        <f t="shared" si="12"/>
        <v>56153.35398747261</v>
      </c>
      <c r="R39" s="152">
        <f t="shared" si="12"/>
        <v>55277.14852158158</v>
      </c>
      <c r="S39" s="152">
        <f t="shared" si="12"/>
        <v>54414.61518680899</v>
      </c>
      <c r="T39" s="152">
        <f t="shared" si="12"/>
        <v>53565.540646013505</v>
      </c>
      <c r="U39" s="152">
        <f t="shared" si="12"/>
        <v>52729.714890922965</v>
      </c>
      <c r="V39" s="152">
        <f t="shared" si="12"/>
        <v>51906.93119019139</v>
      </c>
      <c r="W39" s="152">
        <f t="shared" si="12"/>
        <v>51096.9860382665</v>
      </c>
      <c r="X39" s="152">
        <f t="shared" si="12"/>
        <v>50299.67910505508</v>
      </c>
      <c r="Y39" s="152">
        <f t="shared" si="12"/>
        <v>49514.81318637377</v>
      </c>
      <c r="Z39" s="152">
        <f t="shared" si="12"/>
        <v>48742.19415517301</v>
      </c>
      <c r="AA39" s="152">
        <f t="shared" si="12"/>
        <v>47981.63091352207</v>
      </c>
      <c r="AB39" s="152">
        <f t="shared" si="12"/>
        <v>47232.9353453433</v>
      </c>
      <c r="AC39" s="152">
        <f t="shared" si="12"/>
        <v>46495.92226988389</v>
      </c>
      <c r="AD39" s="153">
        <f t="shared" si="13"/>
        <v>46495.92226988389</v>
      </c>
    </row>
    <row r="40" spans="1:30" ht="12.75">
      <c r="A40" s="90" t="s">
        <v>6</v>
      </c>
      <c r="B40" s="84">
        <f>'[1]PNW Existing Characteristics'!$D3</f>
        <v>0.2990579338764743</v>
      </c>
      <c r="C40" s="79"/>
      <c r="D40" s="148">
        <f>B40*D14</f>
        <v>1445743.2461873868</v>
      </c>
      <c r="E40" s="149">
        <f>SUM(E41:E43)</f>
        <v>1433758.8519660942</v>
      </c>
      <c r="F40" s="149">
        <f aca="true" t="shared" si="15" ref="F40:AC40">SUM(F41:F43)</f>
        <v>1421885.0089002424</v>
      </c>
      <c r="G40" s="149">
        <f t="shared" si="15"/>
        <v>1410120.5446823551</v>
      </c>
      <c r="H40" s="149">
        <f t="shared" si="15"/>
        <v>1398464.3013015233</v>
      </c>
      <c r="I40" s="149">
        <f t="shared" si="15"/>
        <v>1386915.1348492121</v>
      </c>
      <c r="J40" s="149">
        <f t="shared" si="15"/>
        <v>1375471.9153278905</v>
      </c>
      <c r="K40" s="149">
        <f t="shared" si="15"/>
        <v>1364133.52646244</v>
      </c>
      <c r="L40" s="149">
        <f t="shared" si="15"/>
        <v>1352898.865514298</v>
      </c>
      <c r="M40" s="149">
        <f t="shared" si="15"/>
        <v>1341766.8430983</v>
      </c>
      <c r="N40" s="149">
        <f t="shared" si="15"/>
        <v>1330736.3830021743</v>
      </c>
      <c r="O40" s="149">
        <f t="shared" si="15"/>
        <v>1319806.4220086534</v>
      </c>
      <c r="P40" s="149">
        <f t="shared" si="15"/>
        <v>1308975.9097201598</v>
      </c>
      <c r="Q40" s="149">
        <f t="shared" si="15"/>
        <v>1298243.8083860306</v>
      </c>
      <c r="R40" s="149">
        <f t="shared" si="15"/>
        <v>1287609.0927322395</v>
      </c>
      <c r="S40" s="149">
        <f t="shared" si="15"/>
        <v>1277070.7497935807</v>
      </c>
      <c r="T40" s="149">
        <f t="shared" si="15"/>
        <v>1266627.7787482778</v>
      </c>
      <c r="U40" s="149">
        <f t="shared" si="15"/>
        <v>1256279.1907549787</v>
      </c>
      <c r="V40" s="149">
        <f t="shared" si="15"/>
        <v>1246024.0087921051</v>
      </c>
      <c r="W40" s="149">
        <f t="shared" si="15"/>
        <v>1235861.2674995158</v>
      </c>
      <c r="X40" s="149">
        <f t="shared" si="15"/>
        <v>1225790.0130224559</v>
      </c>
      <c r="Y40" s="149">
        <f t="shared" si="15"/>
        <v>1215809.302857748</v>
      </c>
      <c r="Z40" s="149">
        <f t="shared" si="15"/>
        <v>1205918.2057022045</v>
      </c>
      <c r="AA40" s="149">
        <f t="shared" si="15"/>
        <v>1196115.8013032135</v>
      </c>
      <c r="AB40" s="149">
        <f t="shared" si="15"/>
        <v>1186401.180311479</v>
      </c>
      <c r="AC40" s="149">
        <f t="shared" si="15"/>
        <v>1176773.444135872</v>
      </c>
      <c r="AD40" s="150">
        <f t="shared" si="13"/>
        <v>1176773.444135872</v>
      </c>
    </row>
    <row r="41" spans="1:30" ht="12.75">
      <c r="A41" s="91" t="s">
        <v>4</v>
      </c>
      <c r="B41" s="85">
        <f>'[1]PNW Existing Characteristics'!$D4</f>
        <v>0.7050152358258817</v>
      </c>
      <c r="C41" s="80">
        <f>C$11</f>
        <v>-0.007229605896719974</v>
      </c>
      <c r="D41" s="20">
        <f>D$40*B41</f>
        <v>1019271.0156544762</v>
      </c>
      <c r="E41" s="19">
        <f>D41*(1+$C41)</f>
        <v>1011902.0879093449</v>
      </c>
      <c r="F41" s="19">
        <f t="shared" si="12"/>
        <v>1004586.4346076923</v>
      </c>
      <c r="G41" s="19">
        <f t="shared" si="12"/>
        <v>997323.6705962877</v>
      </c>
      <c r="H41" s="19">
        <f t="shared" si="12"/>
        <v>990113.4135064064</v>
      </c>
      <c r="I41" s="19">
        <f t="shared" si="12"/>
        <v>982955.2837336989</v>
      </c>
      <c r="J41" s="19">
        <f t="shared" si="12"/>
        <v>975848.9044182057</v>
      </c>
      <c r="K41" s="19">
        <f t="shared" si="12"/>
        <v>968793.9014245161</v>
      </c>
      <c r="L41" s="19">
        <f t="shared" si="12"/>
        <v>961789.9033220711</v>
      </c>
      <c r="M41" s="19">
        <f t="shared" si="12"/>
        <v>954836.5413656081</v>
      </c>
      <c r="N41" s="19">
        <f t="shared" si="12"/>
        <v>947933.4494757476</v>
      </c>
      <c r="O41" s="19">
        <f t="shared" si="12"/>
        <v>941080.2642197197</v>
      </c>
      <c r="P41" s="19">
        <f t="shared" si="12"/>
        <v>934276.6247922301</v>
      </c>
      <c r="Q41" s="19">
        <f t="shared" si="12"/>
        <v>927522.1729964645</v>
      </c>
      <c r="R41" s="19">
        <f t="shared" si="12"/>
        <v>920816.5532252308</v>
      </c>
      <c r="S41" s="19">
        <f t="shared" si="12"/>
        <v>914159.4124422363</v>
      </c>
      <c r="T41" s="19">
        <f t="shared" si="12"/>
        <v>907550.4001635019</v>
      </c>
      <c r="U41" s="19">
        <f t="shared" si="12"/>
        <v>900989.1684389092</v>
      </c>
      <c r="V41" s="19">
        <f t="shared" si="12"/>
        <v>894475.3718338825</v>
      </c>
      <c r="W41" s="19">
        <f t="shared" si="12"/>
        <v>888008.6674112015</v>
      </c>
      <c r="X41" s="19">
        <f t="shared" si="12"/>
        <v>881588.714712947</v>
      </c>
      <c r="Y41" s="19">
        <f t="shared" si="12"/>
        <v>875215.1757425766</v>
      </c>
      <c r="Z41" s="19">
        <f t="shared" si="12"/>
        <v>868887.7149471293</v>
      </c>
      <c r="AA41" s="19">
        <f t="shared" si="12"/>
        <v>862605.9991995599</v>
      </c>
      <c r="AB41" s="19">
        <f t="shared" si="12"/>
        <v>856369.6977812008</v>
      </c>
      <c r="AC41" s="19">
        <f t="shared" si="12"/>
        <v>850178.4823643495</v>
      </c>
      <c r="AD41" s="151">
        <f t="shared" si="13"/>
        <v>850178.4823643495</v>
      </c>
    </row>
    <row r="42" spans="1:30" ht="12.75">
      <c r="A42" s="91" t="s">
        <v>58</v>
      </c>
      <c r="B42" s="85">
        <f>'[1]PNW Existing Characteristics'!$D5</f>
        <v>0.16842635916080426</v>
      </c>
      <c r="C42" s="80">
        <f>C$12</f>
        <v>-0.007229633716104819</v>
      </c>
      <c r="D42" s="20">
        <f>D$40*B42</f>
        <v>243501.27123666386</v>
      </c>
      <c r="E42" s="19">
        <f>D42*(1+$C42)</f>
        <v>241740.8462362169</v>
      </c>
      <c r="F42" s="19">
        <f t="shared" si="12"/>
        <v>239993.14846370782</v>
      </c>
      <c r="G42" s="19">
        <f t="shared" si="12"/>
        <v>238258.08590594045</v>
      </c>
      <c r="H42" s="19">
        <f t="shared" si="12"/>
        <v>236535.56721494024</v>
      </c>
      <c r="I42" s="19">
        <f t="shared" si="12"/>
        <v>234825.50170314513</v>
      </c>
      <c r="J42" s="19">
        <f t="shared" si="12"/>
        <v>233127.79933863084</v>
      </c>
      <c r="K42" s="19">
        <f t="shared" si="12"/>
        <v>231442.37074037094</v>
      </c>
      <c r="L42" s="19">
        <f t="shared" si="12"/>
        <v>229769.1271735311</v>
      </c>
      <c r="M42" s="19">
        <f t="shared" si="12"/>
        <v>228107.98054479735</v>
      </c>
      <c r="N42" s="19">
        <f t="shared" si="12"/>
        <v>226458.8433977381</v>
      </c>
      <c r="O42" s="19">
        <f t="shared" si="12"/>
        <v>224821.6289081997</v>
      </c>
      <c r="P42" s="19">
        <f t="shared" si="12"/>
        <v>223196.25087973537</v>
      </c>
      <c r="Q42" s="19">
        <f t="shared" si="12"/>
        <v>221582.62373906703</v>
      </c>
      <c r="R42" s="19">
        <f t="shared" si="12"/>
        <v>219980.6625315801</v>
      </c>
      <c r="S42" s="19">
        <f t="shared" si="12"/>
        <v>218390.2829168507</v>
      </c>
      <c r="T42" s="19">
        <f t="shared" si="12"/>
        <v>216811.40116420537</v>
      </c>
      <c r="U42" s="19">
        <f t="shared" si="12"/>
        <v>215243.9341483127</v>
      </c>
      <c r="V42" s="19">
        <f t="shared" si="12"/>
        <v>213687.799344807</v>
      </c>
      <c r="W42" s="19">
        <f t="shared" si="12"/>
        <v>212142.91482594353</v>
      </c>
      <c r="X42" s="19">
        <f t="shared" si="12"/>
        <v>210609.19925628512</v>
      </c>
      <c r="Y42" s="19">
        <f t="shared" si="12"/>
        <v>209086.57188842003</v>
      </c>
      <c r="Z42" s="19">
        <f t="shared" si="12"/>
        <v>207574.95255871073</v>
      </c>
      <c r="AA42" s="19">
        <f t="shared" si="12"/>
        <v>206074.26168307342</v>
      </c>
      <c r="AB42" s="19">
        <f t="shared" si="12"/>
        <v>204584.42025278806</v>
      </c>
      <c r="AC42" s="19">
        <f t="shared" si="12"/>
        <v>203105.34983033873</v>
      </c>
      <c r="AD42" s="151">
        <f t="shared" si="13"/>
        <v>203105.34983033873</v>
      </c>
    </row>
    <row r="43" spans="1:30" ht="13.5" thickBot="1">
      <c r="A43" s="92" t="s">
        <v>59</v>
      </c>
      <c r="B43" s="86">
        <f>'[1]PNW Existing Characteristics'!$D6</f>
        <v>0.12655840501331395</v>
      </c>
      <c r="C43" s="82">
        <f>C$13</f>
        <v>-0.015603795742753165</v>
      </c>
      <c r="D43" s="116">
        <f>D$40*B43</f>
        <v>182970.95929624655</v>
      </c>
      <c r="E43" s="152">
        <f>D43*(1+$C43)</f>
        <v>180115.9178205323</v>
      </c>
      <c r="F43" s="152">
        <f t="shared" si="12"/>
        <v>177305.4258288422</v>
      </c>
      <c r="G43" s="152">
        <f t="shared" si="12"/>
        <v>174538.7881801271</v>
      </c>
      <c r="H43" s="152">
        <f t="shared" si="12"/>
        <v>171815.32058017675</v>
      </c>
      <c r="I43" s="152">
        <f t="shared" si="12"/>
        <v>169134.34941236803</v>
      </c>
      <c r="J43" s="152">
        <f t="shared" si="12"/>
        <v>166495.21157105398</v>
      </c>
      <c r="K43" s="152">
        <f t="shared" si="12"/>
        <v>163897.25429755278</v>
      </c>
      <c r="L43" s="152">
        <f t="shared" si="12"/>
        <v>161339.83501869568</v>
      </c>
      <c r="M43" s="152">
        <f t="shared" si="12"/>
        <v>158822.32118789447</v>
      </c>
      <c r="N43" s="152">
        <f t="shared" si="12"/>
        <v>156344.09012868864</v>
      </c>
      <c r="O43" s="152">
        <f t="shared" si="12"/>
        <v>153904.528880734</v>
      </c>
      <c r="P43" s="152">
        <f t="shared" si="12"/>
        <v>151503.03404819436</v>
      </c>
      <c r="Q43" s="152">
        <f t="shared" si="12"/>
        <v>149139.01165049896</v>
      </c>
      <c r="R43" s="152">
        <f t="shared" si="12"/>
        <v>146811.8769754285</v>
      </c>
      <c r="S43" s="152">
        <f t="shared" si="12"/>
        <v>144521.0544344937</v>
      </c>
      <c r="T43" s="152">
        <f t="shared" si="12"/>
        <v>142265.97742057056</v>
      </c>
      <c r="U43" s="152">
        <f t="shared" si="12"/>
        <v>140046.08816775685</v>
      </c>
      <c r="V43" s="152">
        <f t="shared" si="12"/>
        <v>137860.83761341558</v>
      </c>
      <c r="W43" s="152">
        <f t="shared" si="12"/>
        <v>135709.68526237097</v>
      </c>
      <c r="X43" s="152">
        <f t="shared" si="12"/>
        <v>133592.09905322362</v>
      </c>
      <c r="Y43" s="152">
        <f t="shared" si="12"/>
        <v>131507.55522675146</v>
      </c>
      <c r="Z43" s="152">
        <f t="shared" si="12"/>
        <v>129455.5381963644</v>
      </c>
      <c r="AA43" s="152">
        <f t="shared" si="12"/>
        <v>127435.54042058015</v>
      </c>
      <c r="AB43" s="152">
        <f t="shared" si="12"/>
        <v>125447.06227749005</v>
      </c>
      <c r="AC43" s="152">
        <f t="shared" si="12"/>
        <v>123489.61194118367</v>
      </c>
      <c r="AD43" s="153">
        <f t="shared" si="13"/>
        <v>123489.61194118367</v>
      </c>
    </row>
    <row r="44" spans="1:30" ht="12.75">
      <c r="A44" s="96" t="s">
        <v>7</v>
      </c>
      <c r="B44" s="88">
        <f>'[1]PNW Existing Characteristics'!$E3</f>
        <v>0.5065649802942168</v>
      </c>
      <c r="C44" s="79"/>
      <c r="D44" s="154">
        <f>B44*D14</f>
        <v>2448899.74836084</v>
      </c>
      <c r="E44" s="155">
        <f>SUM(E45:E47)</f>
        <v>2422924.3807037603</v>
      </c>
      <c r="F44" s="155">
        <f aca="true" t="shared" si="16" ref="F44:AC44">SUM(F45:F47)</f>
        <v>2404227.6219675685</v>
      </c>
      <c r="G44" s="155">
        <f t="shared" si="16"/>
        <v>2385684.4453681214</v>
      </c>
      <c r="H44" s="155">
        <f t="shared" si="16"/>
        <v>2367293.4532715073</v>
      </c>
      <c r="I44" s="155">
        <f t="shared" si="16"/>
        <v>2349053.2626310573</v>
      </c>
      <c r="J44" s="155">
        <f t="shared" si="16"/>
        <v>2330962.5048119295</v>
      </c>
      <c r="K44" s="155">
        <f t="shared" si="16"/>
        <v>2313019.825418064</v>
      </c>
      <c r="L44" s="155">
        <f t="shared" si="16"/>
        <v>2295223.884121452</v>
      </c>
      <c r="M44" s="155">
        <f t="shared" si="16"/>
        <v>2277573.354493709</v>
      </c>
      <c r="N44" s="155">
        <f t="shared" si="16"/>
        <v>2260066.923839896</v>
      </c>
      <c r="O44" s="155">
        <f t="shared" si="16"/>
        <v>2242703.2930345736</v>
      </c>
      <c r="P44" s="155">
        <f t="shared" si="16"/>
        <v>2225481.1763600484</v>
      </c>
      <c r="Q44" s="155">
        <f t="shared" si="16"/>
        <v>2208399.301346781</v>
      </c>
      <c r="R44" s="155">
        <f t="shared" si="16"/>
        <v>2191456.408615928</v>
      </c>
      <c r="S44" s="155">
        <f t="shared" si="16"/>
        <v>2174651.2517239815</v>
      </c>
      <c r="T44" s="155">
        <f t="shared" si="16"/>
        <v>2157982.5970094823</v>
      </c>
      <c r="U44" s="155">
        <f t="shared" si="16"/>
        <v>2141449.223441773</v>
      </c>
      <c r="V44" s="155">
        <f t="shared" si="16"/>
        <v>2125049.9224717612</v>
      </c>
      <c r="W44" s="155">
        <f t="shared" si="16"/>
        <v>2108783.4978846675</v>
      </c>
      <c r="X44" s="155">
        <f t="shared" si="16"/>
        <v>2092648.7656547253</v>
      </c>
      <c r="Y44" s="155">
        <f t="shared" si="16"/>
        <v>2076644.553801811</v>
      </c>
      <c r="Z44" s="155">
        <f t="shared" si="16"/>
        <v>2060769.7022499675</v>
      </c>
      <c r="AA44" s="155">
        <f t="shared" si="16"/>
        <v>2045023.0626878026</v>
      </c>
      <c r="AB44" s="155">
        <f t="shared" si="16"/>
        <v>2029403.4984307326</v>
      </c>
      <c r="AC44" s="155">
        <f t="shared" si="16"/>
        <v>2013909.8842850414</v>
      </c>
      <c r="AD44" s="156">
        <f t="shared" si="13"/>
        <v>2013909.8842850414</v>
      </c>
    </row>
    <row r="45" spans="1:30" ht="12.75">
      <c r="A45" s="94" t="s">
        <v>4</v>
      </c>
      <c r="B45" s="88">
        <f>'[1]PNW Existing Characteristics'!$E4</f>
        <v>0.803169832943577</v>
      </c>
      <c r="C45" s="80">
        <f>C$11</f>
        <v>-0.007229605896719974</v>
      </c>
      <c r="D45" s="20">
        <f>D$44*B45</f>
        <v>1966882.401786544</v>
      </c>
      <c r="E45" s="19">
        <f>D45*(1+$C45)</f>
        <v>1952662.617176433</v>
      </c>
      <c r="F45" s="19">
        <f t="shared" si="12"/>
        <v>1938545.6360049897</v>
      </c>
      <c r="G45" s="19">
        <f t="shared" si="12"/>
        <v>1924530.7150438672</v>
      </c>
      <c r="H45" s="19">
        <f t="shared" si="12"/>
        <v>1910617.1164379674</v>
      </c>
      <c r="I45" s="19">
        <f t="shared" si="12"/>
        <v>1896804.1076665935</v>
      </c>
      <c r="J45" s="19">
        <f t="shared" si="12"/>
        <v>1883090.9615048845</v>
      </c>
      <c r="K45" s="19">
        <f t="shared" si="12"/>
        <v>1869476.9559855289</v>
      </c>
      <c r="L45" s="19">
        <f t="shared" si="12"/>
        <v>1855961.374360754</v>
      </c>
      <c r="M45" s="19">
        <f t="shared" si="12"/>
        <v>1842543.505064591</v>
      </c>
      <c r="N45" s="19">
        <f t="shared" si="12"/>
        <v>1829222.6416754131</v>
      </c>
      <c r="O45" s="19">
        <f t="shared" si="12"/>
        <v>1815998.0828787428</v>
      </c>
      <c r="P45" s="19">
        <f t="shared" si="12"/>
        <v>1802869.1324303306</v>
      </c>
      <c r="Q45" s="19">
        <f t="shared" si="12"/>
        <v>1789835.099119498</v>
      </c>
      <c r="R45" s="19">
        <f t="shared" si="12"/>
        <v>1776895.2967327472</v>
      </c>
      <c r="S45" s="19">
        <f t="shared" si="12"/>
        <v>1764049.0440176341</v>
      </c>
      <c r="T45" s="19">
        <f t="shared" si="12"/>
        <v>1751295.664646901</v>
      </c>
      <c r="U45" s="19">
        <f t="shared" si="12"/>
        <v>1738634.4871828696</v>
      </c>
      <c r="V45" s="19">
        <f t="shared" si="12"/>
        <v>1726064.8450420916</v>
      </c>
      <c r="W45" s="19">
        <f t="shared" si="12"/>
        <v>1713586.0764602541</v>
      </c>
      <c r="X45" s="19">
        <f t="shared" si="12"/>
        <v>1701197.52445734</v>
      </c>
      <c r="Y45" s="19">
        <f t="shared" si="12"/>
        <v>1688898.5368030376</v>
      </c>
      <c r="Z45" s="19">
        <f t="shared" si="12"/>
        <v>1676688.4659824048</v>
      </c>
      <c r="AA45" s="19">
        <f t="shared" si="12"/>
        <v>1664566.669161776</v>
      </c>
      <c r="AB45" s="19">
        <f t="shared" si="12"/>
        <v>1652532.5081549205</v>
      </c>
      <c r="AC45" s="19">
        <f t="shared" si="12"/>
        <v>1640585.3493894422</v>
      </c>
      <c r="AD45" s="151">
        <f t="shared" si="13"/>
        <v>1640585.3493894422</v>
      </c>
    </row>
    <row r="46" spans="1:30" ht="12.75">
      <c r="A46" s="94" t="s">
        <v>58</v>
      </c>
      <c r="B46" s="88">
        <f>'[1]PNW Existing Characteristics'!$E5</f>
        <v>0.1354713348736597</v>
      </c>
      <c r="C46" s="80">
        <f>C$12</f>
        <v>-0.007229633716104819</v>
      </c>
      <c r="D46" s="20">
        <f>D$44*B46</f>
        <v>331755.71788221237</v>
      </c>
      <c r="E46" s="19">
        <f>D46*(1+$C46)</f>
        <v>329357.2455587006</v>
      </c>
      <c r="F46" s="19">
        <f t="shared" si="12"/>
        <v>326976.11331156595</v>
      </c>
      <c r="G46" s="19">
        <f t="shared" si="12"/>
        <v>324612.19577840774</v>
      </c>
      <c r="H46" s="19">
        <f t="shared" si="12"/>
        <v>322265.3685031493</v>
      </c>
      <c r="I46" s="19">
        <f t="shared" si="12"/>
        <v>319935.507929486</v>
      </c>
      <c r="J46" s="19">
        <f t="shared" si="12"/>
        <v>317622.4913943799</v>
      </c>
      <c r="K46" s="19">
        <f t="shared" si="12"/>
        <v>315326.19712160184</v>
      </c>
      <c r="L46" s="19">
        <f t="shared" si="12"/>
        <v>313046.5042153204</v>
      </c>
      <c r="M46" s="19">
        <f t="shared" si="12"/>
        <v>310783.29265373654</v>
      </c>
      <c r="N46" s="19">
        <f t="shared" si="12"/>
        <v>308536.443282765</v>
      </c>
      <c r="O46" s="19">
        <f t="shared" si="12"/>
        <v>306305.8378097608</v>
      </c>
      <c r="P46" s="19">
        <f t="shared" si="12"/>
        <v>304091.35879729164</v>
      </c>
      <c r="Q46" s="19">
        <f t="shared" si="12"/>
        <v>301892.8896569546</v>
      </c>
      <c r="R46" s="19">
        <f t="shared" si="12"/>
        <v>299710.3146432384</v>
      </c>
      <c r="S46" s="19">
        <f t="shared" si="12"/>
        <v>297543.51884742925</v>
      </c>
      <c r="T46" s="19">
        <f t="shared" si="12"/>
        <v>295392.3881915614</v>
      </c>
      <c r="U46" s="19">
        <f t="shared" si="12"/>
        <v>293256.80942241097</v>
      </c>
      <c r="V46" s="19">
        <f t="shared" si="12"/>
        <v>291136.6701055334</v>
      </c>
      <c r="W46" s="19">
        <f t="shared" si="12"/>
        <v>289031.8586193439</v>
      </c>
      <c r="X46" s="19">
        <f t="shared" si="12"/>
        <v>286942.26414924103</v>
      </c>
      <c r="Y46" s="19">
        <f t="shared" si="12"/>
        <v>284867.7766817722</v>
      </c>
      <c r="Z46" s="19">
        <f t="shared" si="12"/>
        <v>282808.28699884185</v>
      </c>
      <c r="AA46" s="19">
        <f t="shared" si="12"/>
        <v>280763.68667196116</v>
      </c>
      <c r="AB46" s="19">
        <f t="shared" si="12"/>
        <v>278733.8680565396</v>
      </c>
      <c r="AC46" s="19">
        <f t="shared" si="12"/>
        <v>276718.72428621777</v>
      </c>
      <c r="AD46" s="151">
        <f t="shared" si="13"/>
        <v>276718.72428621777</v>
      </c>
    </row>
    <row r="47" spans="1:30" ht="13.5" thickBot="1">
      <c r="A47" s="94" t="s">
        <v>59</v>
      </c>
      <c r="B47" s="88">
        <f>'[1]PNW Existing Characteristics'!$E6</f>
        <v>0.058449928137198584</v>
      </c>
      <c r="C47" s="82">
        <f>C$13</f>
        <v>-0.015603795742753165</v>
      </c>
      <c r="D47" s="20">
        <f>D$44*B47</f>
        <v>143138.0143068948</v>
      </c>
      <c r="E47" s="19">
        <f>D47*(1+$C47)</f>
        <v>140904.51796862672</v>
      </c>
      <c r="F47" s="19">
        <f t="shared" si="12"/>
        <v>138705.87265101317</v>
      </c>
      <c r="G47" s="19">
        <f t="shared" si="12"/>
        <v>136541.53454584643</v>
      </c>
      <c r="H47" s="19">
        <f t="shared" si="12"/>
        <v>134410.96833039096</v>
      </c>
      <c r="I47" s="19">
        <f t="shared" si="12"/>
        <v>132313.64703497788</v>
      </c>
      <c r="J47" s="19">
        <f t="shared" si="12"/>
        <v>130249.05191266535</v>
      </c>
      <c r="K47" s="19">
        <f t="shared" si="12"/>
        <v>128216.67231093287</v>
      </c>
      <c r="L47" s="19">
        <f aca="true" t="shared" si="17" ref="F47:AC51">K47*(1+$C47)</f>
        <v>126216.00554537756</v>
      </c>
      <c r="M47" s="19">
        <f t="shared" si="17"/>
        <v>124246.55677538128</v>
      </c>
      <c r="N47" s="19">
        <f t="shared" si="17"/>
        <v>122307.83888171785</v>
      </c>
      <c r="O47" s="19">
        <f t="shared" si="17"/>
        <v>120399.37234606995</v>
      </c>
      <c r="P47" s="19">
        <f t="shared" si="17"/>
        <v>118520.6851324262</v>
      </c>
      <c r="Q47" s="19">
        <f t="shared" si="17"/>
        <v>116671.31257032865</v>
      </c>
      <c r="R47" s="19">
        <f t="shared" si="17"/>
        <v>114850.79723994233</v>
      </c>
      <c r="S47" s="19">
        <f t="shared" si="17"/>
        <v>113058.68885891791</v>
      </c>
      <c r="T47" s="19">
        <f t="shared" si="17"/>
        <v>111294.54417101988</v>
      </c>
      <c r="U47" s="19">
        <f t="shared" si="17"/>
        <v>109557.92683649246</v>
      </c>
      <c r="V47" s="19">
        <f t="shared" si="17"/>
        <v>107848.40732413634</v>
      </c>
      <c r="W47" s="19">
        <f t="shared" si="17"/>
        <v>106165.56280506928</v>
      </c>
      <c r="X47" s="19">
        <f t="shared" si="17"/>
        <v>104508.97704814454</v>
      </c>
      <c r="Y47" s="19">
        <f t="shared" si="17"/>
        <v>102878.24031700121</v>
      </c>
      <c r="Z47" s="19">
        <f t="shared" si="17"/>
        <v>101272.94926872085</v>
      </c>
      <c r="AA47" s="19">
        <f t="shared" si="17"/>
        <v>99692.70685406553</v>
      </c>
      <c r="AB47" s="19">
        <f t="shared" si="17"/>
        <v>98137.12221927253</v>
      </c>
      <c r="AC47" s="19">
        <f t="shared" si="17"/>
        <v>96605.8106093814</v>
      </c>
      <c r="AD47" s="151">
        <f t="shared" si="13"/>
        <v>96605.8106093814</v>
      </c>
    </row>
    <row r="48" spans="1:30" ht="12.75">
      <c r="A48" s="90" t="s">
        <v>55</v>
      </c>
      <c r="B48" s="84">
        <f>'[1]PNW Existing Characteristics'!$F3</f>
        <v>1</v>
      </c>
      <c r="C48" s="79"/>
      <c r="D48" s="148">
        <f>B48*D14</f>
        <v>4834325.000000001</v>
      </c>
      <c r="E48" s="149">
        <f>SUM(E49:E51)</f>
        <v>4795506.659049205</v>
      </c>
      <c r="F48" s="149">
        <f aca="true" t="shared" si="18" ref="F48:AC48">SUM(F49:F51)</f>
        <v>4757029.315900397</v>
      </c>
      <c r="G48" s="149">
        <f t="shared" si="18"/>
        <v>4718889.563484728</v>
      </c>
      <c r="H48" s="149">
        <f t="shared" si="18"/>
        <v>4681084.03406059</v>
      </c>
      <c r="I48" s="149">
        <f t="shared" si="18"/>
        <v>4643609.398699986</v>
      </c>
      <c r="J48" s="149">
        <f t="shared" si="18"/>
        <v>4606462.366782204</v>
      </c>
      <c r="K48" s="149">
        <f t="shared" si="18"/>
        <v>4569639.685494661</v>
      </c>
      <c r="L48" s="149">
        <f t="shared" si="18"/>
        <v>4533138.139340827</v>
      </c>
      <c r="M48" s="149">
        <f t="shared" si="18"/>
        <v>4496954.549655122</v>
      </c>
      <c r="N48" s="149">
        <f t="shared" si="18"/>
        <v>4461085.774124677</v>
      </c>
      <c r="O48" s="149">
        <f t="shared" si="18"/>
        <v>4425528.706317862</v>
      </c>
      <c r="P48" s="149">
        <f t="shared" si="18"/>
        <v>4390280.275219474</v>
      </c>
      <c r="Q48" s="149">
        <f t="shared" si="18"/>
        <v>4355337.444772501</v>
      </c>
      <c r="R48" s="149">
        <f t="shared" si="18"/>
        <v>4320697.213426338</v>
      </c>
      <c r="S48" s="149">
        <f t="shared" si="18"/>
        <v>4286356.6136913905</v>
      </c>
      <c r="T48" s="149">
        <f t="shared" si="18"/>
        <v>4252312.711699949</v>
      </c>
      <c r="U48" s="149">
        <f t="shared" si="18"/>
        <v>4218562.606773239</v>
      </c>
      <c r="V48" s="149">
        <f t="shared" si="18"/>
        <v>4185103.430994582</v>
      </c>
      <c r="W48" s="149">
        <f t="shared" si="18"/>
        <v>4151932.3487885445</v>
      </c>
      <c r="X48" s="149">
        <f t="shared" si="18"/>
        <v>4119046.556506005</v>
      </c>
      <c r="Y48" s="149">
        <f t="shared" si="18"/>
        <v>4086443.282015049</v>
      </c>
      <c r="Z48" s="149">
        <f t="shared" si="18"/>
        <v>4054119.7842975985</v>
      </c>
      <c r="AA48" s="149">
        <f t="shared" si="18"/>
        <v>4022073.353051703</v>
      </c>
      <c r="AB48" s="149">
        <f t="shared" si="18"/>
        <v>3990301.308299396</v>
      </c>
      <c r="AC48" s="149">
        <f t="shared" si="18"/>
        <v>3958801.0000000447</v>
      </c>
      <c r="AD48" s="150">
        <f t="shared" si="13"/>
        <v>3958801.0000000447</v>
      </c>
    </row>
    <row r="49" spans="1:30" ht="12.75">
      <c r="A49" s="91" t="s">
        <v>4</v>
      </c>
      <c r="B49" s="256">
        <f>'[2]Summary for 5th Plan'!$B$8</f>
        <v>0.7454366431714873</v>
      </c>
      <c r="C49" s="80">
        <f>C$11</f>
        <v>-0.007229605896719974</v>
      </c>
      <c r="D49" s="20">
        <f>D$48*B49</f>
        <v>3603683.000000001</v>
      </c>
      <c r="E49" s="19">
        <f>D49*(1+$C49)</f>
        <v>3577629.7921332917</v>
      </c>
      <c r="F49" s="19">
        <f t="shared" si="17"/>
        <v>3551764.9386918037</v>
      </c>
      <c r="G49" s="19">
        <f t="shared" si="17"/>
        <v>3526087.0779472743</v>
      </c>
      <c r="H49" s="19">
        <f t="shared" si="17"/>
        <v>3500594.8580161985</v>
      </c>
      <c r="I49" s="19">
        <f t="shared" si="17"/>
        <v>3475286.936788657</v>
      </c>
      <c r="J49" s="19">
        <f t="shared" si="17"/>
        <v>3450161.981857656</v>
      </c>
      <c r="K49" s="19">
        <f t="shared" si="17"/>
        <v>3425218.670448979</v>
      </c>
      <c r="L49" s="19">
        <f t="shared" si="17"/>
        <v>3400455.6893515456</v>
      </c>
      <c r="M49" s="19">
        <f t="shared" si="17"/>
        <v>3375871.734848275</v>
      </c>
      <c r="N49" s="19">
        <f t="shared" si="17"/>
        <v>3351465.512647446</v>
      </c>
      <c r="O49" s="19">
        <f t="shared" si="17"/>
        <v>3327235.7378145563</v>
      </c>
      <c r="P49" s="19">
        <f t="shared" si="17"/>
        <v>3303181.134704675</v>
      </c>
      <c r="Q49" s="19">
        <f t="shared" si="17"/>
        <v>3279300.43689528</v>
      </c>
      <c r="R49" s="19">
        <f t="shared" si="17"/>
        <v>3255592.3871195856</v>
      </c>
      <c r="S49" s="19">
        <f t="shared" si="17"/>
        <v>3232055.737200349</v>
      </c>
      <c r="T49" s="19">
        <f t="shared" si="17"/>
        <v>3208689.247984158</v>
      </c>
      <c r="U49" s="19">
        <f t="shared" si="17"/>
        <v>3185491.6892761895</v>
      </c>
      <c r="V49" s="19">
        <f t="shared" si="17"/>
        <v>3162461.839775446</v>
      </c>
      <c r="W49" s="19">
        <f t="shared" si="17"/>
        <v>3139598.4870104534</v>
      </c>
      <c r="X49" s="19">
        <f t="shared" si="17"/>
        <v>3116900.4272754295</v>
      </c>
      <c r="Y49" s="19">
        <f t="shared" si="17"/>
        <v>3094366.4655669103</v>
      </c>
      <c r="Z49" s="19">
        <f t="shared" si="17"/>
        <v>3071995.415520835</v>
      </c>
      <c r="AA49" s="19">
        <f t="shared" si="17"/>
        <v>3049786.099350089</v>
      </c>
      <c r="AB49" s="19">
        <f t="shared" si="17"/>
        <v>3027737.347782493</v>
      </c>
      <c r="AC49" s="19">
        <f t="shared" si="17"/>
        <v>3005847.9999992456</v>
      </c>
      <c r="AD49" s="151">
        <f t="shared" si="13"/>
        <v>3005847.9999992456</v>
      </c>
    </row>
    <row r="50" spans="1:30" ht="12.75">
      <c r="A50" s="91" t="s">
        <v>58</v>
      </c>
      <c r="B50" s="165">
        <f>'[2]Summary for 5th Plan'!$B$9</f>
        <v>0.15901702926468536</v>
      </c>
      <c r="C50" s="80">
        <f>C$12</f>
        <v>-0.007229633716104819</v>
      </c>
      <c r="D50" s="20">
        <f>D$48*B50</f>
        <v>768740.0000000002</v>
      </c>
      <c r="E50" s="19">
        <f>D50*(1+$C50)</f>
        <v>763182.2913770818</v>
      </c>
      <c r="F50" s="19">
        <f t="shared" si="17"/>
        <v>757664.7629518078</v>
      </c>
      <c r="G50" s="19">
        <f t="shared" si="17"/>
        <v>752187.1242360668</v>
      </c>
      <c r="H50" s="19">
        <f t="shared" si="17"/>
        <v>746749.0868418698</v>
      </c>
      <c r="I50" s="19">
        <f t="shared" si="17"/>
        <v>741350.3644661673</v>
      </c>
      <c r="J50" s="19">
        <f t="shared" si="17"/>
        <v>735990.6728757761</v>
      </c>
      <c r="K50" s="19">
        <f t="shared" si="17"/>
        <v>730669.7298924146</v>
      </c>
      <c r="L50" s="19">
        <f t="shared" si="17"/>
        <v>725387.2553778472</v>
      </c>
      <c r="M50" s="19">
        <f t="shared" si="17"/>
        <v>720142.9712191347</v>
      </c>
      <c r="N50" s="19">
        <f t="shared" si="17"/>
        <v>714936.601313993</v>
      </c>
      <c r="O50" s="19">
        <f t="shared" si="17"/>
        <v>709767.871556256</v>
      </c>
      <c r="P50" s="19">
        <f t="shared" si="17"/>
        <v>704636.5098214449</v>
      </c>
      <c r="Q50" s="19">
        <f t="shared" si="17"/>
        <v>699542.2459524412</v>
      </c>
      <c r="R50" s="19">
        <f t="shared" si="17"/>
        <v>694484.8117452638</v>
      </c>
      <c r="S50" s="19">
        <f t="shared" si="17"/>
        <v>689463.9409349475</v>
      </c>
      <c r="T50" s="19">
        <f t="shared" si="17"/>
        <v>684479.3691815257</v>
      </c>
      <c r="U50" s="19">
        <f t="shared" si="17"/>
        <v>679530.8340561127</v>
      </c>
      <c r="V50" s="19">
        <f t="shared" si="17"/>
        <v>674618.0750270877</v>
      </c>
      <c r="W50" s="19">
        <f t="shared" si="17"/>
        <v>669740.8334463781</v>
      </c>
      <c r="X50" s="19">
        <f t="shared" si="17"/>
        <v>664898.852535842</v>
      </c>
      <c r="Y50" s="19">
        <f t="shared" si="17"/>
        <v>660091.8773737494</v>
      </c>
      <c r="Z50" s="19">
        <f t="shared" si="17"/>
        <v>655319.6548813612</v>
      </c>
      <c r="AA50" s="19">
        <f t="shared" si="17"/>
        <v>650581.9338096047</v>
      </c>
      <c r="AB50" s="19">
        <f t="shared" si="17"/>
        <v>645878.4647258461</v>
      </c>
      <c r="AC50" s="19">
        <f t="shared" si="17"/>
        <v>641209.0000007581</v>
      </c>
      <c r="AD50" s="151">
        <f t="shared" si="13"/>
        <v>641209.0000007581</v>
      </c>
    </row>
    <row r="51" spans="1:30" ht="13.5" thickBot="1">
      <c r="A51" s="92" t="s">
        <v>59</v>
      </c>
      <c r="B51" s="262">
        <f>'[2]Summary for 5th Plan'!$B$10</f>
        <v>0.09554632756382742</v>
      </c>
      <c r="C51" s="82">
        <f>C$13</f>
        <v>-0.015603795742753165</v>
      </c>
      <c r="D51" s="116">
        <f>D$48*B51</f>
        <v>461902.00000000006</v>
      </c>
      <c r="E51" s="152">
        <f>D51*(1+$C51)</f>
        <v>454694.5755388309</v>
      </c>
      <c r="F51" s="152">
        <f t="shared" si="17"/>
        <v>447599.61425678513</v>
      </c>
      <c r="G51" s="152">
        <f t="shared" si="17"/>
        <v>440615.36130138714</v>
      </c>
      <c r="H51" s="152">
        <f t="shared" si="17"/>
        <v>433740.0892025209</v>
      </c>
      <c r="I51" s="152">
        <f t="shared" si="17"/>
        <v>426972.09744516126</v>
      </c>
      <c r="J51" s="152">
        <f t="shared" si="17"/>
        <v>420309.7120487721</v>
      </c>
      <c r="K51" s="152">
        <f t="shared" si="17"/>
        <v>413751.2851532676</v>
      </c>
      <c r="L51" s="152">
        <f t="shared" si="17"/>
        <v>407295.1946114344</v>
      </c>
      <c r="M51" s="152">
        <f t="shared" si="17"/>
        <v>400939.8435877127</v>
      </c>
      <c r="N51" s="152">
        <f t="shared" si="17"/>
        <v>394683.6601632386</v>
      </c>
      <c r="O51" s="152">
        <f t="shared" si="17"/>
        <v>388525.0969470492</v>
      </c>
      <c r="P51" s="152">
        <f t="shared" si="17"/>
        <v>382462.63069335406</v>
      </c>
      <c r="Q51" s="152">
        <f t="shared" si="17"/>
        <v>376494.7619247789</v>
      </c>
      <c r="R51" s="152">
        <f t="shared" si="17"/>
        <v>370620.0145614882</v>
      </c>
      <c r="S51" s="152">
        <f t="shared" si="17"/>
        <v>364836.9355560945</v>
      </c>
      <c r="T51" s="152">
        <f t="shared" si="17"/>
        <v>359144.0945342652</v>
      </c>
      <c r="U51" s="152">
        <f t="shared" si="17"/>
        <v>353540.0834409365</v>
      </c>
      <c r="V51" s="152">
        <f t="shared" si="17"/>
        <v>348023.5161920482</v>
      </c>
      <c r="W51" s="152">
        <f t="shared" si="17"/>
        <v>342593.02833171276</v>
      </c>
      <c r="X51" s="152">
        <f t="shared" si="17"/>
        <v>337247.2766947335</v>
      </c>
      <c r="Y51" s="152">
        <f t="shared" si="17"/>
        <v>331984.9390743891</v>
      </c>
      <c r="Z51" s="152">
        <f t="shared" si="17"/>
        <v>326804.713895402</v>
      </c>
      <c r="AA51" s="152">
        <f t="shared" si="17"/>
        <v>321705.31989200925</v>
      </c>
      <c r="AB51" s="152">
        <f t="shared" si="17"/>
        <v>316685.4957910573</v>
      </c>
      <c r="AC51" s="152">
        <f t="shared" si="17"/>
        <v>311744.0000000411</v>
      </c>
      <c r="AD51" s="153">
        <f t="shared" si="13"/>
        <v>311744.0000000411</v>
      </c>
    </row>
    <row r="52" spans="1:2" ht="12.75">
      <c r="A52" s="72"/>
      <c r="B52" s="73"/>
    </row>
    <row r="53" spans="1:2" ht="13.5" thickBot="1">
      <c r="A53" s="72"/>
      <c r="B53" s="73"/>
    </row>
    <row r="54" spans="1:31" ht="64.5" thickBot="1">
      <c r="A54" s="144" t="s">
        <v>61</v>
      </c>
      <c r="B54" s="131" t="s">
        <v>48</v>
      </c>
      <c r="C54" s="147" t="s">
        <v>35</v>
      </c>
      <c r="D54" s="146">
        <v>2000</v>
      </c>
      <c r="E54" s="125">
        <v>2001</v>
      </c>
      <c r="F54" s="125">
        <v>2002</v>
      </c>
      <c r="G54" s="125">
        <v>2003</v>
      </c>
      <c r="H54" s="125">
        <v>2004</v>
      </c>
      <c r="I54" s="125">
        <v>2005</v>
      </c>
      <c r="J54" s="125">
        <v>2006</v>
      </c>
      <c r="K54" s="125">
        <v>2007</v>
      </c>
      <c r="L54" s="125">
        <v>2008</v>
      </c>
      <c r="M54" s="125">
        <v>2009</v>
      </c>
      <c r="N54" s="125">
        <v>2010</v>
      </c>
      <c r="O54" s="125">
        <v>2011</v>
      </c>
      <c r="P54" s="125">
        <v>2012</v>
      </c>
      <c r="Q54" s="125">
        <v>2013</v>
      </c>
      <c r="R54" s="125">
        <v>2014</v>
      </c>
      <c r="S54" s="125">
        <v>2015</v>
      </c>
      <c r="T54" s="125">
        <v>2016</v>
      </c>
      <c r="U54" s="125">
        <v>2017</v>
      </c>
      <c r="V54" s="125">
        <v>2018</v>
      </c>
      <c r="W54" s="125">
        <v>2019</v>
      </c>
      <c r="X54" s="125">
        <v>2020</v>
      </c>
      <c r="Y54" s="125">
        <v>2021</v>
      </c>
      <c r="Z54" s="125">
        <v>2022</v>
      </c>
      <c r="AA54" s="125">
        <v>2023</v>
      </c>
      <c r="AB54" s="125">
        <v>2024</v>
      </c>
      <c r="AC54" s="126">
        <v>2025</v>
      </c>
      <c r="AD54" s="97" t="s">
        <v>63</v>
      </c>
      <c r="AE54" s="97" t="s">
        <v>107</v>
      </c>
    </row>
    <row r="55" spans="1:31" ht="12.75">
      <c r="A55" s="90" t="s">
        <v>8</v>
      </c>
      <c r="B55" s="84">
        <f>'[2]Summary for 5th Plan'!$N$4</f>
        <v>0.13876493842640067</v>
      </c>
      <c r="C55" s="79"/>
      <c r="D55" s="148"/>
      <c r="E55" s="149">
        <f>$B55*E$20</f>
        <v>10076.012489759858</v>
      </c>
      <c r="F55" s="149">
        <f aca="true" t="shared" si="19" ref="F55:AC55">$B55*F$20</f>
        <v>10310.615112619354</v>
      </c>
      <c r="G55" s="149">
        <f t="shared" si="19"/>
        <v>10550.680054100281</v>
      </c>
      <c r="H55" s="149">
        <f t="shared" si="19"/>
        <v>10796.334494898052</v>
      </c>
      <c r="I55" s="149">
        <f t="shared" si="19"/>
        <v>11047.708576891862</v>
      </c>
      <c r="J55" s="149">
        <f t="shared" si="19"/>
        <v>11304.935472090756</v>
      </c>
      <c r="K55" s="149">
        <f t="shared" si="19"/>
        <v>11568.151453184986</v>
      </c>
      <c r="L55" s="149">
        <f t="shared" si="19"/>
        <v>11837.49596574005</v>
      </c>
      <c r="M55" s="149">
        <f t="shared" si="19"/>
        <v>12113.111702071628</v>
      </c>
      <c r="N55" s="149">
        <f t="shared" si="19"/>
        <v>12395.14467684058</v>
      </c>
      <c r="O55" s="149">
        <f t="shared" si="19"/>
        <v>12683.74430440804</v>
      </c>
      <c r="P55" s="149">
        <f t="shared" si="19"/>
        <v>12979.063477991582</v>
      </c>
      <c r="Q55" s="149">
        <f t="shared" si="19"/>
        <v>13281.25865066443</v>
      </c>
      <c r="R55" s="149">
        <f t="shared" si="19"/>
        <v>13590.48991824055</v>
      </c>
      <c r="S55" s="149">
        <f t="shared" si="19"/>
        <v>13906.921104089624</v>
      </c>
      <c r="T55" s="149">
        <f t="shared" si="19"/>
        <v>14230.719845926764</v>
      </c>
      <c r="U55" s="149">
        <f t="shared" si="19"/>
        <v>14562.057684622981</v>
      </c>
      <c r="V55" s="149">
        <f t="shared" si="19"/>
        <v>14901.110155083474</v>
      </c>
      <c r="W55" s="149">
        <f t="shared" si="19"/>
        <v>15248.05687924183</v>
      </c>
      <c r="X55" s="149">
        <f t="shared" si="19"/>
        <v>15603.08166121947</v>
      </c>
      <c r="Y55" s="149">
        <f t="shared" si="19"/>
        <v>15966.372584700675</v>
      </c>
      <c r="Z55" s="149">
        <f t="shared" si="19"/>
        <v>16338.122112574874</v>
      </c>
      <c r="AA55" s="149">
        <f t="shared" si="19"/>
        <v>16718.52718889889</v>
      </c>
      <c r="AB55" s="149">
        <f t="shared" si="19"/>
        <v>17107.789343233217</v>
      </c>
      <c r="AC55" s="149">
        <f t="shared" si="19"/>
        <v>17506.114797407594</v>
      </c>
      <c r="AD55" s="278">
        <f>SUM(E55:AC55)</f>
        <v>336623.61970650137</v>
      </c>
      <c r="AE55" s="282">
        <f>AD55/AD$72</f>
        <v>0.21702682038948498</v>
      </c>
    </row>
    <row r="56" spans="1:31" ht="12.75">
      <c r="A56" s="91" t="s">
        <v>4</v>
      </c>
      <c r="B56" s="85">
        <f>'[2]Summary for 5th Plan'!$N14</f>
        <v>0.7719664463247355</v>
      </c>
      <c r="C56" s="80"/>
      <c r="D56" s="20"/>
      <c r="E56" s="19">
        <f>E55*$B56</f>
        <v>7778.343554843568</v>
      </c>
      <c r="F56" s="19">
        <f aca="true" t="shared" si="20" ref="F56:AC56">F55*$B56</f>
        <v>7959.448907910876</v>
      </c>
      <c r="G56" s="19">
        <f t="shared" si="20"/>
        <v>8144.770987673062</v>
      </c>
      <c r="H56" s="19">
        <f t="shared" si="20"/>
        <v>8334.407973359608</v>
      </c>
      <c r="I56" s="19">
        <f t="shared" si="20"/>
        <v>8528.460330134512</v>
      </c>
      <c r="J56" s="19">
        <f t="shared" si="20"/>
        <v>8727.030862320347</v>
      </c>
      <c r="K56" s="19">
        <f t="shared" si="20"/>
        <v>8930.224767861539</v>
      </c>
      <c r="L56" s="19">
        <f t="shared" si="20"/>
        <v>9138.14969405574</v>
      </c>
      <c r="M56" s="19">
        <f t="shared" si="20"/>
        <v>9350.915794582803</v>
      </c>
      <c r="N56" s="19">
        <f t="shared" si="20"/>
        <v>9568.635787861585</v>
      </c>
      <c r="O56" s="19">
        <f t="shared" si="20"/>
        <v>9791.425016765479</v>
      </c>
      <c r="P56" s="19">
        <f t="shared" si="20"/>
        <v>10019.401509728325</v>
      </c>
      <c r="Q56" s="19">
        <f t="shared" si="20"/>
        <v>10252.686043273072</v>
      </c>
      <c r="R56" s="19">
        <f t="shared" si="20"/>
        <v>10491.402205996303</v>
      </c>
      <c r="S56" s="19">
        <f t="shared" si="20"/>
        <v>10735.676464042535</v>
      </c>
      <c r="T56" s="19">
        <f t="shared" si="20"/>
        <v>10985.638228102973</v>
      </c>
      <c r="U56" s="19">
        <f t="shared" si="20"/>
        <v>11241.41992197421</v>
      </c>
      <c r="V56" s="19">
        <f t="shared" si="20"/>
        <v>11503.157052713219</v>
      </c>
      <c r="W56" s="19">
        <f t="shared" si="20"/>
        <v>11770.988282425753</v>
      </c>
      <c r="X56" s="19">
        <f t="shared" si="20"/>
        <v>12045.055501726245</v>
      </c>
      <c r="Y56" s="19">
        <f t="shared" si="20"/>
        <v>12325.503904908062</v>
      </c>
      <c r="Z56" s="19">
        <f t="shared" si="20"/>
        <v>12612.482066864006</v>
      </c>
      <c r="AA56" s="19">
        <f t="shared" si="20"/>
        <v>12906.142021797747</v>
      </c>
      <c r="AB56" s="19">
        <f t="shared" si="20"/>
        <v>13206.639343767927</v>
      </c>
      <c r="AC56" s="19">
        <f t="shared" si="20"/>
        <v>13514.133229107609</v>
      </c>
      <c r="AD56" s="279">
        <f aca="true" t="shared" si="21" ref="AD56:AD74">SUM(E56:AC56)</f>
        <v>259862.13945379708</v>
      </c>
      <c r="AE56" s="283">
        <f>AD56/AD$72</f>
        <v>0.16753742329322738</v>
      </c>
    </row>
    <row r="57" spans="1:31" ht="12.75">
      <c r="A57" s="91" t="s">
        <v>58</v>
      </c>
      <c r="B57" s="85">
        <f>'[2]Summary for 5th Plan'!$N15</f>
        <v>0.10329585010345081</v>
      </c>
      <c r="C57" s="80"/>
      <c r="D57" s="20"/>
      <c r="E57" s="19">
        <f>E55*$B57</f>
        <v>1040.8102757827326</v>
      </c>
      <c r="F57" s="19">
        <f aca="true" t="shared" si="22" ref="F57:AC57">F55*$B57</f>
        <v>1065.0437531475034</v>
      </c>
      <c r="G57" s="19">
        <f t="shared" si="22"/>
        <v>1089.8414653578109</v>
      </c>
      <c r="H57" s="19">
        <f t="shared" si="22"/>
        <v>1115.2165496517046</v>
      </c>
      <c r="I57" s="19">
        <f t="shared" si="22"/>
        <v>1141.1824491452296</v>
      </c>
      <c r="J57" s="19">
        <f t="shared" si="22"/>
        <v>1167.7529199542707</v>
      </c>
      <c r="K57" s="19">
        <f t="shared" si="22"/>
        <v>1194.942038482213</v>
      </c>
      <c r="L57" s="19">
        <f t="shared" si="22"/>
        <v>1222.764208877288</v>
      </c>
      <c r="M57" s="19">
        <f t="shared" si="22"/>
        <v>1251.2341706635468</v>
      </c>
      <c r="N57" s="19">
        <f t="shared" si="22"/>
        <v>1280.3670065495107</v>
      </c>
      <c r="O57" s="19">
        <f t="shared" si="22"/>
        <v>1310.1781504186308</v>
      </c>
      <c r="P57" s="19">
        <f t="shared" si="22"/>
        <v>1340.6833955057914</v>
      </c>
      <c r="Q57" s="19">
        <f t="shared" si="22"/>
        <v>1371.8989027641924</v>
      </c>
      <c r="R57" s="19">
        <f t="shared" si="22"/>
        <v>1403.8412094270352</v>
      </c>
      <c r="S57" s="19">
        <f t="shared" si="22"/>
        <v>1436.5272377685585</v>
      </c>
      <c r="T57" s="19">
        <f t="shared" si="22"/>
        <v>1469.9743040690537</v>
      </c>
      <c r="U57" s="19">
        <f t="shared" si="22"/>
        <v>1504.2001277886195</v>
      </c>
      <c r="V57" s="19">
        <f t="shared" si="22"/>
        <v>1539.2228409545112</v>
      </c>
      <c r="W57" s="19">
        <f t="shared" si="22"/>
        <v>1575.060997767056</v>
      </c>
      <c r="X57" s="19">
        <f t="shared" si="22"/>
        <v>1611.7335844292286</v>
      </c>
      <c r="Y57" s="19">
        <f t="shared" si="22"/>
        <v>1649.2600292050874</v>
      </c>
      <c r="Z57" s="19">
        <f t="shared" si="22"/>
        <v>1687.6602127124092</v>
      </c>
      <c r="AA57" s="19">
        <f t="shared" si="22"/>
        <v>1726.9544784549666</v>
      </c>
      <c r="AB57" s="19">
        <f t="shared" si="22"/>
        <v>1767.1636436000315</v>
      </c>
      <c r="AC57" s="19">
        <f t="shared" si="22"/>
        <v>1808.309010006817</v>
      </c>
      <c r="AD57" s="279">
        <f t="shared" si="21"/>
        <v>34771.8229624838</v>
      </c>
      <c r="AE57" s="283">
        <f>AD57/AD$72</f>
        <v>0.022417969907380784</v>
      </c>
    </row>
    <row r="58" spans="1:31" ht="13.5" thickBot="1">
      <c r="A58" s="92" t="s">
        <v>59</v>
      </c>
      <c r="B58" s="86">
        <f>'[2]Summary for 5th Plan'!$N16</f>
        <v>0.12473770357181362</v>
      </c>
      <c r="C58" s="82"/>
      <c r="D58" s="116"/>
      <c r="E58" s="152">
        <f>E55*$B58</f>
        <v>1256.8586591335568</v>
      </c>
      <c r="F58" s="152">
        <f aca="true" t="shared" si="23" ref="F58:AC58">F55*$B58</f>
        <v>1286.1224515609747</v>
      </c>
      <c r="G58" s="152">
        <f t="shared" si="23"/>
        <v>1316.0676010694074</v>
      </c>
      <c r="H58" s="152">
        <f t="shared" si="23"/>
        <v>1346.7099718867394</v>
      </c>
      <c r="I58" s="152">
        <f t="shared" si="23"/>
        <v>1378.06579761212</v>
      </c>
      <c r="J58" s="152">
        <f t="shared" si="23"/>
        <v>1410.1516898161376</v>
      </c>
      <c r="K58" s="152">
        <f t="shared" si="23"/>
        <v>1442.9846468412338</v>
      </c>
      <c r="L58" s="152">
        <f t="shared" si="23"/>
        <v>1476.5820628070219</v>
      </c>
      <c r="M58" s="152">
        <f t="shared" si="23"/>
        <v>1510.9617368252775</v>
      </c>
      <c r="N58" s="152">
        <f t="shared" si="23"/>
        <v>1546.1418824294838</v>
      </c>
      <c r="O58" s="152">
        <f t="shared" si="23"/>
        <v>1582.1411372239293</v>
      </c>
      <c r="P58" s="152">
        <f t="shared" si="23"/>
        <v>1618.9785727574663</v>
      </c>
      <c r="Q58" s="152">
        <f t="shared" si="23"/>
        <v>1656.6737046271649</v>
      </c>
      <c r="R58" s="152">
        <f t="shared" si="23"/>
        <v>1695.2465028172112</v>
      </c>
      <c r="S58" s="152">
        <f t="shared" si="23"/>
        <v>1734.7174022785305</v>
      </c>
      <c r="T58" s="152">
        <f t="shared" si="23"/>
        <v>1775.1073137547378</v>
      </c>
      <c r="U58" s="152">
        <f t="shared" si="23"/>
        <v>1816.437634860152</v>
      </c>
      <c r="V58" s="152">
        <f t="shared" si="23"/>
        <v>1858.730261415744</v>
      </c>
      <c r="W58" s="152">
        <f t="shared" si="23"/>
        <v>1902.0075990490209</v>
      </c>
      <c r="X58" s="152">
        <f t="shared" si="23"/>
        <v>1946.2925750639954</v>
      </c>
      <c r="Y58" s="152">
        <f t="shared" si="23"/>
        <v>1991.6086505875244</v>
      </c>
      <c r="Z58" s="152">
        <f t="shared" si="23"/>
        <v>2037.9798329984578</v>
      </c>
      <c r="AA58" s="152">
        <f t="shared" si="23"/>
        <v>2085.430688646176</v>
      </c>
      <c r="AB58" s="152">
        <f t="shared" si="23"/>
        <v>2133.986355865257</v>
      </c>
      <c r="AC58" s="152">
        <f t="shared" si="23"/>
        <v>2183.6725582931685</v>
      </c>
      <c r="AD58" s="280">
        <f t="shared" si="21"/>
        <v>41989.65729022049</v>
      </c>
      <c r="AE58" s="284">
        <f>AD58/AD$72</f>
        <v>0.02707142718887682</v>
      </c>
    </row>
    <row r="59" spans="1:31" ht="12.75">
      <c r="A59" s="93" t="s">
        <v>51</v>
      </c>
      <c r="B59" s="84">
        <f>'[2]Summary for 5th Plan'!$O$4</f>
        <v>0.017197863642484722</v>
      </c>
      <c r="C59" s="79"/>
      <c r="D59" s="148"/>
      <c r="E59" s="149">
        <f>$B59*E$20</f>
        <v>1248.772858792222</v>
      </c>
      <c r="F59" s="149">
        <f aca="true" t="shared" si="24" ref="F59:AC59">$B59*F$20</f>
        <v>1277.8483872640402</v>
      </c>
      <c r="G59" s="149">
        <f t="shared" si="24"/>
        <v>1307.6008894144288</v>
      </c>
      <c r="H59" s="149">
        <f t="shared" si="24"/>
        <v>1338.0461274112854</v>
      </c>
      <c r="I59" s="149">
        <f t="shared" si="24"/>
        <v>1369.2002304174798</v>
      </c>
      <c r="J59" s="149">
        <f t="shared" si="24"/>
        <v>1401.0797031357024</v>
      </c>
      <c r="K59" s="149">
        <f t="shared" si="24"/>
        <v>1433.7014345522616</v>
      </c>
      <c r="L59" s="149">
        <f t="shared" si="24"/>
        <v>1467.0827068844678</v>
      </c>
      <c r="M59" s="149">
        <f t="shared" si="24"/>
        <v>1501.241204736341</v>
      </c>
      <c r="N59" s="149">
        <f t="shared" si="24"/>
        <v>1536.1950244674924</v>
      </c>
      <c r="O59" s="149">
        <f t="shared" si="24"/>
        <v>1571.9626837801472</v>
      </c>
      <c r="P59" s="149">
        <f t="shared" si="24"/>
        <v>1608.5631315293806</v>
      </c>
      <c r="Q59" s="149">
        <f t="shared" si="24"/>
        <v>1646.0157577617717</v>
      </c>
      <c r="R59" s="149">
        <f t="shared" si="24"/>
        <v>1684.3404039877887</v>
      </c>
      <c r="S59" s="149">
        <f t="shared" si="24"/>
        <v>1723.557373693349</v>
      </c>
      <c r="T59" s="149">
        <f t="shared" si="24"/>
        <v>1763.687443096124</v>
      </c>
      <c r="U59" s="149">
        <f t="shared" si="24"/>
        <v>1804.7518721522827</v>
      </c>
      <c r="V59" s="149">
        <f t="shared" si="24"/>
        <v>1846.772415819513</v>
      </c>
      <c r="W59" s="149">
        <f t="shared" si="24"/>
        <v>1889.7713355822807</v>
      </c>
      <c r="X59" s="149">
        <f t="shared" si="24"/>
        <v>1933.771411245433</v>
      </c>
      <c r="Y59" s="149">
        <f t="shared" si="24"/>
        <v>1978.795953002398</v>
      </c>
      <c r="Z59" s="149">
        <f t="shared" si="24"/>
        <v>2024.8688137843703</v>
      </c>
      <c r="AA59" s="149">
        <f t="shared" si="24"/>
        <v>2072.014401897028</v>
      </c>
      <c r="AB59" s="149">
        <f t="shared" si="24"/>
        <v>2120.2576939514706</v>
      </c>
      <c r="AC59" s="149">
        <f t="shared" si="24"/>
        <v>2169.6242480962346</v>
      </c>
      <c r="AD59" s="278">
        <f t="shared" si="21"/>
        <v>41719.5235064553</v>
      </c>
      <c r="AE59" s="282">
        <f>AD59/AD71</f>
        <v>0.017197863642484726</v>
      </c>
    </row>
    <row r="60" spans="1:31" ht="12.75">
      <c r="A60" s="94" t="s">
        <v>4</v>
      </c>
      <c r="B60" s="85">
        <f>'[2]Summary for 5th Plan'!$O14</f>
        <v>0.5711213577108927</v>
      </c>
      <c r="C60" s="80"/>
      <c r="D60" s="20"/>
      <c r="E60" s="19">
        <f>E59*$B60</f>
        <v>713.2008505859267</v>
      </c>
      <c r="F60" s="19">
        <f aca="true" t="shared" si="25" ref="F60:AC60">F59*$B60</f>
        <v>729.8065058829133</v>
      </c>
      <c r="G60" s="19">
        <f t="shared" si="25"/>
        <v>746.7987953063395</v>
      </c>
      <c r="H60" s="19">
        <f t="shared" si="25"/>
        <v>764.1867209669354</v>
      </c>
      <c r="I60" s="19">
        <f t="shared" si="25"/>
        <v>781.9794945740981</v>
      </c>
      <c r="J60" s="19">
        <f t="shared" si="25"/>
        <v>800.1865423160368</v>
      </c>
      <c r="K60" s="19">
        <f t="shared" si="25"/>
        <v>818.8175098535422</v>
      </c>
      <c r="L60" s="19">
        <f t="shared" si="25"/>
        <v>837.8822674300288</v>
      </c>
      <c r="M60" s="19">
        <f t="shared" si="25"/>
        <v>857.3909151005553</v>
      </c>
      <c r="N60" s="19">
        <f t="shared" si="25"/>
        <v>877.3537880825922</v>
      </c>
      <c r="O60" s="19">
        <f t="shared" si="25"/>
        <v>897.7814622313764</v>
      </c>
      <c r="P60" s="19">
        <f t="shared" si="25"/>
        <v>918.6847596427451</v>
      </c>
      <c r="Q60" s="19">
        <f t="shared" si="25"/>
        <v>940.0747543864269</v>
      </c>
      <c r="R60" s="19">
        <f t="shared" si="25"/>
        <v>961.9627783728193</v>
      </c>
      <c r="S60" s="19">
        <f t="shared" si="25"/>
        <v>984.3604273563659</v>
      </c>
      <c r="T60" s="19">
        <f t="shared" si="25"/>
        <v>1007.2795670787111</v>
      </c>
      <c r="U60" s="19">
        <f t="shared" si="25"/>
        <v>1030.7323395548872</v>
      </c>
      <c r="V60" s="19">
        <f t="shared" si="25"/>
        <v>1054.7311695058656</v>
      </c>
      <c r="W60" s="19">
        <f t="shared" si="25"/>
        <v>1079.2887709408792</v>
      </c>
      <c r="X60" s="19">
        <f t="shared" si="25"/>
        <v>1104.4181538930006</v>
      </c>
      <c r="Y60" s="19">
        <f t="shared" si="25"/>
        <v>1130.1326313115492</v>
      </c>
      <c r="Z60" s="19">
        <f t="shared" si="25"/>
        <v>1156.4458261149744</v>
      </c>
      <c r="AA60" s="19">
        <f t="shared" si="25"/>
        <v>1183.371678407954</v>
      </c>
      <c r="AB60" s="19">
        <f t="shared" si="25"/>
        <v>1210.9244528665301</v>
      </c>
      <c r="AC60" s="19">
        <f t="shared" si="25"/>
        <v>1239.1187462951962</v>
      </c>
      <c r="AD60" s="279">
        <f t="shared" si="21"/>
        <v>23826.910908058253</v>
      </c>
      <c r="AE60" s="283">
        <f>AD60/AD72</f>
        <v>0.01536160391415204</v>
      </c>
    </row>
    <row r="61" spans="1:31" ht="12.75">
      <c r="A61" s="94" t="s">
        <v>58</v>
      </c>
      <c r="B61" s="85">
        <f>'[2]Summary for 5th Plan'!$O15</f>
        <v>0.17431329892393466</v>
      </c>
      <c r="C61" s="80"/>
      <c r="D61" s="20"/>
      <c r="E61" s="19">
        <f>E59*$B61</f>
        <v>217.67771662274504</v>
      </c>
      <c r="F61" s="19">
        <f aca="true" t="shared" si="26" ref="F61:AC61">F59*$B61</f>
        <v>222.74596790862446</v>
      </c>
      <c r="G61" s="19">
        <f t="shared" si="26"/>
        <v>227.93222470970017</v>
      </c>
      <c r="H61" s="19">
        <f t="shared" si="26"/>
        <v>233.23923458145654</v>
      </c>
      <c r="I61" s="19">
        <f t="shared" si="26"/>
        <v>238.66980905148236</v>
      </c>
      <c r="J61" s="19">
        <f t="shared" si="26"/>
        <v>244.22682510895132</v>
      </c>
      <c r="K61" s="19">
        <f t="shared" si="26"/>
        <v>249.91322672878232</v>
      </c>
      <c r="L61" s="19">
        <f t="shared" si="26"/>
        <v>255.73202643128744</v>
      </c>
      <c r="M61" s="19">
        <f t="shared" si="26"/>
        <v>261.68630687813356</v>
      </c>
      <c r="N61" s="19">
        <f t="shared" si="26"/>
        <v>267.7792225054631</v>
      </c>
      <c r="O61" s="19">
        <f t="shared" si="26"/>
        <v>274.0140011950394</v>
      </c>
      <c r="P61" s="19">
        <f t="shared" si="26"/>
        <v>280.39394598430135</v>
      </c>
      <c r="Q61" s="19">
        <f t="shared" si="26"/>
        <v>286.92243681623455</v>
      </c>
      <c r="R61" s="19">
        <f t="shared" si="26"/>
        <v>293.6029323299843</v>
      </c>
      <c r="S61" s="19">
        <f t="shared" si="26"/>
        <v>300.4389716931605</v>
      </c>
      <c r="T61" s="19">
        <f t="shared" si="26"/>
        <v>307.4341764768047</v>
      </c>
      <c r="U61" s="19">
        <f t="shared" si="26"/>
        <v>314.5922525740115</v>
      </c>
      <c r="V61" s="19">
        <f t="shared" si="26"/>
        <v>321.9169921632237</v>
      </c>
      <c r="W61" s="19">
        <f t="shared" si="26"/>
        <v>329.4122757172373</v>
      </c>
      <c r="X61" s="19">
        <f t="shared" si="26"/>
        <v>337.0820740589841</v>
      </c>
      <c r="Y61" s="19">
        <f t="shared" si="26"/>
        <v>344.93045046517915</v>
      </c>
      <c r="Z61" s="19">
        <f t="shared" si="26"/>
        <v>352.9615628189479</v>
      </c>
      <c r="AA61" s="19">
        <f t="shared" si="26"/>
        <v>361.17966581257434</v>
      </c>
      <c r="AB61" s="19">
        <f t="shared" si="26"/>
        <v>369.58911320153504</v>
      </c>
      <c r="AC61" s="19">
        <f t="shared" si="26"/>
        <v>378.1943601110159</v>
      </c>
      <c r="AD61" s="279">
        <f t="shared" si="21"/>
        <v>7272.26777194486</v>
      </c>
      <c r="AE61" s="283">
        <f>AD61/AD73</f>
        <v>0.011867474938790019</v>
      </c>
    </row>
    <row r="62" spans="1:31" ht="13.5" thickBot="1">
      <c r="A62" s="95" t="s">
        <v>59</v>
      </c>
      <c r="B62" s="86">
        <f>'[2]Summary for 5th Plan'!$O16</f>
        <v>0.2545653433651727</v>
      </c>
      <c r="C62" s="82"/>
      <c r="D62" s="116"/>
      <c r="E62" s="152">
        <f>E59*$B62</f>
        <v>317.89429158355034</v>
      </c>
      <c r="F62" s="152">
        <f aca="true" t="shared" si="27" ref="F62:AC62">F59*$B62</f>
        <v>325.2959134725026</v>
      </c>
      <c r="G62" s="152">
        <f t="shared" si="27"/>
        <v>332.8698693983893</v>
      </c>
      <c r="H62" s="152">
        <f t="shared" si="27"/>
        <v>340.6201718628935</v>
      </c>
      <c r="I62" s="152">
        <f t="shared" si="27"/>
        <v>348.55092679189937</v>
      </c>
      <c r="J62" s="152">
        <f t="shared" si="27"/>
        <v>356.66633571071435</v>
      </c>
      <c r="K62" s="152">
        <f t="shared" si="27"/>
        <v>364.9706979699372</v>
      </c>
      <c r="L62" s="152">
        <f t="shared" si="27"/>
        <v>373.4684130231516</v>
      </c>
      <c r="M62" s="152">
        <f t="shared" si="27"/>
        <v>382.1639827576522</v>
      </c>
      <c r="N62" s="152">
        <f t="shared" si="27"/>
        <v>391.06201387943713</v>
      </c>
      <c r="O62" s="152">
        <f t="shared" si="27"/>
        <v>400.16722035373164</v>
      </c>
      <c r="P62" s="152">
        <f t="shared" si="27"/>
        <v>409.4844259023343</v>
      </c>
      <c r="Q62" s="152">
        <f t="shared" si="27"/>
        <v>419.0185665591104</v>
      </c>
      <c r="R62" s="152">
        <f t="shared" si="27"/>
        <v>428.7746932849852</v>
      </c>
      <c r="S62" s="152">
        <f t="shared" si="27"/>
        <v>438.7579746438227</v>
      </c>
      <c r="T62" s="152">
        <f t="shared" si="27"/>
        <v>448.9736995406084</v>
      </c>
      <c r="U62" s="152">
        <f t="shared" si="27"/>
        <v>459.4272800233841</v>
      </c>
      <c r="V62" s="152">
        <f t="shared" si="27"/>
        <v>470.1242541504239</v>
      </c>
      <c r="W62" s="152">
        <f t="shared" si="27"/>
        <v>481.07028892416434</v>
      </c>
      <c r="X62" s="152">
        <f t="shared" si="27"/>
        <v>492.2711832934483</v>
      </c>
      <c r="Y62" s="152">
        <f t="shared" si="27"/>
        <v>503.7328712256696</v>
      </c>
      <c r="Z62" s="152">
        <f t="shared" si="27"/>
        <v>515.4614248504482</v>
      </c>
      <c r="AA62" s="152">
        <f t="shared" si="27"/>
        <v>527.4630576765</v>
      </c>
      <c r="AB62" s="152">
        <f t="shared" si="27"/>
        <v>539.7441278834054</v>
      </c>
      <c r="AC62" s="152">
        <f t="shared" si="27"/>
        <v>552.3111416900226</v>
      </c>
      <c r="AD62" s="280">
        <f t="shared" si="21"/>
        <v>10620.344826452185</v>
      </c>
      <c r="AE62" s="284">
        <f>AD62/AD74</f>
        <v>0.04053629062530737</v>
      </c>
    </row>
    <row r="63" spans="1:31" ht="12.75">
      <c r="A63" s="90" t="s">
        <v>6</v>
      </c>
      <c r="B63" s="84">
        <f>'[2]Summary for 5th Plan'!$P$4</f>
        <v>0.2637341453303465</v>
      </c>
      <c r="C63" s="79"/>
      <c r="D63" s="148"/>
      <c r="E63" s="149">
        <f>$B63*E$20</f>
        <v>19150.288051575517</v>
      </c>
      <c r="F63" s="149">
        <f aca="true" t="shared" si="28" ref="F63:AC63">$B63*F$20</f>
        <v>19596.16957563877</v>
      </c>
      <c r="G63" s="149">
        <f t="shared" si="28"/>
        <v>20052.4326841965</v>
      </c>
      <c r="H63" s="149">
        <f t="shared" si="28"/>
        <v>20519.319094590195</v>
      </c>
      <c r="I63" s="149">
        <f t="shared" si="28"/>
        <v>20997.076152133952</v>
      </c>
      <c r="J63" s="149">
        <f t="shared" si="28"/>
        <v>21485.956961152147</v>
      </c>
      <c r="K63" s="149">
        <f t="shared" si="28"/>
        <v>21986.220519068076</v>
      </c>
      <c r="L63" s="149">
        <f t="shared" si="28"/>
        <v>22498.131853614625</v>
      </c>
      <c r="M63" s="149">
        <f t="shared" si="28"/>
        <v>23021.962163239677</v>
      </c>
      <c r="N63" s="149">
        <f t="shared" si="28"/>
        <v>23557.988960780585</v>
      </c>
      <c r="O63" s="149">
        <f t="shared" si="28"/>
        <v>24106.49622048387</v>
      </c>
      <c r="P63" s="149">
        <f t="shared" si="28"/>
        <v>24667.774528448022</v>
      </c>
      <c r="Q63" s="149">
        <f t="shared" si="28"/>
        <v>25242.121236569117</v>
      </c>
      <c r="R63" s="149">
        <f t="shared" si="28"/>
        <v>25829.84062007076</v>
      </c>
      <c r="S63" s="149">
        <f t="shared" si="28"/>
        <v>26431.24403870188</v>
      </c>
      <c r="T63" s="149">
        <f t="shared" si="28"/>
        <v>27046.650101687686</v>
      </c>
      <c r="U63" s="149">
        <f t="shared" si="28"/>
        <v>27676.384836521294</v>
      </c>
      <c r="V63" s="149">
        <f t="shared" si="28"/>
        <v>28320.78186168531</v>
      </c>
      <c r="W63" s="149">
        <f t="shared" si="28"/>
        <v>28980.18256339498</v>
      </c>
      <c r="X63" s="149">
        <f t="shared" si="28"/>
        <v>29654.936276456487</v>
      </c>
      <c r="Y63" s="149">
        <f t="shared" si="28"/>
        <v>30345.400469336204</v>
      </c>
      <c r="Z63" s="149">
        <f t="shared" si="28"/>
        <v>31051.940933538997</v>
      </c>
      <c r="AA63" s="149">
        <f t="shared" si="28"/>
        <v>31774.93197739588</v>
      </c>
      <c r="AB63" s="149">
        <f t="shared" si="28"/>
        <v>32514.75662436363</v>
      </c>
      <c r="AC63" s="149">
        <f t="shared" si="28"/>
        <v>33271.80681594152</v>
      </c>
      <c r="AD63" s="278">
        <f t="shared" si="21"/>
        <v>639780.7951205856</v>
      </c>
      <c r="AE63" s="282">
        <f>AD63/AD71</f>
        <v>0.2637341453303465</v>
      </c>
    </row>
    <row r="64" spans="1:31" ht="12.75">
      <c r="A64" s="91" t="s">
        <v>4</v>
      </c>
      <c r="B64" s="85">
        <f>'[2]Summary for 5th Plan'!$P14</f>
        <v>0.6244530319450299</v>
      </c>
      <c r="C64" s="80"/>
      <c r="D64" s="20"/>
      <c r="E64" s="19">
        <f>E63*$B64</f>
        <v>11958.45543642701</v>
      </c>
      <c r="F64" s="19">
        <f aca="true" t="shared" si="29" ref="F64:AC64">F63*$B64</f>
        <v>12236.88750601658</v>
      </c>
      <c r="G64" s="19">
        <f t="shared" si="29"/>
        <v>12521.80238752012</v>
      </c>
      <c r="H64" s="19">
        <f t="shared" si="29"/>
        <v>12813.351022064393</v>
      </c>
      <c r="I64" s="19">
        <f t="shared" si="29"/>
        <v>13111.687865180727</v>
      </c>
      <c r="J64" s="19">
        <f t="shared" si="29"/>
        <v>13416.970968631878</v>
      </c>
      <c r="K64" s="19">
        <f t="shared" si="29"/>
        <v>13729.362064144088</v>
      </c>
      <c r="L64" s="19">
        <f t="shared" si="29"/>
        <v>14049.026649088708</v>
      </c>
      <c r="M64" s="19">
        <f t="shared" si="29"/>
        <v>14376.134074158776</v>
      </c>
      <c r="N64" s="19">
        <f t="shared" si="29"/>
        <v>14710.85763308698</v>
      </c>
      <c r="O64" s="19">
        <f t="shared" si="29"/>
        <v>15053.374654452557</v>
      </c>
      <c r="P64" s="19">
        <f t="shared" si="29"/>
        <v>15403.866595625748</v>
      </c>
      <c r="Q64" s="19">
        <f t="shared" si="29"/>
        <v>15762.519138899612</v>
      </c>
      <c r="R64" s="19">
        <f t="shared" si="29"/>
        <v>16129.522289860077</v>
      </c>
      <c r="S64" s="19">
        <f t="shared" si="29"/>
        <v>16505.070478046386</v>
      </c>
      <c r="T64" s="19">
        <f t="shared" si="29"/>
        <v>16889.362659955226</v>
      </c>
      <c r="U64" s="19">
        <f t="shared" si="29"/>
        <v>17282.602424443172</v>
      </c>
      <c r="V64" s="19">
        <f t="shared" si="29"/>
        <v>17684.9981005832</v>
      </c>
      <c r="W64" s="19">
        <f t="shared" si="29"/>
        <v>18096.762868032485</v>
      </c>
      <c r="X64" s="19">
        <f t="shared" si="29"/>
        <v>18518.114869969908</v>
      </c>
      <c r="Y64" s="19">
        <f t="shared" si="29"/>
        <v>18949.277328663124</v>
      </c>
      <c r="Z64" s="19">
        <f t="shared" si="29"/>
        <v>19390.478663726408</v>
      </c>
      <c r="AA64" s="19">
        <f t="shared" si="29"/>
        <v>19841.952613131944</v>
      </c>
      <c r="AB64" s="19">
        <f t="shared" si="29"/>
        <v>20303.938357038613</v>
      </c>
      <c r="AC64" s="19">
        <f t="shared" si="29"/>
        <v>20776.68064450399</v>
      </c>
      <c r="AD64" s="279">
        <f t="shared" si="21"/>
        <v>399513.0572932517</v>
      </c>
      <c r="AE64" s="283">
        <f>AD64/AD72</f>
        <v>0.2575726819289561</v>
      </c>
    </row>
    <row r="65" spans="1:31" ht="12.75">
      <c r="A65" s="91" t="s">
        <v>58</v>
      </c>
      <c r="B65" s="85">
        <f>'[2]Summary for 5th Plan'!$P15</f>
        <v>0.2443057092244633</v>
      </c>
      <c r="C65" s="80"/>
      <c r="D65" s="20"/>
      <c r="E65" s="19">
        <f>E63*$B65</f>
        <v>4678.524704292922</v>
      </c>
      <c r="F65" s="19">
        <f aca="true" t="shared" si="30" ref="F65:AC65">F63*$B65</f>
        <v>4787.456106259279</v>
      </c>
      <c r="G65" s="19">
        <f t="shared" si="30"/>
        <v>4898.923788588434</v>
      </c>
      <c r="H65" s="19">
        <f t="shared" si="30"/>
        <v>5012.986804206929</v>
      </c>
      <c r="I65" s="19">
        <f t="shared" si="30"/>
        <v>5129.70558098715</v>
      </c>
      <c r="J65" s="19">
        <f t="shared" si="30"/>
        <v>5249.14195376057</v>
      </c>
      <c r="K65" s="19">
        <f t="shared" si="30"/>
        <v>5371.359197076374</v>
      </c>
      <c r="L65" s="19">
        <f t="shared" si="30"/>
        <v>5496.42205872281</v>
      </c>
      <c r="M65" s="19">
        <f t="shared" si="30"/>
        <v>5624.396794029029</v>
      </c>
      <c r="N65" s="19">
        <f t="shared" si="30"/>
        <v>5755.351200965578</v>
      </c>
      <c r="O65" s="19">
        <f t="shared" si="30"/>
        <v>5889.354656062155</v>
      </c>
      <c r="P65" s="19">
        <f t="shared" si="30"/>
        <v>6026.478151161645</v>
      </c>
      <c r="Q65" s="19">
        <f t="shared" si="30"/>
        <v>6166.794331029904</v>
      </c>
      <c r="R65" s="19">
        <f t="shared" si="30"/>
        <v>6310.377531841238</v>
      </c>
      <c r="S65" s="19">
        <f t="shared" si="30"/>
        <v>6457.3038205599305</v>
      </c>
      <c r="T65" s="19">
        <f t="shared" si="30"/>
        <v>6607.651035238712</v>
      </c>
      <c r="U65" s="19">
        <f t="shared" si="30"/>
        <v>6761.498826255516</v>
      </c>
      <c r="V65" s="19">
        <f t="shared" si="30"/>
        <v>6918.928698510345</v>
      </c>
      <c r="W65" s="19">
        <f t="shared" si="30"/>
        <v>7080.024054604635</v>
      </c>
      <c r="X65" s="19">
        <f t="shared" si="30"/>
        <v>7244.870239025967</v>
      </c>
      <c r="Y65" s="19">
        <f t="shared" si="30"/>
        <v>7413.554583361542</v>
      </c>
      <c r="Z65" s="19">
        <f t="shared" si="30"/>
        <v>7586.166452564387</v>
      </c>
      <c r="AA65" s="19">
        <f t="shared" si="30"/>
        <v>7762.797292296778</v>
      </c>
      <c r="AB65" s="19">
        <f t="shared" si="30"/>
        <v>7943.540677375972</v>
      </c>
      <c r="AC65" s="19">
        <f t="shared" si="30"/>
        <v>8128.492361347925</v>
      </c>
      <c r="AD65" s="279">
        <f t="shared" si="21"/>
        <v>156302.10090012575</v>
      </c>
      <c r="AE65" s="283">
        <f>AD65/AD73</f>
        <v>0.25506641442280154</v>
      </c>
    </row>
    <row r="66" spans="1:31" ht="13.5" thickBot="1">
      <c r="A66" s="92" t="s">
        <v>59</v>
      </c>
      <c r="B66" s="86">
        <f>'[2]Summary for 5th Plan'!$P16</f>
        <v>0.1312412588305067</v>
      </c>
      <c r="C66" s="82"/>
      <c r="D66" s="116"/>
      <c r="E66" s="152">
        <f>E63*$B66</f>
        <v>2513.307910855582</v>
      </c>
      <c r="F66" s="152">
        <f aca="true" t="shared" si="31" ref="F66:AC66">F63*$B66</f>
        <v>2571.825963362908</v>
      </c>
      <c r="G66" s="152">
        <f t="shared" si="31"/>
        <v>2631.706508087945</v>
      </c>
      <c r="H66" s="152">
        <f t="shared" si="31"/>
        <v>2692.98126831887</v>
      </c>
      <c r="I66" s="152">
        <f t="shared" si="31"/>
        <v>2755.6827059660714</v>
      </c>
      <c r="J66" s="152">
        <f t="shared" si="31"/>
        <v>2819.844038759696</v>
      </c>
      <c r="K66" s="152">
        <f t="shared" si="31"/>
        <v>2885.4992578476104</v>
      </c>
      <c r="L66" s="152">
        <f t="shared" si="31"/>
        <v>2952.6831458031043</v>
      </c>
      <c r="M66" s="152">
        <f t="shared" si="31"/>
        <v>3021.43129505187</v>
      </c>
      <c r="N66" s="152">
        <f t="shared" si="31"/>
        <v>3091.7801267280242</v>
      </c>
      <c r="O66" s="152">
        <f t="shared" si="31"/>
        <v>3163.7669099691548</v>
      </c>
      <c r="P66" s="152">
        <f t="shared" si="31"/>
        <v>3237.429781660627</v>
      </c>
      <c r="Q66" s="152">
        <f t="shared" si="31"/>
        <v>3312.807766639597</v>
      </c>
      <c r="R66" s="152">
        <f t="shared" si="31"/>
        <v>3389.9407983694423</v>
      </c>
      <c r="S66" s="152">
        <f t="shared" si="31"/>
        <v>3468.8697400955602</v>
      </c>
      <c r="T66" s="152">
        <f t="shared" si="31"/>
        <v>3549.636406493744</v>
      </c>
      <c r="U66" s="152">
        <f t="shared" si="31"/>
        <v>3632.2835858226017</v>
      </c>
      <c r="V66" s="152">
        <f t="shared" si="31"/>
        <v>3716.855062591761</v>
      </c>
      <c r="W66" s="152">
        <f t="shared" si="31"/>
        <v>3803.3956407578576</v>
      </c>
      <c r="X66" s="152">
        <f t="shared" si="31"/>
        <v>3891.9511674606083</v>
      </c>
      <c r="Y66" s="152">
        <f t="shared" si="31"/>
        <v>3982.568557311532</v>
      </c>
      <c r="Z66" s="152">
        <f t="shared" si="31"/>
        <v>4075.295817248197</v>
      </c>
      <c r="AA66" s="152">
        <f t="shared" si="31"/>
        <v>4170.182071967157</v>
      </c>
      <c r="AB66" s="152">
        <f t="shared" si="31"/>
        <v>4267.277589949039</v>
      </c>
      <c r="AC66" s="152">
        <f t="shared" si="31"/>
        <v>4366.633810089597</v>
      </c>
      <c r="AD66" s="280">
        <f t="shared" si="21"/>
        <v>83965.63692720816</v>
      </c>
      <c r="AE66" s="284">
        <f>AD66/AD74</f>
        <v>0.3204844585218021</v>
      </c>
    </row>
    <row r="67" spans="1:31" ht="12.75">
      <c r="A67" s="96" t="s">
        <v>7</v>
      </c>
      <c r="B67" s="84">
        <f>'[2]Summary for 5th Plan'!$Q4</f>
        <v>0.580303052600768</v>
      </c>
      <c r="C67" s="79"/>
      <c r="D67" s="154"/>
      <c r="E67" s="155">
        <f>$B67*E$20</f>
        <v>42137.01870341236</v>
      </c>
      <c r="F67" s="155">
        <f aca="true" t="shared" si="32" ref="F67:AC67">$B67*F$20</f>
        <v>43118.106719862</v>
      </c>
      <c r="G67" s="155">
        <f t="shared" si="32"/>
        <v>44122.03768357366</v>
      </c>
      <c r="H67" s="155">
        <f t="shared" si="32"/>
        <v>45149.34345329077</v>
      </c>
      <c r="I67" s="155">
        <f t="shared" si="32"/>
        <v>46200.568271172946</v>
      </c>
      <c r="J67" s="155">
        <f t="shared" si="32"/>
        <v>47276.26905112253</v>
      </c>
      <c r="K67" s="155">
        <f t="shared" si="32"/>
        <v>48377.01567382436</v>
      </c>
      <c r="L67" s="155">
        <f t="shared" si="32"/>
        <v>49503.39128865498</v>
      </c>
      <c r="M67" s="155">
        <f t="shared" si="32"/>
        <v>50655.99262262129</v>
      </c>
      <c r="N67" s="155">
        <f t="shared" si="32"/>
        <v>51835.43029649238</v>
      </c>
      <c r="O67" s="155">
        <f t="shared" si="32"/>
        <v>53042.32914829181</v>
      </c>
      <c r="P67" s="155">
        <f t="shared" si="32"/>
        <v>54277.328564321964</v>
      </c>
      <c r="Q67" s="155">
        <f t="shared" si="32"/>
        <v>55541.08281789575</v>
      </c>
      <c r="R67" s="155">
        <f t="shared" si="32"/>
        <v>56834.261415954985</v>
      </c>
      <c r="S67" s="155">
        <f t="shared" si="32"/>
        <v>58157.54945375923</v>
      </c>
      <c r="T67" s="155">
        <f t="shared" si="32"/>
        <v>59511.647977833025</v>
      </c>
      <c r="U67" s="155">
        <f t="shared" si="32"/>
        <v>60897.27435736359</v>
      </c>
      <c r="V67" s="155">
        <f t="shared" si="32"/>
        <v>62315.16266424603</v>
      </c>
      <c r="W67" s="155">
        <f t="shared" si="32"/>
        <v>63766.064061977115</v>
      </c>
      <c r="X67" s="155">
        <f t="shared" si="32"/>
        <v>65250.74720360382</v>
      </c>
      <c r="Y67" s="155">
        <f t="shared" si="32"/>
        <v>66769.99863893748</v>
      </c>
      <c r="Z67" s="155">
        <f t="shared" si="32"/>
        <v>68324.6232312491</v>
      </c>
      <c r="AA67" s="155">
        <f t="shared" si="32"/>
        <v>69915.44458366687</v>
      </c>
      <c r="AB67" s="155">
        <f t="shared" si="32"/>
        <v>71543.30547550139</v>
      </c>
      <c r="AC67" s="155">
        <f t="shared" si="32"/>
        <v>73209.06830873016</v>
      </c>
      <c r="AD67" s="281">
        <f t="shared" si="21"/>
        <v>1407731.0616673597</v>
      </c>
      <c r="AE67" s="285">
        <f>AD67/AD71</f>
        <v>0.5803030526007681</v>
      </c>
    </row>
    <row r="68" spans="1:31" ht="12.75">
      <c r="A68" s="94" t="s">
        <v>4</v>
      </c>
      <c r="B68" s="85">
        <f>'[2]Summary for 5th Plan'!$Q14</f>
        <v>0.6240347763525709</v>
      </c>
      <c r="C68" s="80"/>
      <c r="D68" s="20"/>
      <c r="E68" s="19">
        <f>E67*$B68</f>
        <v>26294.965042748026</v>
      </c>
      <c r="F68" s="19">
        <f aca="true" t="shared" si="33" ref="F68:AC68">F67*$B68</f>
        <v>26907.19808367537</v>
      </c>
      <c r="G68" s="19">
        <f t="shared" si="33"/>
        <v>27533.685918088595</v>
      </c>
      <c r="H68" s="19">
        <f t="shared" si="33"/>
        <v>28174.760444339718</v>
      </c>
      <c r="I68" s="19">
        <f t="shared" si="33"/>
        <v>28830.76128846309</v>
      </c>
      <c r="J68" s="19">
        <f t="shared" si="33"/>
        <v>29502.035984101218</v>
      </c>
      <c r="K68" s="19">
        <f t="shared" si="33"/>
        <v>30188.9401566198</v>
      </c>
      <c r="L68" s="19">
        <f t="shared" si="33"/>
        <v>30891.837711509615</v>
      </c>
      <c r="M68" s="19">
        <f t="shared" si="33"/>
        <v>31611.10102717496</v>
      </c>
      <c r="N68" s="19">
        <f t="shared" si="33"/>
        <v>32347.1111522109</v>
      </c>
      <c r="O68" s="19">
        <f t="shared" si="33"/>
        <v>33100.258007273726</v>
      </c>
      <c r="P68" s="19">
        <f t="shared" si="33"/>
        <v>33870.94059165166</v>
      </c>
      <c r="Q68" s="19">
        <f t="shared" si="33"/>
        <v>34659.56719464519</v>
      </c>
      <c r="R68" s="19">
        <f t="shared" si="33"/>
        <v>35466.555611869015</v>
      </c>
      <c r="S68" s="19">
        <f t="shared" si="33"/>
        <v>36292.333366590225</v>
      </c>
      <c r="T68" s="19">
        <f t="shared" si="33"/>
        <v>37137.337936219956</v>
      </c>
      <c r="U68" s="19">
        <f t="shared" si="33"/>
        <v>38002.01698407854</v>
      </c>
      <c r="V68" s="19">
        <f t="shared" si="33"/>
        <v>38886.82859655685</v>
      </c>
      <c r="W68" s="19">
        <f t="shared" si="33"/>
        <v>39792.241525799596</v>
      </c>
      <c r="X68" s="19">
        <f t="shared" si="33"/>
        <v>40718.73543803905</v>
      </c>
      <c r="Y68" s="19">
        <f t="shared" si="33"/>
        <v>41666.801167710815</v>
      </c>
      <c r="Z68" s="19">
        <f t="shared" si="33"/>
        <v>42636.94097748621</v>
      </c>
      <c r="AA68" s="19">
        <f t="shared" si="33"/>
        <v>43629.66882435912</v>
      </c>
      <c r="AB68" s="19">
        <f t="shared" si="33"/>
        <v>44645.51063192817</v>
      </c>
      <c r="AC68" s="19">
        <f t="shared" si="33"/>
        <v>45685.00456901851</v>
      </c>
      <c r="AD68" s="279">
        <f t="shared" si="21"/>
        <v>878473.1382321579</v>
      </c>
      <c r="AE68" s="283">
        <f>AD68/AD72</f>
        <v>0.566366175238462</v>
      </c>
    </row>
    <row r="69" spans="1:31" ht="12.75">
      <c r="A69" s="94" t="s">
        <v>58</v>
      </c>
      <c r="B69" s="85">
        <f>'[2]Summary for 5th Plan'!$Q15</f>
        <v>0.2932388936035575</v>
      </c>
      <c r="C69" s="80"/>
      <c r="D69" s="20"/>
      <c r="E69" s="19">
        <f>E67*$B69</f>
        <v>12356.212744341048</v>
      </c>
      <c r="F69" s="19">
        <f aca="true" t="shared" si="34" ref="F69:AC69">F67*$B69</f>
        <v>12643.90590881245</v>
      </c>
      <c r="G69" s="19">
        <f t="shared" si="34"/>
        <v>12938.297513865611</v>
      </c>
      <c r="H69" s="19">
        <f t="shared" si="34"/>
        <v>13239.543521170006</v>
      </c>
      <c r="I69" s="19">
        <f t="shared" si="34"/>
        <v>13547.803523694378</v>
      </c>
      <c r="J69" s="19">
        <f t="shared" si="34"/>
        <v>13863.240830255278</v>
      </c>
      <c r="K69" s="19">
        <f t="shared" si="34"/>
        <v>14186.022552034214</v>
      </c>
      <c r="L69" s="19">
        <f t="shared" si="34"/>
        <v>14516.319691109173</v>
      </c>
      <c r="M69" s="19">
        <f t="shared" si="34"/>
        <v>14854.307231047438</v>
      </c>
      <c r="N69" s="19">
        <f t="shared" si="34"/>
        <v>15200.164229607748</v>
      </c>
      <c r="O69" s="19">
        <f t="shared" si="34"/>
        <v>15554.073913600816</v>
      </c>
      <c r="P69" s="19">
        <f t="shared" si="34"/>
        <v>15916.22377595854</v>
      </c>
      <c r="Q69" s="19">
        <f t="shared" si="34"/>
        <v>16286.805675063308</v>
      </c>
      <c r="R69" s="19">
        <f t="shared" si="34"/>
        <v>16666.015936389995</v>
      </c>
      <c r="S69" s="19">
        <f t="shared" si="34"/>
        <v>17054.055456514536</v>
      </c>
      <c r="T69" s="19">
        <f t="shared" si="34"/>
        <v>17451.129809544145</v>
      </c>
      <c r="U69" s="19">
        <f t="shared" si="34"/>
        <v>17857.44935602559</v>
      </c>
      <c r="V69" s="19">
        <f t="shared" si="34"/>
        <v>18273.22935438922</v>
      </c>
      <c r="W69" s="19">
        <f t="shared" si="34"/>
        <v>18698.69007498774</v>
      </c>
      <c r="X69" s="19">
        <f t="shared" si="34"/>
        <v>19134.056916790207</v>
      </c>
      <c r="Y69" s="19">
        <f t="shared" si="34"/>
        <v>19579.560526793066</v>
      </c>
      <c r="Z69" s="19">
        <f t="shared" si="34"/>
        <v>20035.436922211407</v>
      </c>
      <c r="AA69" s="19">
        <f t="shared" si="34"/>
        <v>20501.92761551531</v>
      </c>
      <c r="AB69" s="19">
        <f t="shared" si="34"/>
        <v>20979.279742377363</v>
      </c>
      <c r="AC69" s="19">
        <f t="shared" si="34"/>
        <v>21467.746192599294</v>
      </c>
      <c r="AD69" s="279">
        <f t="shared" si="21"/>
        <v>412801.4990146979</v>
      </c>
      <c r="AE69" s="283">
        <f>AD69/AD73</f>
        <v>0.6736428852566493</v>
      </c>
    </row>
    <row r="70" spans="1:31" ht="13.5" thickBot="1">
      <c r="A70" s="94" t="s">
        <v>59</v>
      </c>
      <c r="B70" s="86">
        <f>'[2]Summary for 5th Plan'!$Q16</f>
        <v>0.0827263300438716</v>
      </c>
      <c r="C70" s="82"/>
      <c r="D70" s="20"/>
      <c r="E70" s="19">
        <f>E67*$B70</f>
        <v>3485.8409163232814</v>
      </c>
      <c r="F70" s="19">
        <f aca="true" t="shared" si="35" ref="F70:AC70">F67*$B70</f>
        <v>3567.0027273741816</v>
      </c>
      <c r="G70" s="19">
        <f t="shared" si="35"/>
        <v>3650.0542516194546</v>
      </c>
      <c r="H70" s="19">
        <f t="shared" si="35"/>
        <v>3735.039487781046</v>
      </c>
      <c r="I70" s="19">
        <f t="shared" si="35"/>
        <v>3822.0034590154755</v>
      </c>
      <c r="J70" s="19">
        <f t="shared" si="35"/>
        <v>3910.992236766035</v>
      </c>
      <c r="K70" s="19">
        <f t="shared" si="35"/>
        <v>4002.0529651703437</v>
      </c>
      <c r="L70" s="19">
        <f t="shared" si="35"/>
        <v>4095.23388603619</v>
      </c>
      <c r="M70" s="19">
        <f t="shared" si="35"/>
        <v>4190.584364398894</v>
      </c>
      <c r="N70" s="19">
        <f t="shared" si="35"/>
        <v>4288.15491467373</v>
      </c>
      <c r="O70" s="19">
        <f t="shared" si="35"/>
        <v>4387.997227417259</v>
      </c>
      <c r="P70" s="19">
        <f t="shared" si="35"/>
        <v>4490.164196711758</v>
      </c>
      <c r="Q70" s="19">
        <f t="shared" si="35"/>
        <v>4594.70994818725</v>
      </c>
      <c r="R70" s="19">
        <f t="shared" si="35"/>
        <v>4701.689867695969</v>
      </c>
      <c r="S70" s="19">
        <f t="shared" si="35"/>
        <v>4811.160630654471</v>
      </c>
      <c r="T70" s="19">
        <f t="shared" si="35"/>
        <v>4923.1802320689185</v>
      </c>
      <c r="U70" s="19">
        <f t="shared" si="35"/>
        <v>5037.808017259459</v>
      </c>
      <c r="V70" s="19">
        <f t="shared" si="35"/>
        <v>5155.104713299963</v>
      </c>
      <c r="W70" s="19">
        <f t="shared" si="35"/>
        <v>5275.132461189779</v>
      </c>
      <c r="X70" s="19">
        <f t="shared" si="35"/>
        <v>5397.9548487745615</v>
      </c>
      <c r="Y70" s="19">
        <f t="shared" si="35"/>
        <v>5523.6369444336</v>
      </c>
      <c r="Z70" s="19">
        <f t="shared" si="35"/>
        <v>5652.24533155149</v>
      </c>
      <c r="AA70" s="19">
        <f t="shared" si="35"/>
        <v>5783.848143792441</v>
      </c>
      <c r="AB70" s="19">
        <f t="shared" si="35"/>
        <v>5918.515101195854</v>
      </c>
      <c r="AC70" s="19">
        <f t="shared" si="35"/>
        <v>6056.317547112352</v>
      </c>
      <c r="AD70" s="279">
        <f t="shared" si="21"/>
        <v>116456.42442050375</v>
      </c>
      <c r="AE70" s="283">
        <f>AD70/AD74</f>
        <v>0.4444970048181266</v>
      </c>
    </row>
    <row r="71" spans="1:31" ht="12.75">
      <c r="A71" s="90" t="s">
        <v>55</v>
      </c>
      <c r="B71" s="84">
        <v>1</v>
      </c>
      <c r="C71" s="79"/>
      <c r="D71" s="148"/>
      <c r="E71" s="149">
        <f>$B71*E$20</f>
        <v>72612.09210353997</v>
      </c>
      <c r="F71" s="149">
        <f aca="true" t="shared" si="36" ref="F71:AC71">$B71*F$20</f>
        <v>74302.73979538417</v>
      </c>
      <c r="G71" s="149">
        <f t="shared" si="36"/>
        <v>76032.75131128488</v>
      </c>
      <c r="H71" s="149">
        <f t="shared" si="36"/>
        <v>77803.04317019031</v>
      </c>
      <c r="I71" s="149">
        <f t="shared" si="36"/>
        <v>79614.55323061625</v>
      </c>
      <c r="J71" s="149">
        <f t="shared" si="36"/>
        <v>81468.24118750115</v>
      </c>
      <c r="K71" s="149">
        <f t="shared" si="36"/>
        <v>83365.0890806297</v>
      </c>
      <c r="L71" s="149">
        <f t="shared" si="36"/>
        <v>85306.10181489414</v>
      </c>
      <c r="M71" s="149">
        <f t="shared" si="36"/>
        <v>87292.30769266895</v>
      </c>
      <c r="N71" s="149">
        <f t="shared" si="36"/>
        <v>89324.75895858105</v>
      </c>
      <c r="O71" s="149">
        <f t="shared" si="36"/>
        <v>91404.53235696387</v>
      </c>
      <c r="P71" s="149">
        <f t="shared" si="36"/>
        <v>93532.72970229096</v>
      </c>
      <c r="Q71" s="149">
        <f t="shared" si="36"/>
        <v>95710.47846289109</v>
      </c>
      <c r="R71" s="149">
        <f t="shared" si="36"/>
        <v>97938.9323582541</v>
      </c>
      <c r="S71" s="149">
        <f t="shared" si="36"/>
        <v>100219.2719702441</v>
      </c>
      <c r="T71" s="149">
        <f t="shared" si="36"/>
        <v>102552.70536854361</v>
      </c>
      <c r="U71" s="149">
        <f t="shared" si="36"/>
        <v>104940.46875066016</v>
      </c>
      <c r="V71" s="149">
        <f t="shared" si="36"/>
        <v>107383.82709683434</v>
      </c>
      <c r="W71" s="149">
        <f t="shared" si="36"/>
        <v>109884.07484019622</v>
      </c>
      <c r="X71" s="149">
        <f t="shared" si="36"/>
        <v>112442.53655252523</v>
      </c>
      <c r="Y71" s="149">
        <f t="shared" si="36"/>
        <v>115060.56764597677</v>
      </c>
      <c r="Z71" s="149">
        <f t="shared" si="36"/>
        <v>117739.55509114737</v>
      </c>
      <c r="AA71" s="149">
        <f t="shared" si="36"/>
        <v>120480.91815185868</v>
      </c>
      <c r="AB71" s="149">
        <f t="shared" si="36"/>
        <v>123286.10913704972</v>
      </c>
      <c r="AC71" s="149">
        <f t="shared" si="36"/>
        <v>126156.61417017553</v>
      </c>
      <c r="AD71" s="278">
        <f t="shared" si="21"/>
        <v>2425855.000000902</v>
      </c>
      <c r="AE71" s="282">
        <f>AD71/AD71</f>
        <v>1</v>
      </c>
    </row>
    <row r="72" spans="1:31" ht="12.75">
      <c r="A72" s="91" t="s">
        <v>4</v>
      </c>
      <c r="B72" s="85">
        <f>'[2]Summary for 5th Plan'!$R14</f>
        <v>0.6393907360268539</v>
      </c>
      <c r="C72" s="80"/>
      <c r="D72" s="20"/>
      <c r="E72" s="19">
        <f>E71*$B72</f>
        <v>46427.49901453213</v>
      </c>
      <c r="F72" s="19">
        <f aca="true" t="shared" si="37" ref="F72:AC72">F71*$B72</f>
        <v>47508.483486582496</v>
      </c>
      <c r="G72" s="19">
        <f t="shared" si="37"/>
        <v>48614.63682306918</v>
      </c>
      <c r="H72" s="19">
        <f t="shared" si="37"/>
        <v>49746.54503771708</v>
      </c>
      <c r="I72" s="19">
        <f t="shared" si="37"/>
        <v>50904.80778857286</v>
      </c>
      <c r="J72" s="19">
        <f t="shared" si="37"/>
        <v>52090.03869568961</v>
      </c>
      <c r="K72" s="19">
        <f t="shared" si="37"/>
        <v>53302.86566620806</v>
      </c>
      <c r="L72" s="19">
        <f t="shared" si="37"/>
        <v>54543.9312270069</v>
      </c>
      <c r="M72" s="19">
        <f t="shared" si="37"/>
        <v>55813.892865098205</v>
      </c>
      <c r="N72" s="19">
        <f t="shared" si="37"/>
        <v>57113.42337594845</v>
      </c>
      <c r="O72" s="19">
        <f t="shared" si="37"/>
        <v>58443.21121990951</v>
      </c>
      <c r="P72" s="19">
        <f t="shared" si="37"/>
        <v>59803.960886948604</v>
      </c>
      <c r="Q72" s="19">
        <f t="shared" si="37"/>
        <v>61196.393269870285</v>
      </c>
      <c r="R72" s="19">
        <f t="shared" si="37"/>
        <v>62621.24604622835</v>
      </c>
      <c r="S72" s="19">
        <f t="shared" si="37"/>
        <v>64079.274069129824</v>
      </c>
      <c r="T72" s="19">
        <f t="shared" si="37"/>
        <v>65571.24976713819</v>
      </c>
      <c r="U72" s="19">
        <f t="shared" si="37"/>
        <v>67097.96355348766</v>
      </c>
      <c r="V72" s="19">
        <f t="shared" si="37"/>
        <v>68660.22424482532</v>
      </c>
      <c r="W72" s="19">
        <f t="shared" si="37"/>
        <v>70258.85948970295</v>
      </c>
      <c r="X72" s="19">
        <f t="shared" si="37"/>
        <v>71894.71620704554</v>
      </c>
      <c r="Y72" s="19">
        <f t="shared" si="37"/>
        <v>73568.6610348287</v>
      </c>
      <c r="Z72" s="19">
        <f t="shared" si="37"/>
        <v>75281.58078920303</v>
      </c>
      <c r="AA72" s="19">
        <f t="shared" si="37"/>
        <v>77034.38293430807</v>
      </c>
      <c r="AB72" s="19">
        <f t="shared" si="37"/>
        <v>78827.99606302526</v>
      </c>
      <c r="AC72" s="19">
        <f t="shared" si="37"/>
        <v>80663.37038892436</v>
      </c>
      <c r="AD72" s="279">
        <f t="shared" si="21"/>
        <v>1551069.213945001</v>
      </c>
      <c r="AE72" s="283">
        <f>AD72/AD72</f>
        <v>1</v>
      </c>
    </row>
    <row r="73" spans="1:31" ht="12.75">
      <c r="A73" s="91" t="s">
        <v>58</v>
      </c>
      <c r="B73" s="85">
        <f>'[2]Summary for 5th Plan'!$R15</f>
        <v>0.25260776714740274</v>
      </c>
      <c r="C73" s="80"/>
      <c r="D73" s="20"/>
      <c r="E73" s="19">
        <f>E71*$B73</f>
        <v>18342.378454176785</v>
      </c>
      <c r="F73" s="19">
        <f aca="true" t="shared" si="38" ref="F73:AC73">F71*$B73</f>
        <v>18769.44919264646</v>
      </c>
      <c r="G73" s="19">
        <f t="shared" si="38"/>
        <v>19206.463538817432</v>
      </c>
      <c r="H73" s="19">
        <f t="shared" si="38"/>
        <v>19653.653012494757</v>
      </c>
      <c r="I73" s="19">
        <f t="shared" si="38"/>
        <v>20111.25452402401</v>
      </c>
      <c r="J73" s="19">
        <f t="shared" si="38"/>
        <v>20579.510499800734</v>
      </c>
      <c r="K73" s="19">
        <f t="shared" si="38"/>
        <v>21058.669010702193</v>
      </c>
      <c r="L73" s="19">
        <f t="shared" si="38"/>
        <v>21548.98390350941</v>
      </c>
      <c r="M73" s="19">
        <f t="shared" si="38"/>
        <v>22050.71493538915</v>
      </c>
      <c r="N73" s="19">
        <f t="shared" si="38"/>
        <v>22564.12791150712</v>
      </c>
      <c r="O73" s="19">
        <f t="shared" si="38"/>
        <v>23089.49482584517</v>
      </c>
      <c r="P73" s="19">
        <f t="shared" si="38"/>
        <v>23627.094005297276</v>
      </c>
      <c r="Q73" s="19">
        <f t="shared" si="38"/>
        <v>24177.210257120496</v>
      </c>
      <c r="R73" s="19">
        <f t="shared" si="38"/>
        <v>24740.135019819078</v>
      </c>
      <c r="S73" s="19">
        <f t="shared" si="38"/>
        <v>25316.166517541646</v>
      </c>
      <c r="T73" s="19">
        <f t="shared" si="38"/>
        <v>25905.609918073264</v>
      </c>
      <c r="U73" s="19">
        <f t="shared" si="38"/>
        <v>26508.777494506056</v>
      </c>
      <c r="V73" s="19">
        <f t="shared" si="38"/>
        <v>27125.988790674088</v>
      </c>
      <c r="W73" s="19">
        <f t="shared" si="38"/>
        <v>27757.570790440062</v>
      </c>
      <c r="X73" s="19">
        <f t="shared" si="38"/>
        <v>28403.858090923615</v>
      </c>
      <c r="Y73" s="19">
        <f t="shared" si="38"/>
        <v>29065.19307976288</v>
      </c>
      <c r="Z73" s="19">
        <f t="shared" si="38"/>
        <v>29741.926116503353</v>
      </c>
      <c r="AA73" s="19">
        <f t="shared" si="38"/>
        <v>30434.415718210006</v>
      </c>
      <c r="AB73" s="19">
        <f t="shared" si="38"/>
        <v>31143.028749401135</v>
      </c>
      <c r="AC73" s="19">
        <f t="shared" si="38"/>
        <v>31868.140616404427</v>
      </c>
      <c r="AD73" s="279">
        <f t="shared" si="21"/>
        <v>612789.8149735907</v>
      </c>
      <c r="AE73" s="283">
        <f>AD73/AD73</f>
        <v>1</v>
      </c>
    </row>
    <row r="74" spans="1:31" ht="13.5" thickBot="1">
      <c r="A74" s="92" t="s">
        <v>59</v>
      </c>
      <c r="B74" s="86">
        <f>'[2]Summary for 5th Plan'!$R16</f>
        <v>0.10800149682574332</v>
      </c>
      <c r="C74" s="82"/>
      <c r="D74" s="116"/>
      <c r="E74" s="152">
        <f>E71*$B74</f>
        <v>7842.214634831053</v>
      </c>
      <c r="F74" s="152">
        <f aca="true" t="shared" si="39" ref="F74:AC74">F71*$B74</f>
        <v>8024.807116155216</v>
      </c>
      <c r="G74" s="152">
        <f t="shared" si="39"/>
        <v>8211.650949398267</v>
      </c>
      <c r="H74" s="152">
        <f t="shared" si="39"/>
        <v>8402.84511997848</v>
      </c>
      <c r="I74" s="152">
        <f t="shared" si="39"/>
        <v>8598.490918019374</v>
      </c>
      <c r="J74" s="152">
        <f t="shared" si="39"/>
        <v>8798.691992010796</v>
      </c>
      <c r="K74" s="152">
        <f t="shared" si="39"/>
        <v>9003.554403719438</v>
      </c>
      <c r="L74" s="152">
        <f t="shared" si="39"/>
        <v>9213.186684377826</v>
      </c>
      <c r="M74" s="152">
        <f t="shared" si="39"/>
        <v>9427.699892181596</v>
      </c>
      <c r="N74" s="152">
        <f t="shared" si="39"/>
        <v>9647.20767112548</v>
      </c>
      <c r="O74" s="152">
        <f t="shared" si="39"/>
        <v>9871.826311209186</v>
      </c>
      <c r="P74" s="152">
        <f t="shared" si="39"/>
        <v>10101.674810045086</v>
      </c>
      <c r="Q74" s="152">
        <f t="shared" si="39"/>
        <v>10336.874935900307</v>
      </c>
      <c r="R74" s="152">
        <f t="shared" si="39"/>
        <v>10577.55129220667</v>
      </c>
      <c r="S74" s="152">
        <f t="shared" si="39"/>
        <v>10823.831383572624</v>
      </c>
      <c r="T74" s="152">
        <f t="shared" si="39"/>
        <v>11075.845683332152</v>
      </c>
      <c r="U74" s="152">
        <f t="shared" si="39"/>
        <v>11333.72770266644</v>
      </c>
      <c r="V74" s="152">
        <f t="shared" si="39"/>
        <v>11597.614061334923</v>
      </c>
      <c r="W74" s="152">
        <f t="shared" si="39"/>
        <v>11867.644560053193</v>
      </c>
      <c r="X74" s="152">
        <f t="shared" si="39"/>
        <v>12143.962254556081</v>
      </c>
      <c r="Y74" s="152">
        <f t="shared" si="39"/>
        <v>12426.713531385185</v>
      </c>
      <c r="Z74" s="152">
        <f t="shared" si="39"/>
        <v>12716.048185440985</v>
      </c>
      <c r="AA74" s="152">
        <f t="shared" si="39"/>
        <v>13012.119499340606</v>
      </c>
      <c r="AB74" s="152">
        <f t="shared" si="39"/>
        <v>13315.08432462332</v>
      </c>
      <c r="AC74" s="152">
        <f t="shared" si="39"/>
        <v>13625.103164846738</v>
      </c>
      <c r="AD74" s="280">
        <f t="shared" si="21"/>
        <v>261995.971082311</v>
      </c>
      <c r="AE74" s="284">
        <f>AD74/AD74</f>
        <v>1</v>
      </c>
    </row>
    <row r="75" ht="12.75"/>
    <row r="76" ht="13.5" thickBot="1"/>
    <row r="77" spans="1:32" ht="13.5" thickBot="1">
      <c r="A77" s="127" t="s">
        <v>46</v>
      </c>
      <c r="B77" s="6"/>
      <c r="C77" s="234"/>
      <c r="D77" s="263">
        <f>'[2]Summary for 5th Plan'!$F$19*'[2]PNW Households &amp;  Housing Units'!$B$23/'[2]PNW Households &amp;  Housing Units'!$C$23</f>
        <v>2945565.266926393</v>
      </c>
      <c r="E77"/>
      <c r="F77"/>
      <c r="G77"/>
      <c r="H77"/>
      <c r="I77"/>
      <c r="J77"/>
      <c r="K77"/>
      <c r="L77"/>
      <c r="M77"/>
      <c r="N77"/>
      <c r="O77"/>
      <c r="P77"/>
      <c r="Q77"/>
      <c r="R77"/>
      <c r="S77"/>
      <c r="T77"/>
      <c r="U77"/>
      <c r="V77"/>
      <c r="W77"/>
      <c r="X77"/>
      <c r="Y77"/>
      <c r="Z77"/>
      <c r="AA77"/>
      <c r="AB77"/>
      <c r="AC77"/>
      <c r="AD77"/>
      <c r="AE77"/>
      <c r="AF77"/>
    </row>
    <row r="78" spans="1:32" ht="64.5" thickBot="1">
      <c r="A78" s="258" t="s">
        <v>96</v>
      </c>
      <c r="B78" s="145" t="s">
        <v>48</v>
      </c>
      <c r="C78" s="255" t="s">
        <v>60</v>
      </c>
      <c r="D78" s="318">
        <v>2000</v>
      </c>
      <c r="E78" s="319">
        <v>2001</v>
      </c>
      <c r="F78" s="319">
        <v>2002</v>
      </c>
      <c r="G78" s="319">
        <v>2003</v>
      </c>
      <c r="H78" s="319">
        <v>2004</v>
      </c>
      <c r="I78" s="319">
        <v>2005</v>
      </c>
      <c r="J78" s="319">
        <v>2006</v>
      </c>
      <c r="K78" s="319">
        <v>2007</v>
      </c>
      <c r="L78" s="319">
        <v>2008</v>
      </c>
      <c r="M78" s="319">
        <v>2009</v>
      </c>
      <c r="N78" s="319">
        <v>2010</v>
      </c>
      <c r="O78" s="319">
        <v>2011</v>
      </c>
      <c r="P78" s="319">
        <v>2012</v>
      </c>
      <c r="Q78" s="319">
        <v>2013</v>
      </c>
      <c r="R78" s="319">
        <v>2014</v>
      </c>
      <c r="S78" s="319">
        <v>2015</v>
      </c>
      <c r="T78" s="319">
        <v>2016</v>
      </c>
      <c r="U78" s="319">
        <v>2017</v>
      </c>
      <c r="V78" s="319">
        <v>2018</v>
      </c>
      <c r="W78" s="319">
        <v>2019</v>
      </c>
      <c r="X78" s="319">
        <v>2020</v>
      </c>
      <c r="Y78" s="319">
        <v>2021</v>
      </c>
      <c r="Z78" s="319">
        <v>2022</v>
      </c>
      <c r="AA78" s="319">
        <v>2023</v>
      </c>
      <c r="AB78" s="319">
        <v>2024</v>
      </c>
      <c r="AC78" s="320">
        <v>2025</v>
      </c>
      <c r="AD78" s="250" t="s">
        <v>64</v>
      </c>
      <c r="AE78" s="249" t="s">
        <v>97</v>
      </c>
      <c r="AF78" s="249" t="s">
        <v>126</v>
      </c>
    </row>
    <row r="79" spans="1:32" ht="12.75">
      <c r="A79" s="259" t="s">
        <v>0</v>
      </c>
      <c r="B79" s="256">
        <f>'[2]Summary for 5th Plan'!$F16/'[2]Summary for 5th Plan'!$F$19</f>
        <v>0.809783112407837</v>
      </c>
      <c r="C79" s="312">
        <v>0.0013658656610175599</v>
      </c>
      <c r="D79" s="321">
        <f>D$77*B79</f>
        <v>2385269.0096520754</v>
      </c>
      <c r="E79" s="140">
        <f>D79*(1+$C79)</f>
        <v>2388526.9666846488</v>
      </c>
      <c r="F79" s="140">
        <f aca="true" t="shared" si="40" ref="F79:AC79">E79*(1+$C79)</f>
        <v>2391789.3736488577</v>
      </c>
      <c r="G79" s="140">
        <f t="shared" si="40"/>
        <v>2395056.2366227116</v>
      </c>
      <c r="H79" s="140">
        <f t="shared" si="40"/>
        <v>2398327.5616925205</v>
      </c>
      <c r="I79" s="140">
        <f t="shared" si="40"/>
        <v>2401603.3549529086</v>
      </c>
      <c r="J79" s="140">
        <f t="shared" si="40"/>
        <v>2404883.6225068234</v>
      </c>
      <c r="K79" s="140">
        <f t="shared" si="40"/>
        <v>2408168.370465549</v>
      </c>
      <c r="L79" s="140">
        <f t="shared" si="40"/>
        <v>2411457.6049487167</v>
      </c>
      <c r="M79" s="140">
        <f t="shared" si="40"/>
        <v>2414751.332084316</v>
      </c>
      <c r="N79" s="140">
        <f t="shared" si="40"/>
        <v>2418049.558008706</v>
      </c>
      <c r="O79" s="140">
        <f t="shared" si="40"/>
        <v>2421352.288866629</v>
      </c>
      <c r="P79" s="140">
        <f t="shared" si="40"/>
        <v>2424659.530811218</v>
      </c>
      <c r="Q79" s="140">
        <f t="shared" si="40"/>
        <v>2427971.290004012</v>
      </c>
      <c r="R79" s="140">
        <f t="shared" si="40"/>
        <v>2431287.572614965</v>
      </c>
      <c r="S79" s="140">
        <f t="shared" si="40"/>
        <v>2434608.3848224585</v>
      </c>
      <c r="T79" s="140">
        <f t="shared" si="40"/>
        <v>2437933.732813313</v>
      </c>
      <c r="U79" s="140">
        <f t="shared" si="40"/>
        <v>2441263.6227827994</v>
      </c>
      <c r="V79" s="140">
        <f t="shared" si="40"/>
        <v>2444598.06093465</v>
      </c>
      <c r="W79" s="140">
        <f t="shared" si="40"/>
        <v>2447937.053481071</v>
      </c>
      <c r="X79" s="140">
        <f t="shared" si="40"/>
        <v>2451280.6066427534</v>
      </c>
      <c r="Y79" s="140">
        <f t="shared" si="40"/>
        <v>2454628.7266488853</v>
      </c>
      <c r="Z79" s="140">
        <f t="shared" si="40"/>
        <v>2457981.4197371625</v>
      </c>
      <c r="AA79" s="140">
        <f t="shared" si="40"/>
        <v>2461338.6921538007</v>
      </c>
      <c r="AB79" s="140">
        <f t="shared" si="40"/>
        <v>2464700.5501535474</v>
      </c>
      <c r="AC79" s="141">
        <f t="shared" si="40"/>
        <v>2468066.999999693</v>
      </c>
      <c r="AD79" s="315">
        <f>AC79</f>
        <v>2468066.999999693</v>
      </c>
      <c r="AE79" s="251">
        <f>'[2]Summary for 5th Plan'!$F3</f>
        <v>2468066.780708859</v>
      </c>
      <c r="AF79" s="251">
        <f>'[2]Summary for 5th Plan'!$F8</f>
        <v>814462.0376339236</v>
      </c>
    </row>
    <row r="80" spans="1:32" ht="12.75">
      <c r="A80" s="260" t="s">
        <v>1</v>
      </c>
      <c r="B80" s="256">
        <f>'[2]Summary for 5th Plan'!$F17/'[2]Summary for 5th Plan'!$F$19</f>
        <v>0.12829935317159524</v>
      </c>
      <c r="C80" s="313">
        <v>0.0013658290190166457</v>
      </c>
      <c r="D80" s="105">
        <f>D$77*B80</f>
        <v>377914.1184713735</v>
      </c>
      <c r="E80" s="5">
        <f aca="true" t="shared" si="41" ref="E80:AC80">D80*(1+$C80)</f>
        <v>378430.2845410778</v>
      </c>
      <c r="F80" s="5">
        <f t="shared" si="41"/>
        <v>378947.15560537874</v>
      </c>
      <c r="G80" s="5">
        <f t="shared" si="41"/>
        <v>379464.73262717837</v>
      </c>
      <c r="H80" s="5">
        <f t="shared" si="41"/>
        <v>379983.01657069393</v>
      </c>
      <c r="I80" s="5">
        <f t="shared" si="41"/>
        <v>380502.00840145967</v>
      </c>
      <c r="J80" s="5">
        <f t="shared" si="41"/>
        <v>381021.70908632845</v>
      </c>
      <c r="K80" s="5">
        <f t="shared" si="41"/>
        <v>381542.11959347385</v>
      </c>
      <c r="L80" s="5">
        <f t="shared" si="41"/>
        <v>382063.2408923917</v>
      </c>
      <c r="M80" s="5">
        <f t="shared" si="41"/>
        <v>382585.07395390206</v>
      </c>
      <c r="N80" s="5">
        <f t="shared" si="41"/>
        <v>383107.6197501509</v>
      </c>
      <c r="O80" s="5">
        <f t="shared" si="41"/>
        <v>383630.879254612</v>
      </c>
      <c r="P80" s="5">
        <f t="shared" si="41"/>
        <v>384154.8534420888</v>
      </c>
      <c r="Q80" s="5">
        <f t="shared" si="41"/>
        <v>384679.5432887161</v>
      </c>
      <c r="R80" s="5">
        <f t="shared" si="41"/>
        <v>385204.9497719619</v>
      </c>
      <c r="S80" s="5">
        <f t="shared" si="41"/>
        <v>385731.07387062925</v>
      </c>
      <c r="T80" s="5">
        <f t="shared" si="41"/>
        <v>386257.91656485817</v>
      </c>
      <c r="U80" s="5">
        <f t="shared" si="41"/>
        <v>386785.4788361273</v>
      </c>
      <c r="V80" s="5">
        <f t="shared" si="41"/>
        <v>387313.76166725595</v>
      </c>
      <c r="W80" s="5">
        <f t="shared" si="41"/>
        <v>387842.76604240556</v>
      </c>
      <c r="X80" s="5">
        <f t="shared" si="41"/>
        <v>388372.492947082</v>
      </c>
      <c r="Y80" s="5">
        <f t="shared" si="41"/>
        <v>388902.94336813694</v>
      </c>
      <c r="Z80" s="5">
        <f t="shared" si="41"/>
        <v>389434.1182937701</v>
      </c>
      <c r="AA80" s="5">
        <f t="shared" si="41"/>
        <v>389966.0187135309</v>
      </c>
      <c r="AB80" s="5">
        <f t="shared" si="41"/>
        <v>390498.6456183202</v>
      </c>
      <c r="AC80" s="74">
        <f t="shared" si="41"/>
        <v>391032.0000003924</v>
      </c>
      <c r="AD80" s="316">
        <f>AC80</f>
        <v>391032.0000003924</v>
      </c>
      <c r="AE80" s="251">
        <f>'[2]Summary for 5th Plan'!$F4</f>
        <v>391032.3229731304</v>
      </c>
      <c r="AF80" s="251">
        <f>'[2]Summary for 5th Plan'!$F9</f>
        <v>289363.91900011647</v>
      </c>
    </row>
    <row r="81" spans="1:32" ht="12.75">
      <c r="A81" s="260" t="s">
        <v>11</v>
      </c>
      <c r="B81" s="256">
        <f>'[2]Summary for 5th Plan'!$F18/'[2]Summary for 5th Plan'!$F$19</f>
        <v>0.06191753442056771</v>
      </c>
      <c r="C81" s="313">
        <v>-0.007081015940775833</v>
      </c>
      <c r="D81" s="105">
        <f>D$77*B81</f>
        <v>182382.13880294363</v>
      </c>
      <c r="E81" s="5">
        <f aca="true" t="shared" si="42" ref="E81:AC81">D81*(1+$C81)</f>
        <v>181090.6879707672</v>
      </c>
      <c r="F81" s="5">
        <f t="shared" si="42"/>
        <v>179808.38192252014</v>
      </c>
      <c r="G81" s="5">
        <f t="shared" si="42"/>
        <v>178535.15590384166</v>
      </c>
      <c r="H81" s="5">
        <f t="shared" si="42"/>
        <v>177270.94561889765</v>
      </c>
      <c r="I81" s="5">
        <f t="shared" si="42"/>
        <v>176015.68722713384</v>
      </c>
      <c r="J81" s="5">
        <f t="shared" si="42"/>
        <v>174769.3173400519</v>
      </c>
      <c r="K81" s="5">
        <f t="shared" si="42"/>
        <v>173531.77301800848</v>
      </c>
      <c r="L81" s="5">
        <f t="shared" si="42"/>
        <v>172302.99176703687</v>
      </c>
      <c r="M81" s="5">
        <f t="shared" si="42"/>
        <v>171082.91153569112</v>
      </c>
      <c r="N81" s="5">
        <f t="shared" si="42"/>
        <v>169871.47071191255</v>
      </c>
      <c r="O81" s="5">
        <f t="shared" si="42"/>
        <v>168668.60811991847</v>
      </c>
      <c r="P81" s="5">
        <f t="shared" si="42"/>
        <v>167474.26301711285</v>
      </c>
      <c r="Q81" s="5">
        <f t="shared" si="42"/>
        <v>166288.375091019</v>
      </c>
      <c r="R81" s="5">
        <f t="shared" si="42"/>
        <v>165110.8844562338</v>
      </c>
      <c r="S81" s="5">
        <f t="shared" si="42"/>
        <v>163941.7316514036</v>
      </c>
      <c r="T81" s="5">
        <f t="shared" si="42"/>
        <v>162780.85763622163</v>
      </c>
      <c r="U81" s="5">
        <f t="shared" si="42"/>
        <v>161628.20378844638</v>
      </c>
      <c r="V81" s="5">
        <f t="shared" si="42"/>
        <v>160483.71190094142</v>
      </c>
      <c r="W81" s="5">
        <f t="shared" si="42"/>
        <v>159347.324178736</v>
      </c>
      <c r="X81" s="5">
        <f t="shared" si="42"/>
        <v>158218.98323610637</v>
      </c>
      <c r="Y81" s="5">
        <f t="shared" si="42"/>
        <v>157098.63209367817</v>
      </c>
      <c r="Z81" s="5">
        <f t="shared" si="42"/>
        <v>155986.21417554875</v>
      </c>
      <c r="AA81" s="5">
        <f t="shared" si="42"/>
        <v>154881.67330643043</v>
      </c>
      <c r="AB81" s="5">
        <f t="shared" si="42"/>
        <v>153784.95370881355</v>
      </c>
      <c r="AC81" s="74">
        <f t="shared" si="42"/>
        <v>152696.00000014997</v>
      </c>
      <c r="AD81" s="316">
        <f>AC81</f>
        <v>152696.00000014997</v>
      </c>
      <c r="AE81" s="251">
        <f>'[2]Summary for 5th Plan'!$F5</f>
        <v>152696.48398330316</v>
      </c>
      <c r="AF81" s="251">
        <f>'[2]Summary for 5th Plan'!$F10</f>
        <v>128265.04654597466</v>
      </c>
    </row>
    <row r="82" spans="1:32" ht="13.5" thickBot="1">
      <c r="A82" s="261" t="s">
        <v>49</v>
      </c>
      <c r="B82" s="257"/>
      <c r="C82" s="314"/>
      <c r="D82" s="106">
        <f aca="true" t="shared" si="43" ref="D82:AC82">SUM(D79:D81)</f>
        <v>2945565.2669263924</v>
      </c>
      <c r="E82" s="77">
        <f t="shared" si="43"/>
        <v>2948047.939196494</v>
      </c>
      <c r="F82" s="77">
        <f t="shared" si="43"/>
        <v>2950544.9111767565</v>
      </c>
      <c r="G82" s="77">
        <f t="shared" si="43"/>
        <v>2953056.125153732</v>
      </c>
      <c r="H82" s="77">
        <f t="shared" si="43"/>
        <v>2955581.523882112</v>
      </c>
      <c r="I82" s="77">
        <f t="shared" si="43"/>
        <v>2958121.050581502</v>
      </c>
      <c r="J82" s="77">
        <f t="shared" si="43"/>
        <v>2960674.6489332034</v>
      </c>
      <c r="K82" s="77">
        <f t="shared" si="43"/>
        <v>2963242.2630770314</v>
      </c>
      <c r="L82" s="77">
        <f t="shared" si="43"/>
        <v>2965823.837608145</v>
      </c>
      <c r="M82" s="77">
        <f t="shared" si="43"/>
        <v>2968419.3175739087</v>
      </c>
      <c r="N82" s="77">
        <f t="shared" si="43"/>
        <v>2971028.6484707696</v>
      </c>
      <c r="O82" s="77">
        <f t="shared" si="43"/>
        <v>2973651.7762411595</v>
      </c>
      <c r="P82" s="77">
        <f t="shared" si="43"/>
        <v>2976288.6472704196</v>
      </c>
      <c r="Q82" s="77">
        <f t="shared" si="43"/>
        <v>2978939.2083837474</v>
      </c>
      <c r="R82" s="77">
        <f t="shared" si="43"/>
        <v>2981603.4068431607</v>
      </c>
      <c r="S82" s="77">
        <f t="shared" si="43"/>
        <v>2984281.190344491</v>
      </c>
      <c r="T82" s="77">
        <f t="shared" si="43"/>
        <v>2986972.507014393</v>
      </c>
      <c r="U82" s="77">
        <f t="shared" si="43"/>
        <v>2989677.3054073732</v>
      </c>
      <c r="V82" s="77">
        <f t="shared" si="43"/>
        <v>2992395.534502847</v>
      </c>
      <c r="W82" s="77">
        <f t="shared" si="43"/>
        <v>2995127.1437022127</v>
      </c>
      <c r="X82" s="77">
        <f t="shared" si="43"/>
        <v>2997872.082825942</v>
      </c>
      <c r="Y82" s="77">
        <f t="shared" si="43"/>
        <v>3000630.3021107004</v>
      </c>
      <c r="Z82" s="77">
        <f t="shared" si="43"/>
        <v>3003401.7522064815</v>
      </c>
      <c r="AA82" s="77">
        <f t="shared" si="43"/>
        <v>3006186.384173762</v>
      </c>
      <c r="AB82" s="77">
        <f t="shared" si="43"/>
        <v>3008984.149480681</v>
      </c>
      <c r="AC82" s="78">
        <f t="shared" si="43"/>
        <v>3011795.0000002356</v>
      </c>
      <c r="AD82" s="317">
        <f>AC82</f>
        <v>3011795.0000002356</v>
      </c>
      <c r="AE82" s="251">
        <f>'[2]Summary for 5th Plan'!$F6</f>
        <v>3011795.5876652924</v>
      </c>
      <c r="AF82" s="251">
        <f>'[2]Summary for 5th Plan'!$F11</f>
        <v>1232091.0031800147</v>
      </c>
    </row>
  </sheetData>
  <printOptions/>
  <pageMargins left="0.75" right="0.75"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AF50"/>
  <sheetViews>
    <sheetView workbookViewId="0" topLeftCell="A16">
      <pane xSplit="2" topLeftCell="AD1" activePane="topRight" state="frozen"/>
      <selection pane="topLeft" activeCell="A1" sqref="A1"/>
      <selection pane="topRight" activeCell="AD9" sqref="AD9:AF15"/>
    </sheetView>
  </sheetViews>
  <sheetFormatPr defaultColWidth="9.140625" defaultRowHeight="12.75"/>
  <cols>
    <col min="1" max="1" width="42.8515625" style="24" customWidth="1"/>
    <col min="2" max="2" width="7.57421875" style="24" customWidth="1"/>
    <col min="3" max="3" width="11.140625" style="24" customWidth="1"/>
    <col min="4" max="4" width="11.28125" style="24" customWidth="1"/>
    <col min="5" max="24" width="10.28125" style="24" bestFit="1" customWidth="1"/>
    <col min="25" max="25" width="10.28125" style="0" bestFit="1" customWidth="1"/>
    <col min="26" max="29" width="10.28125" style="24" bestFit="1" customWidth="1"/>
    <col min="30" max="30" width="11.140625" style="24" customWidth="1"/>
    <col min="31" max="31" width="9.140625" style="24" customWidth="1"/>
    <col min="32" max="32" width="10.140625" style="24" customWidth="1"/>
    <col min="33" max="33" width="10.28125" style="24" bestFit="1" customWidth="1"/>
    <col min="34" max="16384" width="9.140625" style="24" customWidth="1"/>
  </cols>
  <sheetData>
    <row r="1" spans="1:6" ht="13.5" thickBot="1">
      <c r="A1" s="206" t="s">
        <v>153</v>
      </c>
      <c r="E1" s="158" t="s">
        <v>76</v>
      </c>
      <c r="F1" s="159"/>
    </row>
    <row r="2" ht="13.5" thickBot="1">
      <c r="D2" s="24" t="s">
        <v>43</v>
      </c>
    </row>
    <row r="3" spans="1:30" s="25" customFormat="1" ht="39" thickBot="1">
      <c r="A3" s="132" t="s">
        <v>27</v>
      </c>
      <c r="B3" s="125" t="s">
        <v>12</v>
      </c>
      <c r="C3" s="255" t="s">
        <v>60</v>
      </c>
      <c r="D3" s="125">
        <v>2000</v>
      </c>
      <c r="E3" s="125">
        <v>2001</v>
      </c>
      <c r="F3" s="125">
        <v>2002</v>
      </c>
      <c r="G3" s="125">
        <v>2003</v>
      </c>
      <c r="H3" s="125">
        <v>2004</v>
      </c>
      <c r="I3" s="125">
        <v>2005</v>
      </c>
      <c r="J3" s="125">
        <v>2006</v>
      </c>
      <c r="K3" s="125">
        <v>2007</v>
      </c>
      <c r="L3" s="125">
        <v>2008</v>
      </c>
      <c r="M3" s="125">
        <v>2009</v>
      </c>
      <c r="N3" s="125">
        <v>2010</v>
      </c>
      <c r="O3" s="125">
        <v>2011</v>
      </c>
      <c r="P3" s="125">
        <v>2012</v>
      </c>
      <c r="Q3" s="125">
        <v>2013</v>
      </c>
      <c r="R3" s="125">
        <v>2014</v>
      </c>
      <c r="S3" s="125">
        <v>2015</v>
      </c>
      <c r="T3" s="125">
        <v>2016</v>
      </c>
      <c r="U3" s="125">
        <v>2017</v>
      </c>
      <c r="V3" s="125">
        <v>2018</v>
      </c>
      <c r="W3" s="125">
        <v>2019</v>
      </c>
      <c r="X3" s="125">
        <v>2020</v>
      </c>
      <c r="Y3" s="125">
        <v>2021</v>
      </c>
      <c r="Z3" s="125">
        <v>2022</v>
      </c>
      <c r="AA3" s="125">
        <v>2023</v>
      </c>
      <c r="AB3" s="125">
        <v>2024</v>
      </c>
      <c r="AC3" s="125">
        <v>2025</v>
      </c>
      <c r="AD3" s="126" t="s">
        <v>75</v>
      </c>
    </row>
    <row r="4" spans="1:30" ht="12.75">
      <c r="A4" s="192" t="s">
        <v>0</v>
      </c>
      <c r="B4" s="322"/>
      <c r="C4" s="312">
        <v>-0.002270781301799791</v>
      </c>
      <c r="D4" s="337">
        <f>'[2]Summary for 5th Plan'!$F$16</f>
        <v>2612400.000001</v>
      </c>
      <c r="E4" s="337">
        <f>D4*(1+$C4)</f>
        <v>2606467.8109281757</v>
      </c>
      <c r="F4" s="337">
        <f aca="true" t="shared" si="0" ref="F4:AC4">E4*(1+$C4)</f>
        <v>2600549.0925593767</v>
      </c>
      <c r="G4" s="337">
        <f t="shared" si="0"/>
        <v>2594643.81430558</v>
      </c>
      <c r="H4" s="337">
        <f t="shared" si="0"/>
        <v>2588751.945647225</v>
      </c>
      <c r="I4" s="337">
        <f t="shared" si="0"/>
        <v>2582873.456134051</v>
      </c>
      <c r="J4" s="337">
        <f t="shared" si="0"/>
        <v>2577008.3153849468</v>
      </c>
      <c r="K4" s="337">
        <f t="shared" si="0"/>
        <v>2571156.493087788</v>
      </c>
      <c r="L4" s="337">
        <f t="shared" si="0"/>
        <v>2565317.958999283</v>
      </c>
      <c r="M4" s="337">
        <f t="shared" si="0"/>
        <v>2559492.6829448165</v>
      </c>
      <c r="N4" s="337">
        <f t="shared" si="0"/>
        <v>2553680.634818292</v>
      </c>
      <c r="O4" s="337">
        <f t="shared" si="0"/>
        <v>2547881.784581979</v>
      </c>
      <c r="P4" s="337">
        <f t="shared" si="0"/>
        <v>2542096.1022663536</v>
      </c>
      <c r="Q4" s="337">
        <f t="shared" si="0"/>
        <v>2536323.5579699487</v>
      </c>
      <c r="R4" s="337">
        <f t="shared" si="0"/>
        <v>2530564.121859196</v>
      </c>
      <c r="S4" s="337">
        <f t="shared" si="0"/>
        <v>2524817.7641682727</v>
      </c>
      <c r="T4" s="337">
        <f t="shared" si="0"/>
        <v>2519084.4551989473</v>
      </c>
      <c r="U4" s="337">
        <f t="shared" si="0"/>
        <v>2513364.165320427</v>
      </c>
      <c r="V4" s="337">
        <f t="shared" si="0"/>
        <v>2507656.8649692037</v>
      </c>
      <c r="W4" s="337">
        <f t="shared" si="0"/>
        <v>2501962.5246489015</v>
      </c>
      <c r="X4" s="337">
        <f t="shared" si="0"/>
        <v>2496281.114930125</v>
      </c>
      <c r="Y4" s="337">
        <f t="shared" si="0"/>
        <v>2490612.606450306</v>
      </c>
      <c r="Z4" s="337">
        <f t="shared" si="0"/>
        <v>2484956.9699135516</v>
      </c>
      <c r="AA4" s="337">
        <f t="shared" si="0"/>
        <v>2479314.1760904947</v>
      </c>
      <c r="AB4" s="337">
        <f t="shared" si="0"/>
        <v>2473684.195818141</v>
      </c>
      <c r="AC4" s="337">
        <f t="shared" si="0"/>
        <v>2468066.9999997197</v>
      </c>
      <c r="AD4" s="338">
        <f>'[2]Summary for 5th Plan'!$F$3</f>
        <v>2468066.780708859</v>
      </c>
    </row>
    <row r="5" spans="1:30" ht="12.75">
      <c r="A5" s="51" t="s">
        <v>67</v>
      </c>
      <c r="B5" s="323">
        <f>'[1] Existing SphtSysType PNRES'!Q52</f>
        <v>0.46950319222749537</v>
      </c>
      <c r="C5" s="323"/>
      <c r="D5" s="324">
        <f aca="true" t="shared" si="1" ref="D5:AC14">$B5*D$4</f>
        <v>1226530.1393755784</v>
      </c>
      <c r="E5" s="324">
        <f t="shared" si="1"/>
        <v>1223744.9576689904</v>
      </c>
      <c r="F5" s="324">
        <f t="shared" si="1"/>
        <v>1220966.1005009436</v>
      </c>
      <c r="G5" s="324">
        <f t="shared" si="1"/>
        <v>1218193.5535097946</v>
      </c>
      <c r="H5" s="324">
        <f t="shared" si="1"/>
        <v>1215427.3023665117</v>
      </c>
      <c r="I5" s="324">
        <f t="shared" si="1"/>
        <v>1212667.3327746007</v>
      </c>
      <c r="J5" s="324">
        <f t="shared" si="1"/>
        <v>1209913.6304700326</v>
      </c>
      <c r="K5" s="324">
        <f t="shared" si="1"/>
        <v>1207166.1812211687</v>
      </c>
      <c r="L5" s="324">
        <f t="shared" si="1"/>
        <v>1204424.9708286866</v>
      </c>
      <c r="M5" s="324">
        <f t="shared" si="1"/>
        <v>1201689.9851255082</v>
      </c>
      <c r="N5" s="324">
        <f t="shared" si="1"/>
        <v>1198961.209976725</v>
      </c>
      <c r="O5" s="324">
        <f t="shared" si="1"/>
        <v>1196238.6312795267</v>
      </c>
      <c r="P5" s="324">
        <f t="shared" si="1"/>
        <v>1193522.2349631265</v>
      </c>
      <c r="Q5" s="324">
        <f t="shared" si="1"/>
        <v>1190812.0069886898</v>
      </c>
      <c r="R5" s="324">
        <f t="shared" si="1"/>
        <v>1188107.933349261</v>
      </c>
      <c r="S5" s="324">
        <f t="shared" si="1"/>
        <v>1185410.0000696916</v>
      </c>
      <c r="T5" s="324">
        <f t="shared" si="1"/>
        <v>1182718.1932065669</v>
      </c>
      <c r="U5" s="324">
        <f t="shared" si="1"/>
        <v>1180032.498848135</v>
      </c>
      <c r="V5" s="324">
        <f t="shared" si="1"/>
        <v>1177352.9031142346</v>
      </c>
      <c r="W5" s="324">
        <f t="shared" si="1"/>
        <v>1174679.3921562228</v>
      </c>
      <c r="X5" s="324">
        <f t="shared" si="1"/>
        <v>1172011.9521569049</v>
      </c>
      <c r="Y5" s="324">
        <f t="shared" si="1"/>
        <v>1169350.569330461</v>
      </c>
      <c r="Z5" s="324">
        <f t="shared" si="1"/>
        <v>1166695.2299223766</v>
      </c>
      <c r="AA5" s="324">
        <f t="shared" si="1"/>
        <v>1164045.9202093699</v>
      </c>
      <c r="AB5" s="324">
        <f t="shared" si="1"/>
        <v>1161402.626499322</v>
      </c>
      <c r="AC5" s="324">
        <f t="shared" si="1"/>
        <v>1158765.335131206</v>
      </c>
      <c r="AD5" s="339">
        <f>$B5*AD$4</f>
        <v>1158765.2321734473</v>
      </c>
    </row>
    <row r="6" spans="1:30" ht="12.75">
      <c r="A6" s="51" t="s">
        <v>68</v>
      </c>
      <c r="B6" s="323">
        <f>'[1] Existing SphtSysType PNRES'!Q53</f>
        <v>0.0704968077725047</v>
      </c>
      <c r="C6" s="323"/>
      <c r="D6" s="324">
        <f t="shared" si="1"/>
        <v>184165.86062496173</v>
      </c>
      <c r="E6" s="324">
        <f t="shared" si="1"/>
        <v>183747.6602322247</v>
      </c>
      <c r="F6" s="324">
        <f t="shared" si="1"/>
        <v>183330.4094811199</v>
      </c>
      <c r="G6" s="324">
        <f t="shared" si="1"/>
        <v>182914.10621521884</v>
      </c>
      <c r="H6" s="324">
        <f t="shared" si="1"/>
        <v>182498.74828298992</v>
      </c>
      <c r="I6" s="324">
        <f t="shared" si="1"/>
        <v>182084.33353778702</v>
      </c>
      <c r="J6" s="324">
        <f t="shared" si="1"/>
        <v>181670.85983783874</v>
      </c>
      <c r="K6" s="324">
        <f t="shared" si="1"/>
        <v>181258.3250462371</v>
      </c>
      <c r="L6" s="324">
        <f t="shared" si="1"/>
        <v>180846.72703092653</v>
      </c>
      <c r="M6" s="324">
        <f t="shared" si="1"/>
        <v>180436.06366469304</v>
      </c>
      <c r="N6" s="324">
        <f t="shared" si="1"/>
        <v>180026.3328251529</v>
      </c>
      <c r="O6" s="324">
        <f t="shared" si="1"/>
        <v>179617.53239474198</v>
      </c>
      <c r="P6" s="324">
        <f t="shared" si="1"/>
        <v>179209.66026070455</v>
      </c>
      <c r="Q6" s="324">
        <f t="shared" si="1"/>
        <v>178802.71431508265</v>
      </c>
      <c r="R6" s="324">
        <f t="shared" si="1"/>
        <v>178396.6924547049</v>
      </c>
      <c r="S6" s="324">
        <f t="shared" si="1"/>
        <v>177991.59258117582</v>
      </c>
      <c r="T6" s="324">
        <f t="shared" si="1"/>
        <v>177587.4126008649</v>
      </c>
      <c r="U6" s="324">
        <f t="shared" si="1"/>
        <v>177184.15042489587</v>
      </c>
      <c r="V6" s="324">
        <f t="shared" si="1"/>
        <v>176781.8039691357</v>
      </c>
      <c r="W6" s="324">
        <f t="shared" si="1"/>
        <v>176380.37115418416</v>
      </c>
      <c r="X6" s="324">
        <f t="shared" si="1"/>
        <v>175979.8499053627</v>
      </c>
      <c r="Y6" s="324">
        <f t="shared" si="1"/>
        <v>175580.23815270409</v>
      </c>
      <c r="Z6" s="324">
        <f t="shared" si="1"/>
        <v>175181.53383094136</v>
      </c>
      <c r="AA6" s="324">
        <f t="shared" si="1"/>
        <v>174783.73487949747</v>
      </c>
      <c r="AB6" s="324">
        <f t="shared" si="1"/>
        <v>174386.83924247435</v>
      </c>
      <c r="AC6" s="324">
        <f t="shared" si="1"/>
        <v>173990.84486864257</v>
      </c>
      <c r="AD6" s="339">
        <f aca="true" t="shared" si="2" ref="AD6:AD15">$B6*AD$4</f>
        <v>173990.82940933693</v>
      </c>
    </row>
    <row r="7" spans="1:30" ht="12.75">
      <c r="A7" s="51" t="s">
        <v>69</v>
      </c>
      <c r="B7" s="323">
        <f>'[1] Existing SphtSysType PNRES'!Q54</f>
        <v>0.060861524918379026</v>
      </c>
      <c r="C7" s="323"/>
      <c r="D7" s="324">
        <f t="shared" si="1"/>
        <v>158994.6476968342</v>
      </c>
      <c r="E7" s="324">
        <f t="shared" si="1"/>
        <v>158633.605623758</v>
      </c>
      <c r="F7" s="324">
        <f t="shared" si="1"/>
        <v>158273.38339827047</v>
      </c>
      <c r="G7" s="324">
        <f t="shared" si="1"/>
        <v>157913.97915867707</v>
      </c>
      <c r="H7" s="324">
        <f t="shared" si="1"/>
        <v>157555.39104751076</v>
      </c>
      <c r="I7" s="324">
        <f t="shared" si="1"/>
        <v>157197.6172115223</v>
      </c>
      <c r="J7" s="324">
        <f t="shared" si="1"/>
        <v>156840.6558016709</v>
      </c>
      <c r="K7" s="324">
        <f t="shared" si="1"/>
        <v>156484.50497311444</v>
      </c>
      <c r="L7" s="324">
        <f t="shared" si="1"/>
        <v>156129.1628852001</v>
      </c>
      <c r="M7" s="324">
        <f t="shared" si="1"/>
        <v>155774.62770145474</v>
      </c>
      <c r="N7" s="324">
        <f t="shared" si="1"/>
        <v>155420.89758957547</v>
      </c>
      <c r="O7" s="324">
        <f t="shared" si="1"/>
        <v>155067.97072142013</v>
      </c>
      <c r="P7" s="324">
        <f t="shared" si="1"/>
        <v>154715.84527299786</v>
      </c>
      <c r="Q7" s="324">
        <f t="shared" si="1"/>
        <v>154364.51942445978</v>
      </c>
      <c r="R7" s="324">
        <f t="shared" si="1"/>
        <v>154013.9913600894</v>
      </c>
      <c r="S7" s="324">
        <f t="shared" si="1"/>
        <v>153664.25926829336</v>
      </c>
      <c r="T7" s="324">
        <f t="shared" si="1"/>
        <v>153315.32134159197</v>
      </c>
      <c r="U7" s="324">
        <f t="shared" si="1"/>
        <v>152967.1757766101</v>
      </c>
      <c r="V7" s="324">
        <f t="shared" si="1"/>
        <v>152619.82077406743</v>
      </c>
      <c r="W7" s="324">
        <f t="shared" si="1"/>
        <v>152273.25453876963</v>
      </c>
      <c r="X7" s="324">
        <f t="shared" si="1"/>
        <v>151927.4752795988</v>
      </c>
      <c r="Y7" s="324">
        <f t="shared" si="1"/>
        <v>151582.4812095042</v>
      </c>
      <c r="Z7" s="324">
        <f t="shared" si="1"/>
        <v>151238.27054549326</v>
      </c>
      <c r="AA7" s="324">
        <f t="shared" si="1"/>
        <v>150894.84150862202</v>
      </c>
      <c r="AB7" s="324">
        <f t="shared" si="1"/>
        <v>150552.19232398618</v>
      </c>
      <c r="AC7" s="324">
        <f t="shared" si="1"/>
        <v>150210.3212207119</v>
      </c>
      <c r="AD7" s="339">
        <f t="shared" si="2"/>
        <v>150210.30787433573</v>
      </c>
    </row>
    <row r="8" spans="1:30" ht="13.5" thickBot="1">
      <c r="A8" s="51" t="s">
        <v>70</v>
      </c>
      <c r="B8" s="323">
        <f>'[1] Existing SphtSysType PNRES'!Q55</f>
        <v>0.00913847508162098</v>
      </c>
      <c r="C8" s="323"/>
      <c r="D8" s="324">
        <f t="shared" si="1"/>
        <v>23873.35230323578</v>
      </c>
      <c r="E8" s="324">
        <f t="shared" si="1"/>
        <v>23819.141141214313</v>
      </c>
      <c r="F8" s="324">
        <f t="shared" si="1"/>
        <v>23765.053080885915</v>
      </c>
      <c r="G8" s="324">
        <f t="shared" si="1"/>
        <v>23711.087842713558</v>
      </c>
      <c r="H8" s="324">
        <f t="shared" si="1"/>
        <v>23657.24514779499</v>
      </c>
      <c r="I8" s="324">
        <f t="shared" si="1"/>
        <v>23603.524717861284</v>
      </c>
      <c r="J8" s="324">
        <f t="shared" si="1"/>
        <v>23549.926275275393</v>
      </c>
      <c r="K8" s="324">
        <f t="shared" si="1"/>
        <v>23496.449543030736</v>
      </c>
      <c r="L8" s="324">
        <f t="shared" si="1"/>
        <v>23443.094244749736</v>
      </c>
      <c r="M8" s="324">
        <f t="shared" si="1"/>
        <v>23389.86010468243</v>
      </c>
      <c r="N8" s="324">
        <f t="shared" si="1"/>
        <v>23336.746847705006</v>
      </c>
      <c r="O8" s="324">
        <f t="shared" si="1"/>
        <v>23283.754199318406</v>
      </c>
      <c r="P8" s="324">
        <f t="shared" si="1"/>
        <v>23230.88188564689</v>
      </c>
      <c r="Q8" s="324">
        <f t="shared" si="1"/>
        <v>23178.129633436638</v>
      </c>
      <c r="R8" s="324">
        <f t="shared" si="1"/>
        <v>23125.49717005434</v>
      </c>
      <c r="S8" s="324">
        <f t="shared" si="1"/>
        <v>23072.984223485753</v>
      </c>
      <c r="T8" s="324">
        <f t="shared" si="1"/>
        <v>23020.59052233434</v>
      </c>
      <c r="U8" s="324">
        <f t="shared" si="1"/>
        <v>22968.315795819835</v>
      </c>
      <c r="V8" s="324">
        <f t="shared" si="1"/>
        <v>22916.159773776853</v>
      </c>
      <c r="W8" s="324">
        <f t="shared" si="1"/>
        <v>22864.1221866535</v>
      </c>
      <c r="X8" s="324">
        <f t="shared" si="1"/>
        <v>22812.20276550998</v>
      </c>
      <c r="Y8" s="324">
        <f t="shared" si="1"/>
        <v>22760.401242017197</v>
      </c>
      <c r="Z8" s="324">
        <f t="shared" si="1"/>
        <v>22708.717348455364</v>
      </c>
      <c r="AA8" s="324">
        <f t="shared" si="1"/>
        <v>22657.150817712634</v>
      </c>
      <c r="AB8" s="324">
        <f t="shared" si="1"/>
        <v>22605.701383283715</v>
      </c>
      <c r="AC8" s="324">
        <f t="shared" si="1"/>
        <v>22554.368779268483</v>
      </c>
      <c r="AD8" s="342">
        <f t="shared" si="2"/>
        <v>22554.36677528442</v>
      </c>
    </row>
    <row r="9" spans="1:32" ht="12.75">
      <c r="A9" s="51" t="s">
        <v>71</v>
      </c>
      <c r="B9" s="323">
        <f>'[1] Existing SphtSysType PNRES'!Q56</f>
        <v>0.08723237480448418</v>
      </c>
      <c r="C9" s="323"/>
      <c r="D9" s="324">
        <f t="shared" si="1"/>
        <v>227885.8559393217</v>
      </c>
      <c r="E9" s="324">
        <f t="shared" si="1"/>
        <v>227368.37699871</v>
      </c>
      <c r="F9" s="324">
        <f t="shared" si="1"/>
        <v>226852.07313960075</v>
      </c>
      <c r="G9" s="324">
        <f t="shared" si="1"/>
        <v>226336.9416936408</v>
      </c>
      <c r="H9" s="324">
        <f t="shared" si="1"/>
        <v>225822.97999853635</v>
      </c>
      <c r="I9" s="324">
        <f t="shared" si="1"/>
        <v>225310.18539803897</v>
      </c>
      <c r="J9" s="324">
        <f t="shared" si="1"/>
        <v>224798.55524193204</v>
      </c>
      <c r="K9" s="324">
        <f t="shared" si="1"/>
        <v>224288.08688601706</v>
      </c>
      <c r="L9" s="324">
        <f t="shared" si="1"/>
        <v>223778.77769209983</v>
      </c>
      <c r="M9" s="324">
        <f t="shared" si="1"/>
        <v>223270.62502797702</v>
      </c>
      <c r="N9" s="324">
        <f t="shared" si="1"/>
        <v>222763.62626742234</v>
      </c>
      <c r="O9" s="324">
        <f t="shared" si="1"/>
        <v>222257.77879017318</v>
      </c>
      <c r="P9" s="324">
        <f t="shared" si="1"/>
        <v>221753.07998191688</v>
      </c>
      <c r="Q9" s="324">
        <f t="shared" si="1"/>
        <v>221249.52723427743</v>
      </c>
      <c r="R9" s="324">
        <f t="shared" si="1"/>
        <v>220747.11794480175</v>
      </c>
      <c r="S9" s="324">
        <f t="shared" si="1"/>
        <v>220245.8495169465</v>
      </c>
      <c r="T9" s="324">
        <f t="shared" si="1"/>
        <v>219745.7193600644</v>
      </c>
      <c r="U9" s="324">
        <f t="shared" si="1"/>
        <v>219246.72488939101</v>
      </c>
      <c r="V9" s="324">
        <f t="shared" si="1"/>
        <v>218748.86352603135</v>
      </c>
      <c r="W9" s="324">
        <f t="shared" si="1"/>
        <v>218252.13269694644</v>
      </c>
      <c r="X9" s="324">
        <f t="shared" si="1"/>
        <v>217756.5298349403</v>
      </c>
      <c r="Y9" s="324">
        <f t="shared" si="1"/>
        <v>217262.0523786463</v>
      </c>
      <c r="Z9" s="324">
        <f t="shared" si="1"/>
        <v>216768.69777251425</v>
      </c>
      <c r="AA9" s="324">
        <f t="shared" si="1"/>
        <v>216276.4634667969</v>
      </c>
      <c r="AB9" s="324">
        <f t="shared" si="1"/>
        <v>215785.3469175371</v>
      </c>
      <c r="AC9" s="341">
        <f t="shared" si="1"/>
        <v>215295.34558655438</v>
      </c>
      <c r="AD9" s="396">
        <f t="shared" si="2"/>
        <v>215295.32645729187</v>
      </c>
      <c r="AE9" s="393">
        <f>AD9/(SUM(AD$9:AD$11))</f>
        <v>0.2722258675881002</v>
      </c>
      <c r="AF9" s="394">
        <f>AE9*AE$12</f>
        <v>221717.63481246674</v>
      </c>
    </row>
    <row r="10" spans="1:32" ht="12.75">
      <c r="A10" s="51" t="s">
        <v>9</v>
      </c>
      <c r="B10" s="323">
        <f>'[1] Existing SphtSysType PNRES'!Q57</f>
        <v>0.051781901119998336</v>
      </c>
      <c r="C10" s="323"/>
      <c r="D10" s="324">
        <f t="shared" si="1"/>
        <v>135275.03848593542</v>
      </c>
      <c r="E10" s="324">
        <f t="shared" si="1"/>
        <v>134967.8584579413</v>
      </c>
      <c r="F10" s="324">
        <f t="shared" si="1"/>
        <v>134661.37596861104</v>
      </c>
      <c r="G10" s="324">
        <f t="shared" si="1"/>
        <v>134355.58943398687</v>
      </c>
      <c r="H10" s="324">
        <f t="shared" si="1"/>
        <v>134050.4972737079</v>
      </c>
      <c r="I10" s="324">
        <f t="shared" si="1"/>
        <v>133746.0979110018</v>
      </c>
      <c r="J10" s="324">
        <f t="shared" si="1"/>
        <v>133442.3897726768</v>
      </c>
      <c r="K10" s="324">
        <f t="shared" si="1"/>
        <v>133139.37128911354</v>
      </c>
      <c r="L10" s="324">
        <f t="shared" si="1"/>
        <v>132837.04089425682</v>
      </c>
      <c r="M10" s="324">
        <f t="shared" si="1"/>
        <v>132535.39702560773</v>
      </c>
      <c r="N10" s="324">
        <f t="shared" si="1"/>
        <v>132234.43812421538</v>
      </c>
      <c r="O10" s="324">
        <f t="shared" si="1"/>
        <v>131934.16263466893</v>
      </c>
      <c r="P10" s="324">
        <f t="shared" si="1"/>
        <v>131634.5690050895</v>
      </c>
      <c r="Q10" s="324">
        <f t="shared" si="1"/>
        <v>131335.65568712226</v>
      </c>
      <c r="R10" s="324">
        <f t="shared" si="1"/>
        <v>131037.4211359283</v>
      </c>
      <c r="S10" s="324">
        <f t="shared" si="1"/>
        <v>130739.86381017677</v>
      </c>
      <c r="T10" s="324">
        <f t="shared" si="1"/>
        <v>130442.98217203678</v>
      </c>
      <c r="U10" s="324">
        <f t="shared" si="1"/>
        <v>130146.77468716951</v>
      </c>
      <c r="V10" s="324">
        <f t="shared" si="1"/>
        <v>129851.23982472032</v>
      </c>
      <c r="W10" s="324">
        <f t="shared" si="1"/>
        <v>129556.37605731082</v>
      </c>
      <c r="X10" s="324">
        <f t="shared" si="1"/>
        <v>129262.18186103093</v>
      </c>
      <c r="Y10" s="324">
        <f t="shared" si="1"/>
        <v>128968.65571543106</v>
      </c>
      <c r="Z10" s="324">
        <f t="shared" si="1"/>
        <v>128675.7961035142</v>
      </c>
      <c r="AA10" s="324">
        <f t="shared" si="1"/>
        <v>128383.60151172813</v>
      </c>
      <c r="AB10" s="324">
        <f t="shared" si="1"/>
        <v>128092.07042995759</v>
      </c>
      <c r="AC10" s="341">
        <f t="shared" si="1"/>
        <v>127801.20135151641</v>
      </c>
      <c r="AD10" s="397">
        <f t="shared" si="2"/>
        <v>127801.18999621876</v>
      </c>
      <c r="AE10" s="391">
        <f>AD10/(SUM(AD$9:AD$11))</f>
        <v>0.16159565745340845</v>
      </c>
      <c r="AF10" s="395">
        <f>AE10*AE$12</f>
        <v>131613.52844229658</v>
      </c>
    </row>
    <row r="11" spans="1:32" ht="12.75">
      <c r="A11" s="51" t="s">
        <v>73</v>
      </c>
      <c r="B11" s="323">
        <f>'[1] Existing SphtSysType PNRES'!Q58</f>
        <v>0.1814268914684481</v>
      </c>
      <c r="C11" s="323"/>
      <c r="D11" s="324">
        <f t="shared" si="1"/>
        <v>473959.6112723552</v>
      </c>
      <c r="E11" s="324">
        <f t="shared" si="1"/>
        <v>472883.3526492696</v>
      </c>
      <c r="F11" s="324">
        <f t="shared" si="1"/>
        <v>471809.5379741412</v>
      </c>
      <c r="G11" s="324">
        <f t="shared" si="1"/>
        <v>470738.1616972987</v>
      </c>
      <c r="H11" s="324">
        <f t="shared" si="1"/>
        <v>469669.21828167286</v>
      </c>
      <c r="I11" s="324">
        <f t="shared" si="1"/>
        <v>468602.7022027679</v>
      </c>
      <c r="J11" s="324">
        <f t="shared" si="1"/>
        <v>467538.60794863297</v>
      </c>
      <c r="K11" s="324">
        <f t="shared" si="1"/>
        <v>466476.93001983373</v>
      </c>
      <c r="L11" s="324">
        <f t="shared" si="1"/>
        <v>465417.66292942374</v>
      </c>
      <c r="M11" s="324">
        <f t="shared" si="1"/>
        <v>464360.80120291625</v>
      </c>
      <c r="N11" s="324">
        <f t="shared" si="1"/>
        <v>463306.33937825594</v>
      </c>
      <c r="O11" s="324">
        <f t="shared" si="1"/>
        <v>462254.2720057905</v>
      </c>
      <c r="P11" s="324">
        <f t="shared" si="1"/>
        <v>461204.59364824265</v>
      </c>
      <c r="Q11" s="324">
        <f t="shared" si="1"/>
        <v>460157.298880682</v>
      </c>
      <c r="R11" s="324">
        <f t="shared" si="1"/>
        <v>459112.382290497</v>
      </c>
      <c r="S11" s="324">
        <f t="shared" si="1"/>
        <v>458069.838477367</v>
      </c>
      <c r="T11" s="324">
        <f t="shared" si="1"/>
        <v>457029.6620532341</v>
      </c>
      <c r="U11" s="324">
        <f t="shared" si="1"/>
        <v>455991.8476422758</v>
      </c>
      <c r="V11" s="324">
        <f t="shared" si="1"/>
        <v>454956.3898808765</v>
      </c>
      <c r="W11" s="324">
        <f t="shared" si="1"/>
        <v>453923.2834176007</v>
      </c>
      <c r="X11" s="324">
        <f t="shared" si="1"/>
        <v>452892.5229131644</v>
      </c>
      <c r="Y11" s="324">
        <f t="shared" si="1"/>
        <v>451864.1030404082</v>
      </c>
      <c r="Z11" s="324">
        <f t="shared" si="1"/>
        <v>450838.01848426956</v>
      </c>
      <c r="AA11" s="324">
        <f t="shared" si="1"/>
        <v>449814.263941755</v>
      </c>
      <c r="AB11" s="324">
        <f t="shared" si="1"/>
        <v>448792.8341219132</v>
      </c>
      <c r="AC11" s="341">
        <f t="shared" si="1"/>
        <v>447773.7237458074</v>
      </c>
      <c r="AD11" s="397">
        <f t="shared" si="2"/>
        <v>447773.68396054825</v>
      </c>
      <c r="AE11" s="391">
        <f>AD11/(SUM(AD$9:AD$11))</f>
        <v>0.5661784749584914</v>
      </c>
      <c r="AF11" s="395">
        <f>AE11*AE$12</f>
        <v>461130.8743791603</v>
      </c>
    </row>
    <row r="12" spans="1:32" ht="13.5" thickBot="1">
      <c r="A12" s="51" t="s">
        <v>72</v>
      </c>
      <c r="B12" s="323">
        <f>'[1] Existing SphtSysType PNRES'!Q59</f>
        <v>0.00955883260706941</v>
      </c>
      <c r="C12" s="323">
        <f>SUM(B9:B12)</f>
        <v>0.33</v>
      </c>
      <c r="D12" s="324">
        <f t="shared" si="1"/>
        <v>24971.494302717685</v>
      </c>
      <c r="E12" s="324">
        <f t="shared" si="1"/>
        <v>24914.78950037707</v>
      </c>
      <c r="F12" s="324">
        <f t="shared" si="1"/>
        <v>24858.213462241336</v>
      </c>
      <c r="G12" s="324">
        <f t="shared" si="1"/>
        <v>24801.765895915127</v>
      </c>
      <c r="H12" s="324">
        <f t="shared" si="1"/>
        <v>24745.44650966707</v>
      </c>
      <c r="I12" s="324">
        <f t="shared" si="1"/>
        <v>24689.255012428228</v>
      </c>
      <c r="J12" s="324">
        <f t="shared" si="1"/>
        <v>24633.19111379064</v>
      </c>
      <c r="K12" s="324">
        <f t="shared" si="1"/>
        <v>24577.254524005784</v>
      </c>
      <c r="L12" s="324">
        <f t="shared" si="1"/>
        <v>24521.444953983097</v>
      </c>
      <c r="M12" s="324">
        <f t="shared" si="1"/>
        <v>24465.76211528848</v>
      </c>
      <c r="N12" s="324">
        <f t="shared" si="1"/>
        <v>24410.205720142803</v>
      </c>
      <c r="O12" s="324">
        <f t="shared" si="1"/>
        <v>24354.775481420416</v>
      </c>
      <c r="P12" s="324">
        <f t="shared" si="1"/>
        <v>24299.471112647676</v>
      </c>
      <c r="Q12" s="324">
        <f t="shared" si="1"/>
        <v>24244.292328001447</v>
      </c>
      <c r="R12" s="324">
        <f t="shared" si="1"/>
        <v>24189.23884230765</v>
      </c>
      <c r="S12" s="324">
        <f t="shared" si="1"/>
        <v>24134.31037103977</v>
      </c>
      <c r="T12" s="324">
        <f t="shared" si="1"/>
        <v>24079.506630317377</v>
      </c>
      <c r="U12" s="324">
        <f t="shared" si="1"/>
        <v>24024.82733690469</v>
      </c>
      <c r="V12" s="324">
        <f t="shared" si="1"/>
        <v>23970.272208209077</v>
      </c>
      <c r="W12" s="324">
        <f t="shared" si="1"/>
        <v>23915.840962279624</v>
      </c>
      <c r="X12" s="324">
        <f t="shared" si="1"/>
        <v>23861.53331780566</v>
      </c>
      <c r="Y12" s="324">
        <f t="shared" si="1"/>
        <v>23807.348994115317</v>
      </c>
      <c r="Z12" s="324">
        <f t="shared" si="1"/>
        <v>23753.287711174056</v>
      </c>
      <c r="AA12" s="324">
        <f t="shared" si="1"/>
        <v>23699.34918958325</v>
      </c>
      <c r="AB12" s="324">
        <f t="shared" si="1"/>
        <v>23645.533150578718</v>
      </c>
      <c r="AC12" s="341">
        <f t="shared" si="1"/>
        <v>23591.839316029298</v>
      </c>
      <c r="AD12" s="398">
        <f t="shared" si="2"/>
        <v>23591.837219864672</v>
      </c>
      <c r="AE12" s="399">
        <f>SUM(AD9:AD12)</f>
        <v>814462.0376339236</v>
      </c>
      <c r="AF12" s="400"/>
    </row>
    <row r="13" spans="1:30" ht="13.5" thickBot="1">
      <c r="A13" s="51" t="s">
        <v>10</v>
      </c>
      <c r="B13" s="323">
        <f>'[1] Existing SphtSysType PNRES'!Q60</f>
        <v>0.06</v>
      </c>
      <c r="C13" s="323"/>
      <c r="D13" s="324">
        <f t="shared" si="1"/>
        <v>156744.00000005998</v>
      </c>
      <c r="E13" s="324">
        <f t="shared" si="1"/>
        <v>156388.06865569053</v>
      </c>
      <c r="F13" s="324">
        <f t="shared" si="1"/>
        <v>156032.9455535626</v>
      </c>
      <c r="G13" s="324">
        <f t="shared" si="1"/>
        <v>155678.62885833482</v>
      </c>
      <c r="H13" s="324">
        <f t="shared" si="1"/>
        <v>155325.1167388335</v>
      </c>
      <c r="I13" s="324">
        <f t="shared" si="1"/>
        <v>154972.40736804306</v>
      </c>
      <c r="J13" s="324">
        <f t="shared" si="1"/>
        <v>154620.4989230968</v>
      </c>
      <c r="K13" s="324">
        <f t="shared" si="1"/>
        <v>154269.3895852673</v>
      </c>
      <c r="L13" s="324">
        <f t="shared" si="1"/>
        <v>153919.07753995698</v>
      </c>
      <c r="M13" s="324">
        <f t="shared" si="1"/>
        <v>153569.56097668898</v>
      </c>
      <c r="N13" s="324">
        <f t="shared" si="1"/>
        <v>153220.83808909752</v>
      </c>
      <c r="O13" s="324">
        <f t="shared" si="1"/>
        <v>152872.9070749187</v>
      </c>
      <c r="P13" s="324">
        <f t="shared" si="1"/>
        <v>152525.76613598122</v>
      </c>
      <c r="Q13" s="324">
        <f t="shared" si="1"/>
        <v>152179.41347819692</v>
      </c>
      <c r="R13" s="324">
        <f t="shared" si="1"/>
        <v>151833.84731155177</v>
      </c>
      <c r="S13" s="324">
        <f t="shared" si="1"/>
        <v>151489.06585009635</v>
      </c>
      <c r="T13" s="324">
        <f t="shared" si="1"/>
        <v>151145.06731193684</v>
      </c>
      <c r="U13" s="324">
        <f t="shared" si="1"/>
        <v>150801.8499192256</v>
      </c>
      <c r="V13" s="324">
        <f t="shared" si="1"/>
        <v>150459.4118981522</v>
      </c>
      <c r="W13" s="324">
        <f t="shared" si="1"/>
        <v>150117.75147893408</v>
      </c>
      <c r="X13" s="324">
        <f t="shared" si="1"/>
        <v>149776.8668958075</v>
      </c>
      <c r="Y13" s="324">
        <f t="shared" si="1"/>
        <v>149436.75638701834</v>
      </c>
      <c r="Z13" s="324">
        <f t="shared" si="1"/>
        <v>149097.4181948131</v>
      </c>
      <c r="AA13" s="324">
        <f t="shared" si="1"/>
        <v>148758.8505654297</v>
      </c>
      <c r="AB13" s="324">
        <f t="shared" si="1"/>
        <v>148421.05174908845</v>
      </c>
      <c r="AC13" s="324">
        <f t="shared" si="1"/>
        <v>148084.01999998317</v>
      </c>
      <c r="AD13" s="343">
        <f t="shared" si="2"/>
        <v>148084.00684253155</v>
      </c>
    </row>
    <row r="14" spans="1:32" ht="12.75">
      <c r="A14" s="325"/>
      <c r="B14" s="174"/>
      <c r="C14" s="174"/>
      <c r="D14" s="324">
        <f t="shared" si="1"/>
        <v>0</v>
      </c>
      <c r="E14" s="324">
        <f t="shared" si="1"/>
        <v>0</v>
      </c>
      <c r="F14" s="324">
        <f t="shared" si="1"/>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4">
        <f t="shared" si="1"/>
        <v>0</v>
      </c>
      <c r="U14" s="324">
        <f t="shared" si="1"/>
        <v>0</v>
      </c>
      <c r="V14" s="324">
        <f t="shared" si="1"/>
        <v>0</v>
      </c>
      <c r="W14" s="324">
        <f t="shared" si="1"/>
        <v>0</v>
      </c>
      <c r="X14" s="324">
        <f t="shared" si="1"/>
        <v>0</v>
      </c>
      <c r="Y14" s="324">
        <f aca="true" t="shared" si="3" ref="D14:AC15">$B14*Y$4</f>
        <v>0</v>
      </c>
      <c r="Z14" s="324">
        <f t="shared" si="3"/>
        <v>0</v>
      </c>
      <c r="AA14" s="324">
        <f t="shared" si="3"/>
        <v>0</v>
      </c>
      <c r="AB14" s="324">
        <f t="shared" si="3"/>
        <v>0</v>
      </c>
      <c r="AC14" s="324">
        <f t="shared" si="3"/>
        <v>0</v>
      </c>
      <c r="AD14" s="403">
        <f t="shared" si="2"/>
        <v>0</v>
      </c>
      <c r="AE14" s="404" t="s">
        <v>176</v>
      </c>
      <c r="AF14" s="405" t="s">
        <v>177</v>
      </c>
    </row>
    <row r="15" spans="1:32" ht="13.5" thickBot="1">
      <c r="A15" s="52" t="s">
        <v>26</v>
      </c>
      <c r="B15" s="326">
        <f>B10+'[1]PNW Existing Characteristics'!$F$19</f>
        <v>0.22611176020100568</v>
      </c>
      <c r="C15" s="326"/>
      <c r="D15" s="324">
        <f t="shared" si="3"/>
        <v>590694.3623493332</v>
      </c>
      <c r="E15" s="324">
        <f t="shared" si="3"/>
        <v>589353.0246362318</v>
      </c>
      <c r="F15" s="324">
        <f t="shared" si="3"/>
        <v>588014.7328077287</v>
      </c>
      <c r="G15" s="324">
        <f t="shared" si="3"/>
        <v>586679.4799472861</v>
      </c>
      <c r="H15" s="324">
        <f t="shared" si="3"/>
        <v>585347.2591540721</v>
      </c>
      <c r="I15" s="324">
        <f t="shared" si="3"/>
        <v>584018.0635429253</v>
      </c>
      <c r="J15" s="324">
        <f t="shared" si="3"/>
        <v>582691.8862443187</v>
      </c>
      <c r="K15" s="324">
        <f t="shared" si="3"/>
        <v>581368.7204043247</v>
      </c>
      <c r="L15" s="324">
        <f t="shared" si="3"/>
        <v>580048.5591845792</v>
      </c>
      <c r="M15" s="324">
        <f t="shared" si="3"/>
        <v>578731.395762247</v>
      </c>
      <c r="N15" s="324">
        <f t="shared" si="3"/>
        <v>577417.2233299856</v>
      </c>
      <c r="O15" s="324">
        <f t="shared" si="3"/>
        <v>576106.0350959108</v>
      </c>
      <c r="P15" s="324">
        <f t="shared" si="3"/>
        <v>574797.824283561</v>
      </c>
      <c r="Q15" s="324">
        <f t="shared" si="3"/>
        <v>573492.5841318626</v>
      </c>
      <c r="R15" s="324">
        <f t="shared" si="3"/>
        <v>572190.3078950951</v>
      </c>
      <c r="S15" s="324">
        <f t="shared" si="3"/>
        <v>570890.9888428558</v>
      </c>
      <c r="T15" s="324">
        <f t="shared" si="3"/>
        <v>569594.6202600254</v>
      </c>
      <c r="U15" s="324">
        <f t="shared" si="3"/>
        <v>568301.1954467333</v>
      </c>
      <c r="V15" s="324">
        <f t="shared" si="3"/>
        <v>567010.7077183223</v>
      </c>
      <c r="W15" s="324">
        <f t="shared" si="3"/>
        <v>565723.1504053152</v>
      </c>
      <c r="X15" s="324">
        <f t="shared" si="3"/>
        <v>564438.5168533796</v>
      </c>
      <c r="Y15" s="324">
        <f t="shared" si="3"/>
        <v>563156.8004232933</v>
      </c>
      <c r="Z15" s="324">
        <f t="shared" si="3"/>
        <v>561877.9944909107</v>
      </c>
      <c r="AA15" s="324">
        <f t="shared" si="3"/>
        <v>560602.0924471279</v>
      </c>
      <c r="AB15" s="324">
        <f t="shared" si="3"/>
        <v>559329.0876978491</v>
      </c>
      <c r="AC15" s="324">
        <f t="shared" si="3"/>
        <v>558058.9736639521</v>
      </c>
      <c r="AD15" s="403">
        <f t="shared" si="2"/>
        <v>558058.9240797097</v>
      </c>
      <c r="AE15" s="406">
        <f>'[1]PNW Existing Characteristics'!$F$19</f>
        <v>0.17432985908100734</v>
      </c>
      <c r="AF15" s="400">
        <f>AF9*AE15</f>
        <v>38652.00403263157</v>
      </c>
    </row>
    <row r="16" spans="1:30" ht="12.75">
      <c r="A16" s="327"/>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1"/>
      <c r="Z16" s="157"/>
      <c r="AA16" s="157"/>
      <c r="AB16" s="157"/>
      <c r="AC16" s="157"/>
      <c r="AD16" s="340"/>
    </row>
    <row r="17" spans="1:30" ht="12.75">
      <c r="A17" s="53" t="s">
        <v>65</v>
      </c>
      <c r="B17" s="328"/>
      <c r="C17" s="312">
        <v>-0.0022708178107920937</v>
      </c>
      <c r="D17" s="337">
        <f>'[2]Summary for 5th Plan'!$F$17</f>
        <v>413899.99999999994</v>
      </c>
      <c r="E17" s="337">
        <f>D17*(1+$C17)</f>
        <v>412960.1085081131</v>
      </c>
      <c r="F17" s="337">
        <f aca="true" t="shared" si="4" ref="F17:AC17">E17*(1+$C17)</f>
        <v>412022.3513385662</v>
      </c>
      <c r="G17" s="337">
        <f t="shared" si="4"/>
        <v>411086.7236447022</v>
      </c>
      <c r="H17" s="337">
        <f t="shared" si="4"/>
        <v>410153.2205908696</v>
      </c>
      <c r="I17" s="337">
        <f t="shared" si="4"/>
        <v>409221.83735239814</v>
      </c>
      <c r="J17" s="337">
        <f t="shared" si="4"/>
        <v>408292.56911557325</v>
      </c>
      <c r="K17" s="337">
        <f t="shared" si="4"/>
        <v>407365.41107761156</v>
      </c>
      <c r="L17" s="337">
        <f t="shared" si="4"/>
        <v>406440.3584466359</v>
      </c>
      <c r="M17" s="337">
        <f t="shared" si="4"/>
        <v>405517.4064416505</v>
      </c>
      <c r="N17" s="337">
        <f t="shared" si="4"/>
        <v>404596.5502925166</v>
      </c>
      <c r="O17" s="337">
        <f t="shared" si="4"/>
        <v>403677.7852399273</v>
      </c>
      <c r="P17" s="337">
        <f t="shared" si="4"/>
        <v>402761.1065353834</v>
      </c>
      <c r="Q17" s="337">
        <f t="shared" si="4"/>
        <v>401846.5094411685</v>
      </c>
      <c r="R17" s="337">
        <f t="shared" si="4"/>
        <v>400933.98923032486</v>
      </c>
      <c r="S17" s="337">
        <f t="shared" si="4"/>
        <v>400023.54118662875</v>
      </c>
      <c r="T17" s="337">
        <f t="shared" si="4"/>
        <v>399115.16060456604</v>
      </c>
      <c r="U17" s="337">
        <f t="shared" si="4"/>
        <v>398208.84278930805</v>
      </c>
      <c r="V17" s="337">
        <f t="shared" si="4"/>
        <v>397304.5830566872</v>
      </c>
      <c r="W17" s="337">
        <f t="shared" si="4"/>
        <v>396402.37673317274</v>
      </c>
      <c r="X17" s="337">
        <f t="shared" si="4"/>
        <v>395502.21915584675</v>
      </c>
      <c r="Y17" s="337">
        <f t="shared" si="4"/>
        <v>394604.10567237984</v>
      </c>
      <c r="Z17" s="337">
        <f t="shared" si="4"/>
        <v>393708.03164100734</v>
      </c>
      <c r="AA17" s="337">
        <f t="shared" si="4"/>
        <v>392813.99243050505</v>
      </c>
      <c r="AB17" s="337">
        <f t="shared" si="4"/>
        <v>391921.9834201655</v>
      </c>
      <c r="AC17" s="337">
        <f t="shared" si="4"/>
        <v>391031.99999977404</v>
      </c>
      <c r="AD17" s="338">
        <f>'[2]Summary for 5th Plan'!$F$4</f>
        <v>391032.3229731304</v>
      </c>
    </row>
    <row r="18" spans="1:30" ht="12.75">
      <c r="A18" s="51" t="s">
        <v>67</v>
      </c>
      <c r="B18" s="323">
        <f>'[1] Existing SphtSysType PNRES'!Q63</f>
        <v>0.05642394453305556</v>
      </c>
      <c r="C18" s="323"/>
      <c r="D18" s="324">
        <f aca="true" t="shared" si="5" ref="D18:AC27">$B18*D$17</f>
        <v>23353.870642231694</v>
      </c>
      <c r="E18" s="324">
        <f t="shared" si="5"/>
        <v>23300.838256826377</v>
      </c>
      <c r="F18" s="324">
        <f t="shared" si="5"/>
        <v>23247.926298306393</v>
      </c>
      <c r="G18" s="324">
        <f t="shared" si="5"/>
        <v>23195.134493204216</v>
      </c>
      <c r="H18" s="324">
        <f t="shared" si="5"/>
        <v>23142.46256867333</v>
      </c>
      <c r="I18" s="324">
        <f t="shared" si="5"/>
        <v>23089.910252486796</v>
      </c>
      <c r="J18" s="324">
        <f t="shared" si="5"/>
        <v>23037.47727303586</v>
      </c>
      <c r="K18" s="324">
        <f t="shared" si="5"/>
        <v>22985.163359328533</v>
      </c>
      <c r="L18" s="324">
        <f t="shared" si="5"/>
        <v>22932.968240988204</v>
      </c>
      <c r="M18" s="324">
        <f t="shared" si="5"/>
        <v>22880.891648252236</v>
      </c>
      <c r="N18" s="324">
        <f t="shared" si="5"/>
        <v>22828.93331197058</v>
      </c>
      <c r="O18" s="324">
        <f t="shared" si="5"/>
        <v>22777.092963604373</v>
      </c>
      <c r="P18" s="324">
        <f t="shared" si="5"/>
        <v>22725.370335224554</v>
      </c>
      <c r="Q18" s="324">
        <f t="shared" si="5"/>
        <v>22673.76515951048</v>
      </c>
      <c r="R18" s="324">
        <f t="shared" si="5"/>
        <v>22622.277169748548</v>
      </c>
      <c r="S18" s="324">
        <f t="shared" si="5"/>
        <v>22570.90609983081</v>
      </c>
      <c r="T18" s="324">
        <f t="shared" si="5"/>
        <v>22519.651684253597</v>
      </c>
      <c r="U18" s="324">
        <f t="shared" si="5"/>
        <v>22468.51365811616</v>
      </c>
      <c r="V18" s="324">
        <f t="shared" si="5"/>
        <v>22417.491757119285</v>
      </c>
      <c r="W18" s="324">
        <f t="shared" si="5"/>
        <v>22366.585717563932</v>
      </c>
      <c r="X18" s="324">
        <f t="shared" si="5"/>
        <v>22315.795276349883</v>
      </c>
      <c r="Y18" s="324">
        <f t="shared" si="5"/>
        <v>22265.120170974355</v>
      </c>
      <c r="Z18" s="324">
        <f t="shared" si="5"/>
        <v>22214.560139530684</v>
      </c>
      <c r="AA18" s="324">
        <f t="shared" si="5"/>
        <v>22164.114920706925</v>
      </c>
      <c r="AB18" s="324">
        <f t="shared" si="5"/>
        <v>22113.78425378454</v>
      </c>
      <c r="AC18" s="324">
        <f t="shared" si="5"/>
        <v>22063.567878637034</v>
      </c>
      <c r="AD18" s="339">
        <f>$B18*AD$17</f>
        <v>22063.586102067777</v>
      </c>
    </row>
    <row r="19" spans="1:30" ht="12.75">
      <c r="A19" s="51" t="s">
        <v>68</v>
      </c>
      <c r="B19" s="323">
        <f>'[1] Existing SphtSysType PNRES'!Q64</f>
        <v>0.033576055466944435</v>
      </c>
      <c r="C19" s="323"/>
      <c r="D19" s="324">
        <f t="shared" si="5"/>
        <v>13897.129357768299</v>
      </c>
      <c r="E19" s="324">
        <f t="shared" si="5"/>
        <v>13865.571508903797</v>
      </c>
      <c r="F19" s="324">
        <f t="shared" si="5"/>
        <v>13834.085322164567</v>
      </c>
      <c r="G19" s="324">
        <f t="shared" si="5"/>
        <v>13802.670634818978</v>
      </c>
      <c r="H19" s="324">
        <f t="shared" si="5"/>
        <v>13771.327284504934</v>
      </c>
      <c r="I19" s="324">
        <f t="shared" si="5"/>
        <v>13740.055109229033</v>
      </c>
      <c r="J19" s="324">
        <f t="shared" si="5"/>
        <v>13708.853947365731</v>
      </c>
      <c r="K19" s="324">
        <f t="shared" si="5"/>
        <v>13677.723637656507</v>
      </c>
      <c r="L19" s="324">
        <f t="shared" si="5"/>
        <v>13646.664019209025</v>
      </c>
      <c r="M19" s="324">
        <f t="shared" si="5"/>
        <v>13615.674931496309</v>
      </c>
      <c r="N19" s="324">
        <f t="shared" si="5"/>
        <v>13584.756214355912</v>
      </c>
      <c r="O19" s="324">
        <f t="shared" si="5"/>
        <v>13553.907707989083</v>
      </c>
      <c r="P19" s="324">
        <f t="shared" si="5"/>
        <v>13523.129252959949</v>
      </c>
      <c r="Q19" s="324">
        <f t="shared" si="5"/>
        <v>13492.420690194685</v>
      </c>
      <c r="R19" s="324">
        <f t="shared" si="5"/>
        <v>13461.78186098069</v>
      </c>
      <c r="S19" s="324">
        <f t="shared" si="5"/>
        <v>13431.212606965779</v>
      </c>
      <c r="T19" s="324">
        <f t="shared" si="5"/>
        <v>13400.712770157346</v>
      </c>
      <c r="U19" s="324">
        <f t="shared" si="5"/>
        <v>13370.282192921564</v>
      </c>
      <c r="V19" s="324">
        <f t="shared" si="5"/>
        <v>13339.920717982563</v>
      </c>
      <c r="W19" s="324">
        <f t="shared" si="5"/>
        <v>13309.628188421611</v>
      </c>
      <c r="X19" s="324">
        <f t="shared" si="5"/>
        <v>13279.404447676325</v>
      </c>
      <c r="Y19" s="324">
        <f t="shared" si="5"/>
        <v>13249.249339539829</v>
      </c>
      <c r="Z19" s="324">
        <f t="shared" si="5"/>
        <v>13219.162708159976</v>
      </c>
      <c r="AA19" s="324">
        <f t="shared" si="5"/>
        <v>13189.144398038528</v>
      </c>
      <c r="AB19" s="324">
        <f t="shared" si="5"/>
        <v>13159.194254030353</v>
      </c>
      <c r="AC19" s="324">
        <f t="shared" si="5"/>
        <v>13129.31212134263</v>
      </c>
      <c r="AD19" s="339">
        <f aca="true" t="shared" si="6" ref="AD19:AD28">$B19*AD$17</f>
        <v>13129.322965513957</v>
      </c>
    </row>
    <row r="20" spans="1:30" ht="12.75">
      <c r="A20" s="51" t="s">
        <v>69</v>
      </c>
      <c r="B20" s="323">
        <f>'[1] Existing SphtSysType PNRES'!Q65</f>
        <v>0.06896259887373458</v>
      </c>
      <c r="C20" s="323"/>
      <c r="D20" s="324">
        <f t="shared" si="5"/>
        <v>28543.61967383874</v>
      </c>
      <c r="E20" s="324">
        <f t="shared" si="5"/>
        <v>28478.802313898912</v>
      </c>
      <c r="F20" s="324">
        <f t="shared" si="5"/>
        <v>28414.13214237448</v>
      </c>
      <c r="G20" s="324">
        <f t="shared" si="5"/>
        <v>28349.60882502738</v>
      </c>
      <c r="H20" s="324">
        <f t="shared" si="5"/>
        <v>28285.232028378516</v>
      </c>
      <c r="I20" s="324">
        <f t="shared" si="5"/>
        <v>28221.00141970609</v>
      </c>
      <c r="J20" s="324">
        <f t="shared" si="5"/>
        <v>28156.91666704383</v>
      </c>
      <c r="K20" s="324">
        <f t="shared" si="5"/>
        <v>28092.97743917932</v>
      </c>
      <c r="L20" s="324">
        <f t="shared" si="5"/>
        <v>28029.183405652253</v>
      </c>
      <c r="M20" s="324">
        <f t="shared" si="5"/>
        <v>27965.534236752737</v>
      </c>
      <c r="N20" s="324">
        <f t="shared" si="5"/>
        <v>27902.029603519604</v>
      </c>
      <c r="O20" s="324">
        <f t="shared" si="5"/>
        <v>27838.66917773868</v>
      </c>
      <c r="P20" s="324">
        <f t="shared" si="5"/>
        <v>27775.452631941123</v>
      </c>
      <c r="Q20" s="324">
        <f t="shared" si="5"/>
        <v>27712.3796394017</v>
      </c>
      <c r="R20" s="324">
        <f t="shared" si="5"/>
        <v>27649.449874137117</v>
      </c>
      <c r="S20" s="324">
        <f t="shared" si="5"/>
        <v>27586.663010904325</v>
      </c>
      <c r="T20" s="324">
        <f t="shared" si="5"/>
        <v>27524.018725198843</v>
      </c>
      <c r="U20" s="324">
        <f t="shared" si="5"/>
        <v>27461.51669325309</v>
      </c>
      <c r="V20" s="324">
        <f t="shared" si="5"/>
        <v>27399.156592034684</v>
      </c>
      <c r="W20" s="324">
        <f t="shared" si="5"/>
        <v>27336.93809924481</v>
      </c>
      <c r="X20" s="324">
        <f t="shared" si="5"/>
        <v>27274.860893316527</v>
      </c>
      <c r="Y20" s="324">
        <f t="shared" si="5"/>
        <v>27212.924653413105</v>
      </c>
      <c r="Z20" s="324">
        <f t="shared" si="5"/>
        <v>27151.129059426392</v>
      </c>
      <c r="AA20" s="324">
        <f t="shared" si="5"/>
        <v>27089.473791975135</v>
      </c>
      <c r="AB20" s="324">
        <f t="shared" si="5"/>
        <v>27027.95853240333</v>
      </c>
      <c r="AC20" s="324">
        <f t="shared" si="5"/>
        <v>26966.5829627786</v>
      </c>
      <c r="AD20" s="339">
        <f t="shared" si="6"/>
        <v>26966.60523586062</v>
      </c>
    </row>
    <row r="21" spans="1:30" ht="13.5" thickBot="1">
      <c r="A21" s="51" t="s">
        <v>70</v>
      </c>
      <c r="B21" s="323">
        <f>'[1] Existing SphtSysType PNRES'!Q66</f>
        <v>0.04103740112626542</v>
      </c>
      <c r="C21" s="323"/>
      <c r="D21" s="324">
        <f t="shared" si="5"/>
        <v>16985.380326161256</v>
      </c>
      <c r="E21" s="324">
        <f t="shared" si="5"/>
        <v>16946.809621993532</v>
      </c>
      <c r="F21" s="324">
        <f t="shared" si="5"/>
        <v>16908.326504867804</v>
      </c>
      <c r="G21" s="324">
        <f t="shared" si="5"/>
        <v>16869.930775889865</v>
      </c>
      <c r="H21" s="324">
        <f t="shared" si="5"/>
        <v>16831.622236617142</v>
      </c>
      <c r="I21" s="324">
        <f t="shared" si="5"/>
        <v>16793.400689057707</v>
      </c>
      <c r="J21" s="324">
        <f t="shared" si="5"/>
        <v>16755.265935669227</v>
      </c>
      <c r="K21" s="324">
        <f t="shared" si="5"/>
        <v>16717.217779357954</v>
      </c>
      <c r="L21" s="324">
        <f t="shared" si="5"/>
        <v>16679.256023477697</v>
      </c>
      <c r="M21" s="324">
        <f t="shared" si="5"/>
        <v>16641.380471828823</v>
      </c>
      <c r="N21" s="324">
        <f t="shared" si="5"/>
        <v>16603.590928657224</v>
      </c>
      <c r="O21" s="324">
        <f t="shared" si="5"/>
        <v>16565.887198653323</v>
      </c>
      <c r="P21" s="324">
        <f t="shared" si="5"/>
        <v>16528.26908695105</v>
      </c>
      <c r="Q21" s="324">
        <f t="shared" si="5"/>
        <v>16490.73639912684</v>
      </c>
      <c r="R21" s="324">
        <f t="shared" si="5"/>
        <v>16453.28894119862</v>
      </c>
      <c r="S21" s="324">
        <f t="shared" si="5"/>
        <v>16415.92651962484</v>
      </c>
      <c r="T21" s="324">
        <f t="shared" si="5"/>
        <v>16378.648941303423</v>
      </c>
      <c r="U21" s="324">
        <f t="shared" si="5"/>
        <v>16341.456013570802</v>
      </c>
      <c r="V21" s="324">
        <f t="shared" si="5"/>
        <v>16304.34754420091</v>
      </c>
      <c r="W21" s="324">
        <f t="shared" si="5"/>
        <v>16267.323341404193</v>
      </c>
      <c r="X21" s="324">
        <f t="shared" si="5"/>
        <v>16230.383213826619</v>
      </c>
      <c r="Y21" s="324">
        <f t="shared" si="5"/>
        <v>16193.52697054868</v>
      </c>
      <c r="Z21" s="324">
        <f t="shared" si="5"/>
        <v>16156.754421084417</v>
      </c>
      <c r="AA21" s="324">
        <f t="shared" si="5"/>
        <v>16120.065375380425</v>
      </c>
      <c r="AB21" s="324">
        <f t="shared" si="5"/>
        <v>16083.459643814878</v>
      </c>
      <c r="AC21" s="324">
        <f t="shared" si="5"/>
        <v>16046.937037196549</v>
      </c>
      <c r="AD21" s="342">
        <f t="shared" si="6"/>
        <v>16046.950291183726</v>
      </c>
    </row>
    <row r="22" spans="1:32" ht="12.75">
      <c r="A22" s="51" t="s">
        <v>71</v>
      </c>
      <c r="B22" s="323">
        <f>'[1] Existing SphtSysType PNRES'!Q67</f>
        <v>0.0761208275428062</v>
      </c>
      <c r="C22" s="323"/>
      <c r="D22" s="324">
        <f t="shared" si="5"/>
        <v>31506.410519967485</v>
      </c>
      <c r="E22" s="324">
        <f t="shared" si="5"/>
        <v>31434.865201804612</v>
      </c>
      <c r="F22" s="324">
        <f t="shared" si="5"/>
        <v>31363.482350024507</v>
      </c>
      <c r="G22" s="324">
        <f t="shared" si="5"/>
        <v>31292.261595695607</v>
      </c>
      <c r="H22" s="324">
        <f t="shared" si="5"/>
        <v>31221.202570724137</v>
      </c>
      <c r="I22" s="324">
        <f t="shared" si="5"/>
        <v>31150.30490785219</v>
      </c>
      <c r="J22" s="324">
        <f t="shared" si="5"/>
        <v>31079.568240655834</v>
      </c>
      <c r="K22" s="324">
        <f t="shared" si="5"/>
        <v>31008.992203543225</v>
      </c>
      <c r="L22" s="324">
        <f t="shared" si="5"/>
        <v>30938.576431752706</v>
      </c>
      <c r="M22" s="324">
        <f t="shared" si="5"/>
        <v>30868.32056135093</v>
      </c>
      <c r="N22" s="324">
        <f t="shared" si="5"/>
        <v>30798.22422923097</v>
      </c>
      <c r="O22" s="324">
        <f t="shared" si="5"/>
        <v>30728.287073110467</v>
      </c>
      <c r="P22" s="324">
        <f t="shared" si="5"/>
        <v>30658.508731529717</v>
      </c>
      <c r="Q22" s="324">
        <f t="shared" si="5"/>
        <v>30588.888843849832</v>
      </c>
      <c r="R22" s="324">
        <f t="shared" si="5"/>
        <v>30519.42705025088</v>
      </c>
      <c r="S22" s="324">
        <f t="shared" si="5"/>
        <v>30450.12299173</v>
      </c>
      <c r="T22" s="324">
        <f t="shared" si="5"/>
        <v>30380.976310099573</v>
      </c>
      <c r="U22" s="324">
        <f t="shared" si="5"/>
        <v>30311.986647985348</v>
      </c>
      <c r="V22" s="324">
        <f t="shared" si="5"/>
        <v>30243.15364882461</v>
      </c>
      <c r="W22" s="324">
        <f t="shared" si="5"/>
        <v>30174.47695686434</v>
      </c>
      <c r="X22" s="324">
        <f t="shared" si="5"/>
        <v>30105.956217159353</v>
      </c>
      <c r="Y22" s="324">
        <f t="shared" si="5"/>
        <v>30037.5910755705</v>
      </c>
      <c r="Z22" s="324">
        <f t="shared" si="5"/>
        <v>29969.381178762807</v>
      </c>
      <c r="AA22" s="324">
        <f t="shared" si="5"/>
        <v>29901.326174203656</v>
      </c>
      <c r="AB22" s="324">
        <f t="shared" si="5"/>
        <v>29833.42571016097</v>
      </c>
      <c r="AC22" s="341">
        <f t="shared" si="5"/>
        <v>29765.679435701397</v>
      </c>
      <c r="AD22" s="396">
        <f t="shared" si="6"/>
        <v>29765.704020700556</v>
      </c>
      <c r="AE22" s="401">
        <f>AD22/(SUM(AD$22:AD$24))</f>
        <v>0.10673000274782828</v>
      </c>
      <c r="AF22" s="394">
        <f>AE22*AE$25</f>
        <v>30883.811870004796</v>
      </c>
    </row>
    <row r="23" spans="1:32" ht="12.75">
      <c r="A23" s="51" t="s">
        <v>9</v>
      </c>
      <c r="B23" s="323">
        <f>'[1] Existing SphtSysType PNRES'!Q68</f>
        <v>0.012913181424862995</v>
      </c>
      <c r="C23" s="323"/>
      <c r="D23" s="324">
        <f t="shared" si="5"/>
        <v>5344.765791750793</v>
      </c>
      <c r="E23" s="324">
        <f t="shared" si="5"/>
        <v>5332.6288023963725</v>
      </c>
      <c r="F23" s="324">
        <f t="shared" si="5"/>
        <v>5320.519373933548</v>
      </c>
      <c r="G23" s="324">
        <f t="shared" si="5"/>
        <v>5308.4374437765555</v>
      </c>
      <c r="H23" s="324">
        <f t="shared" si="5"/>
        <v>5296.382949481752</v>
      </c>
      <c r="I23" s="324">
        <f t="shared" si="5"/>
        <v>5284.355828747293</v>
      </c>
      <c r="J23" s="324">
        <f t="shared" si="5"/>
        <v>5272.356019412811</v>
      </c>
      <c r="K23" s="324">
        <f t="shared" si="5"/>
        <v>5260.383459459092</v>
      </c>
      <c r="L23" s="324">
        <f t="shared" si="5"/>
        <v>5248.438087007756</v>
      </c>
      <c r="M23" s="324">
        <f t="shared" si="5"/>
        <v>5236.519840320939</v>
      </c>
      <c r="N23" s="324">
        <f t="shared" si="5"/>
        <v>5224.628657800972</v>
      </c>
      <c r="O23" s="324">
        <f t="shared" si="5"/>
        <v>5212.764477990062</v>
      </c>
      <c r="P23" s="324">
        <f t="shared" si="5"/>
        <v>5200.927239569978</v>
      </c>
      <c r="Q23" s="324">
        <f t="shared" si="5"/>
        <v>5189.11688136173</v>
      </c>
      <c r="R23" s="324">
        <f t="shared" si="5"/>
        <v>5177.333342325251</v>
      </c>
      <c r="S23" s="324">
        <f t="shared" si="5"/>
        <v>5165.576561559092</v>
      </c>
      <c r="T23" s="324">
        <f t="shared" si="5"/>
        <v>5153.846478300093</v>
      </c>
      <c r="U23" s="324">
        <f t="shared" si="5"/>
        <v>5142.143031923081</v>
      </c>
      <c r="V23" s="324">
        <f t="shared" si="5"/>
        <v>5130.46616194055</v>
      </c>
      <c r="W23" s="324">
        <f t="shared" si="5"/>
        <v>5118.8158080023495</v>
      </c>
      <c r="X23" s="324">
        <f t="shared" si="5"/>
        <v>5107.191909895373</v>
      </c>
      <c r="Y23" s="324">
        <f t="shared" si="5"/>
        <v>5095.59440754325</v>
      </c>
      <c r="Z23" s="324">
        <f t="shared" si="5"/>
        <v>5084.023241006028</v>
      </c>
      <c r="AA23" s="324">
        <f t="shared" si="5"/>
        <v>5072.478350479871</v>
      </c>
      <c r="AB23" s="324">
        <f t="shared" si="5"/>
        <v>5060.959676296744</v>
      </c>
      <c r="AC23" s="341">
        <f t="shared" si="5"/>
        <v>5049.467158924109</v>
      </c>
      <c r="AD23" s="397">
        <f t="shared" si="6"/>
        <v>5049.471329537655</v>
      </c>
      <c r="AE23" s="392">
        <f>AD23/(SUM(AD$22:AD$24))</f>
        <v>0.01810573969632417</v>
      </c>
      <c r="AF23" s="395">
        <f>AE23*AE$25</f>
        <v>5239.147794924342</v>
      </c>
    </row>
    <row r="24" spans="1:32" ht="12.75">
      <c r="A24" s="51" t="s">
        <v>73</v>
      </c>
      <c r="B24" s="323">
        <f>'[1] Existing SphtSysType PNRES'!Q69</f>
        <v>0.6241752628680808</v>
      </c>
      <c r="C24" s="323"/>
      <c r="D24" s="324">
        <f t="shared" si="5"/>
        <v>258346.1413010986</v>
      </c>
      <c r="E24" s="324">
        <f t="shared" si="5"/>
        <v>257759.48428208265</v>
      </c>
      <c r="F24" s="324">
        <f t="shared" si="5"/>
        <v>257174.1594542743</v>
      </c>
      <c r="G24" s="324">
        <f t="shared" si="5"/>
        <v>256590.16379251005</v>
      </c>
      <c r="H24" s="324">
        <f t="shared" si="5"/>
        <v>256007.49427849596</v>
      </c>
      <c r="I24" s="324">
        <f t="shared" si="5"/>
        <v>255426.1479007921</v>
      </c>
      <c r="J24" s="324">
        <f t="shared" si="5"/>
        <v>254846.12165479697</v>
      </c>
      <c r="K24" s="324">
        <f t="shared" si="5"/>
        <v>254267.41254273197</v>
      </c>
      <c r="L24" s="324">
        <f t="shared" si="5"/>
        <v>253690.01757362593</v>
      </c>
      <c r="M24" s="324">
        <f t="shared" si="5"/>
        <v>253113.93376329957</v>
      </c>
      <c r="N24" s="324">
        <f t="shared" si="5"/>
        <v>252539.1581343502</v>
      </c>
      <c r="O24" s="324">
        <f t="shared" si="5"/>
        <v>251965.68771613628</v>
      </c>
      <c r="P24" s="324">
        <f t="shared" si="5"/>
        <v>251393.519544762</v>
      </c>
      <c r="Q24" s="324">
        <f t="shared" si="5"/>
        <v>250822.65066306206</v>
      </c>
      <c r="R24" s="324">
        <f t="shared" si="5"/>
        <v>250253.0781205863</v>
      </c>
      <c r="S24" s="324">
        <f t="shared" si="5"/>
        <v>249684.79897358455</v>
      </c>
      <c r="T24" s="324">
        <f t="shared" si="5"/>
        <v>249117.81028499128</v>
      </c>
      <c r="U24" s="324">
        <f t="shared" si="5"/>
        <v>248552.1091244106</v>
      </c>
      <c r="V24" s="324">
        <f t="shared" si="5"/>
        <v>247987.69256810096</v>
      </c>
      <c r="W24" s="324">
        <f t="shared" si="5"/>
        <v>247424.5576989601</v>
      </c>
      <c r="X24" s="324">
        <f t="shared" si="5"/>
        <v>246862.70160650995</v>
      </c>
      <c r="Y24" s="324">
        <f t="shared" si="5"/>
        <v>246302.12138688163</v>
      </c>
      <c r="Z24" s="324">
        <f t="shared" si="5"/>
        <v>245742.81414280043</v>
      </c>
      <c r="AA24" s="324">
        <f t="shared" si="5"/>
        <v>245184.77698357077</v>
      </c>
      <c r="AB24" s="324">
        <f t="shared" si="5"/>
        <v>244628.00702506138</v>
      </c>
      <c r="AC24" s="341">
        <f t="shared" si="5"/>
        <v>244072.50138969033</v>
      </c>
      <c r="AD24" s="397">
        <f t="shared" si="6"/>
        <v>244072.70298166992</v>
      </c>
      <c r="AE24" s="392">
        <f>AD24/(SUM(AD$22:AD$24))</f>
        <v>0.8751642575558475</v>
      </c>
      <c r="AF24" s="395">
        <f>AE24*AE$25</f>
        <v>253240.95933518736</v>
      </c>
    </row>
    <row r="25" spans="1:32" ht="13.5" thickBot="1">
      <c r="A25" s="51" t="s">
        <v>72</v>
      </c>
      <c r="B25" s="323">
        <f>'[1] Existing SphtSysType PNRES'!Q70</f>
        <v>0.026790728164250027</v>
      </c>
      <c r="C25" s="323">
        <f>SUM(B22:B25)</f>
        <v>0.74</v>
      </c>
      <c r="D25" s="324">
        <f t="shared" si="5"/>
        <v>11088.682387183084</v>
      </c>
      <c r="E25" s="324">
        <f t="shared" si="5"/>
        <v>11063.502009720052</v>
      </c>
      <c r="F25" s="324">
        <f t="shared" si="5"/>
        <v>11038.378812306646</v>
      </c>
      <c r="G25" s="324">
        <f t="shared" si="5"/>
        <v>11013.31266509739</v>
      </c>
      <c r="H25" s="324">
        <f t="shared" si="5"/>
        <v>10988.303438541665</v>
      </c>
      <c r="I25" s="324">
        <f t="shared" si="5"/>
        <v>10963.351003383037</v>
      </c>
      <c r="J25" s="324">
        <f t="shared" si="5"/>
        <v>10938.455230658588</v>
      </c>
      <c r="K25" s="324">
        <f t="shared" si="5"/>
        <v>10913.615991698258</v>
      </c>
      <c r="L25" s="324">
        <f t="shared" si="5"/>
        <v>10888.833158124164</v>
      </c>
      <c r="M25" s="324">
        <f t="shared" si="5"/>
        <v>10864.106601849951</v>
      </c>
      <c r="N25" s="324">
        <f t="shared" si="5"/>
        <v>10839.436195080127</v>
      </c>
      <c r="O25" s="324">
        <f t="shared" si="5"/>
        <v>10814.821810309393</v>
      </c>
      <c r="P25" s="324">
        <f t="shared" si="5"/>
        <v>10790.263320322001</v>
      </c>
      <c r="Q25" s="324">
        <f t="shared" si="5"/>
        <v>10765.760598191078</v>
      </c>
      <c r="R25" s="324">
        <f t="shared" si="5"/>
        <v>10741.31351727798</v>
      </c>
      <c r="S25" s="324">
        <f t="shared" si="5"/>
        <v>10716.921951231645</v>
      </c>
      <c r="T25" s="324">
        <f t="shared" si="5"/>
        <v>10692.58577398792</v>
      </c>
      <c r="U25" s="324">
        <f t="shared" si="5"/>
        <v>10668.304859768927</v>
      </c>
      <c r="V25" s="324">
        <f t="shared" si="5"/>
        <v>10644.079083082404</v>
      </c>
      <c r="W25" s="324">
        <f t="shared" si="5"/>
        <v>10619.90831872106</v>
      </c>
      <c r="X25" s="324">
        <f t="shared" si="5"/>
        <v>10595.79244176193</v>
      </c>
      <c r="Y25" s="324">
        <f t="shared" si="5"/>
        <v>10571.73132756572</v>
      </c>
      <c r="Z25" s="324">
        <f t="shared" si="5"/>
        <v>10547.724851776176</v>
      </c>
      <c r="AA25" s="324">
        <f t="shared" si="5"/>
        <v>10523.77289031943</v>
      </c>
      <c r="AB25" s="324">
        <f t="shared" si="5"/>
        <v>10499.87531940336</v>
      </c>
      <c r="AC25" s="341">
        <f t="shared" si="5"/>
        <v>10476.032015516963</v>
      </c>
      <c r="AD25" s="398">
        <f t="shared" si="6"/>
        <v>10476.040668208358</v>
      </c>
      <c r="AE25" s="399">
        <f>SUM(AD22:AD25)</f>
        <v>289363.9190001165</v>
      </c>
      <c r="AF25" s="402"/>
    </row>
    <row r="26" spans="1:30" ht="13.5" thickBot="1">
      <c r="A26" s="51" t="s">
        <v>10</v>
      </c>
      <c r="B26" s="323">
        <f>'[1] Existing SphtSysType PNRES'!Q71</f>
        <v>0.06</v>
      </c>
      <c r="C26" s="323"/>
      <c r="D26" s="324">
        <f t="shared" si="5"/>
        <v>24833.999999999996</v>
      </c>
      <c r="E26" s="324">
        <f t="shared" si="5"/>
        <v>24777.606510486785</v>
      </c>
      <c r="F26" s="324">
        <f t="shared" si="5"/>
        <v>24721.341080313974</v>
      </c>
      <c r="G26" s="324">
        <f t="shared" si="5"/>
        <v>24665.20341868213</v>
      </c>
      <c r="H26" s="324">
        <f t="shared" si="5"/>
        <v>24609.193235452174</v>
      </c>
      <c r="I26" s="324">
        <f t="shared" si="5"/>
        <v>24553.31024114389</v>
      </c>
      <c r="J26" s="324">
        <f t="shared" si="5"/>
        <v>24497.554146934395</v>
      </c>
      <c r="K26" s="324">
        <f t="shared" si="5"/>
        <v>24441.924664656693</v>
      </c>
      <c r="L26" s="324">
        <f t="shared" si="5"/>
        <v>24386.421506798153</v>
      </c>
      <c r="M26" s="324">
        <f t="shared" si="5"/>
        <v>24331.04438649903</v>
      </c>
      <c r="N26" s="324">
        <f t="shared" si="5"/>
        <v>24275.793017550994</v>
      </c>
      <c r="O26" s="324">
        <f t="shared" si="5"/>
        <v>24220.667114395637</v>
      </c>
      <c r="P26" s="324">
        <f t="shared" si="5"/>
        <v>24165.666392123003</v>
      </c>
      <c r="Q26" s="324">
        <f t="shared" si="5"/>
        <v>24110.79056647011</v>
      </c>
      <c r="R26" s="324">
        <f t="shared" si="5"/>
        <v>24056.03935381949</v>
      </c>
      <c r="S26" s="324">
        <f t="shared" si="5"/>
        <v>24001.412471197724</v>
      </c>
      <c r="T26" s="324">
        <f t="shared" si="5"/>
        <v>23946.909636273962</v>
      </c>
      <c r="U26" s="324">
        <f t="shared" si="5"/>
        <v>23892.53056735848</v>
      </c>
      <c r="V26" s="324">
        <f t="shared" si="5"/>
        <v>23838.274983401232</v>
      </c>
      <c r="W26" s="324">
        <f t="shared" si="5"/>
        <v>23784.142603990364</v>
      </c>
      <c r="X26" s="324">
        <f t="shared" si="5"/>
        <v>23730.133149350804</v>
      </c>
      <c r="Y26" s="324">
        <f t="shared" si="5"/>
        <v>23676.24634034279</v>
      </c>
      <c r="Z26" s="324">
        <f t="shared" si="5"/>
        <v>23622.48189846044</v>
      </c>
      <c r="AA26" s="324">
        <f t="shared" si="5"/>
        <v>23568.839545830302</v>
      </c>
      <c r="AB26" s="324">
        <f t="shared" si="5"/>
        <v>23515.319005209927</v>
      </c>
      <c r="AC26" s="324">
        <f t="shared" si="5"/>
        <v>23461.919999986443</v>
      </c>
      <c r="AD26" s="343">
        <f t="shared" si="6"/>
        <v>23461.939378387822</v>
      </c>
    </row>
    <row r="27" spans="1:32" ht="12.75">
      <c r="A27" s="325"/>
      <c r="B27" s="157"/>
      <c r="C27" s="157"/>
      <c r="D27" s="324">
        <f t="shared" si="5"/>
        <v>0</v>
      </c>
      <c r="E27" s="324">
        <f t="shared" si="5"/>
        <v>0</v>
      </c>
      <c r="F27" s="324">
        <f t="shared" si="5"/>
        <v>0</v>
      </c>
      <c r="G27" s="324">
        <f t="shared" si="5"/>
        <v>0</v>
      </c>
      <c r="H27" s="324">
        <f t="shared" si="5"/>
        <v>0</v>
      </c>
      <c r="I27" s="324">
        <f t="shared" si="5"/>
        <v>0</v>
      </c>
      <c r="J27" s="324">
        <f t="shared" si="5"/>
        <v>0</v>
      </c>
      <c r="K27" s="324">
        <f t="shared" si="5"/>
        <v>0</v>
      </c>
      <c r="L27" s="324">
        <f t="shared" si="5"/>
        <v>0</v>
      </c>
      <c r="M27" s="324">
        <f t="shared" si="5"/>
        <v>0</v>
      </c>
      <c r="N27" s="324">
        <f t="shared" si="5"/>
        <v>0</v>
      </c>
      <c r="O27" s="324">
        <f t="shared" si="5"/>
        <v>0</v>
      </c>
      <c r="P27" s="324">
        <f t="shared" si="5"/>
        <v>0</v>
      </c>
      <c r="Q27" s="324">
        <f t="shared" si="5"/>
        <v>0</v>
      </c>
      <c r="R27" s="324">
        <f t="shared" si="5"/>
        <v>0</v>
      </c>
      <c r="S27" s="324">
        <f t="shared" si="5"/>
        <v>0</v>
      </c>
      <c r="T27" s="324">
        <f t="shared" si="5"/>
        <v>0</v>
      </c>
      <c r="U27" s="324">
        <f t="shared" si="5"/>
        <v>0</v>
      </c>
      <c r="V27" s="324">
        <f t="shared" si="5"/>
        <v>0</v>
      </c>
      <c r="W27" s="324">
        <f t="shared" si="5"/>
        <v>0</v>
      </c>
      <c r="X27" s="324">
        <f t="shared" si="5"/>
        <v>0</v>
      </c>
      <c r="Y27" s="324">
        <f aca="true" t="shared" si="7" ref="D27:AC28">$B27*Y$17</f>
        <v>0</v>
      </c>
      <c r="Z27" s="324">
        <f t="shared" si="7"/>
        <v>0</v>
      </c>
      <c r="AA27" s="324">
        <f t="shared" si="7"/>
        <v>0</v>
      </c>
      <c r="AB27" s="324">
        <f t="shared" si="7"/>
        <v>0</v>
      </c>
      <c r="AC27" s="324">
        <f t="shared" si="7"/>
        <v>0</v>
      </c>
      <c r="AD27" s="339">
        <f t="shared" si="6"/>
        <v>0</v>
      </c>
      <c r="AE27" s="404" t="s">
        <v>176</v>
      </c>
      <c r="AF27" s="405" t="s">
        <v>177</v>
      </c>
    </row>
    <row r="28" spans="1:32" ht="13.5" thickBot="1">
      <c r="A28" s="52" t="s">
        <v>26</v>
      </c>
      <c r="B28" s="326">
        <v>0.1</v>
      </c>
      <c r="C28" s="326"/>
      <c r="D28" s="324">
        <f t="shared" si="7"/>
        <v>41390</v>
      </c>
      <c r="E28" s="324">
        <f t="shared" si="7"/>
        <v>41296.01085081131</v>
      </c>
      <c r="F28" s="324">
        <f t="shared" si="7"/>
        <v>41202.23513385662</v>
      </c>
      <c r="G28" s="324">
        <f t="shared" si="7"/>
        <v>41108.67236447022</v>
      </c>
      <c r="H28" s="324">
        <f t="shared" si="7"/>
        <v>41015.32205908696</v>
      </c>
      <c r="I28" s="324">
        <f t="shared" si="7"/>
        <v>40922.183735239814</v>
      </c>
      <c r="J28" s="324">
        <f t="shared" si="7"/>
        <v>40829.25691155733</v>
      </c>
      <c r="K28" s="324">
        <f t="shared" si="7"/>
        <v>40736.54110776116</v>
      </c>
      <c r="L28" s="324">
        <f t="shared" si="7"/>
        <v>40644.035844663595</v>
      </c>
      <c r="M28" s="324">
        <f t="shared" si="7"/>
        <v>40551.74064416505</v>
      </c>
      <c r="N28" s="324">
        <f t="shared" si="7"/>
        <v>40459.65502925166</v>
      </c>
      <c r="O28" s="324">
        <f t="shared" si="7"/>
        <v>40367.77852399273</v>
      </c>
      <c r="P28" s="324">
        <f t="shared" si="7"/>
        <v>40276.110653538344</v>
      </c>
      <c r="Q28" s="324">
        <f t="shared" si="7"/>
        <v>40184.65094411685</v>
      </c>
      <c r="R28" s="324">
        <f t="shared" si="7"/>
        <v>40093.39892303249</v>
      </c>
      <c r="S28" s="324">
        <f t="shared" si="7"/>
        <v>40002.35411866288</v>
      </c>
      <c r="T28" s="324">
        <f t="shared" si="7"/>
        <v>39911.516060456604</v>
      </c>
      <c r="U28" s="324">
        <f t="shared" si="7"/>
        <v>39820.88427893081</v>
      </c>
      <c r="V28" s="324">
        <f t="shared" si="7"/>
        <v>39730.458305668726</v>
      </c>
      <c r="W28" s="324">
        <f t="shared" si="7"/>
        <v>39640.23767331728</v>
      </c>
      <c r="X28" s="324">
        <f t="shared" si="7"/>
        <v>39550.221915584676</v>
      </c>
      <c r="Y28" s="324">
        <f t="shared" si="7"/>
        <v>39460.41056723799</v>
      </c>
      <c r="Z28" s="324">
        <f t="shared" si="7"/>
        <v>39370.80316410074</v>
      </c>
      <c r="AA28" s="324">
        <f t="shared" si="7"/>
        <v>39281.39924305051</v>
      </c>
      <c r="AB28" s="324">
        <f t="shared" si="7"/>
        <v>39192.19834201655</v>
      </c>
      <c r="AC28" s="324">
        <f t="shared" si="7"/>
        <v>39103.199999977405</v>
      </c>
      <c r="AD28" s="339">
        <f t="shared" si="6"/>
        <v>39103.23229731304</v>
      </c>
      <c r="AE28" s="406">
        <f>B28-B23</f>
        <v>0.087086818575137</v>
      </c>
      <c r="AF28" s="400">
        <f>AF22*AE28</f>
        <v>2689.5729212317706</v>
      </c>
    </row>
    <row r="29" spans="1:30" ht="12.75">
      <c r="A29" s="51"/>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1"/>
      <c r="Z29" s="157"/>
      <c r="AA29" s="157"/>
      <c r="AB29" s="157"/>
      <c r="AC29" s="157"/>
      <c r="AD29" s="340"/>
    </row>
    <row r="30" spans="1:30" ht="12.75">
      <c r="A30" s="53" t="s">
        <v>11</v>
      </c>
      <c r="B30" s="328"/>
      <c r="C30" s="312">
        <v>-0.01068698647741899</v>
      </c>
      <c r="D30" s="337">
        <f>'[2]Summary for 5th Plan'!$F$18</f>
        <v>199748.99999999994</v>
      </c>
      <c r="E30" s="337">
        <f>D30*(1+$C30)</f>
        <v>197614.28513812198</v>
      </c>
      <c r="F30" s="337">
        <f aca="true" t="shared" si="8" ref="F30:AC30">E30*(1+$C30)</f>
        <v>195502.38394510606</v>
      </c>
      <c r="G30" s="337">
        <f t="shared" si="8"/>
        <v>193413.05261158154</v>
      </c>
      <c r="H30" s="337">
        <f t="shared" si="8"/>
        <v>191346.04993376526</v>
      </c>
      <c r="I30" s="337">
        <f t="shared" si="8"/>
        <v>189301.13728561558</v>
      </c>
      <c r="J30" s="337">
        <f t="shared" si="8"/>
        <v>187278.07859128417</v>
      </c>
      <c r="K30" s="337">
        <f t="shared" si="8"/>
        <v>185276.64029786212</v>
      </c>
      <c r="L30" s="337">
        <f t="shared" si="8"/>
        <v>183296.59134841725</v>
      </c>
      <c r="M30" s="337">
        <f t="shared" si="8"/>
        <v>181337.70315531973</v>
      </c>
      <c r="N30" s="337">
        <f t="shared" si="8"/>
        <v>179399.7495738526</v>
      </c>
      <c r="O30" s="337">
        <f t="shared" si="8"/>
        <v>177482.50687610448</v>
      </c>
      <c r="P30" s="337">
        <f t="shared" si="8"/>
        <v>175585.75372514114</v>
      </c>
      <c r="Q30" s="337">
        <f t="shared" si="8"/>
        <v>173709.27114945315</v>
      </c>
      <c r="R30" s="337">
        <f t="shared" si="8"/>
        <v>171852.84251767665</v>
      </c>
      <c r="S30" s="337">
        <f t="shared" si="8"/>
        <v>170016.25351358423</v>
      </c>
      <c r="T30" s="337">
        <f t="shared" si="8"/>
        <v>168199.29211134312</v>
      </c>
      <c r="U30" s="337">
        <f t="shared" si="8"/>
        <v>166401.74855103774</v>
      </c>
      <c r="V30" s="337">
        <f t="shared" si="8"/>
        <v>164623.41531445395</v>
      </c>
      <c r="W30" s="337">
        <f t="shared" si="8"/>
        <v>162864.08710112184</v>
      </c>
      <c r="X30" s="337">
        <f t="shared" si="8"/>
        <v>161123.56080461497</v>
      </c>
      <c r="Y30" s="337">
        <f t="shared" si="8"/>
        <v>159401.63548910245</v>
      </c>
      <c r="Z30" s="337">
        <f t="shared" si="8"/>
        <v>157698.11236615194</v>
      </c>
      <c r="AA30" s="337">
        <f t="shared" si="8"/>
        <v>156012.79477178038</v>
      </c>
      <c r="AB30" s="337">
        <f t="shared" si="8"/>
        <v>154345.48814375003</v>
      </c>
      <c r="AC30" s="337">
        <f t="shared" si="8"/>
        <v>152695.99999910715</v>
      </c>
      <c r="AD30" s="338">
        <f>'[2]Summary for 5th Plan'!$F$5</f>
        <v>152696.48398330316</v>
      </c>
    </row>
    <row r="31" spans="1:30" ht="12.75">
      <c r="A31" s="51" t="s">
        <v>67</v>
      </c>
      <c r="B31" s="329">
        <f>'[1] Existing SphtSysType PNRES'!Q74</f>
        <v>0.07705595698201982</v>
      </c>
      <c r="C31" s="329"/>
      <c r="D31" s="324">
        <f aca="true" t="shared" si="9" ref="D31:AC40">$B31*D$30</f>
        <v>15391.850351201472</v>
      </c>
      <c r="E31" s="324">
        <f t="shared" si="9"/>
        <v>15227.357854635726</v>
      </c>
      <c r="F31" s="324">
        <f t="shared" si="9"/>
        <v>15064.623287156415</v>
      </c>
      <c r="G31" s="324">
        <f t="shared" si="9"/>
        <v>14903.627861799165</v>
      </c>
      <c r="H31" s="324">
        <f t="shared" si="9"/>
        <v>14744.352992375632</v>
      </c>
      <c r="I31" s="324">
        <f t="shared" si="9"/>
        <v>14586.780291327823</v>
      </c>
      <c r="J31" s="324">
        <f t="shared" si="9"/>
        <v>14430.89156760532</v>
      </c>
      <c r="K31" s="324">
        <f t="shared" si="9"/>
        <v>14276.668824565224</v>
      </c>
      <c r="L31" s="324">
        <f t="shared" si="9"/>
        <v>14124.094257894507</v>
      </c>
      <c r="M31" s="324">
        <f t="shared" si="9"/>
        <v>13973.150253554597</v>
      </c>
      <c r="N31" s="324">
        <f t="shared" si="9"/>
        <v>13823.819385747915</v>
      </c>
      <c r="O31" s="324">
        <f t="shared" si="9"/>
        <v>13676.084414906145</v>
      </c>
      <c r="P31" s="324">
        <f t="shared" si="9"/>
        <v>13529.928285700002</v>
      </c>
      <c r="Q31" s="324">
        <f t="shared" si="9"/>
        <v>13385.33412507028</v>
      </c>
      <c r="R31" s="324">
        <f t="shared" si="9"/>
        <v>13242.285240279918</v>
      </c>
      <c r="S31" s="324">
        <f t="shared" si="9"/>
        <v>13100.765116986922</v>
      </c>
      <c r="T31" s="324">
        <f t="shared" si="9"/>
        <v>12960.757417337842</v>
      </c>
      <c r="U31" s="324">
        <f t="shared" si="9"/>
        <v>12822.245978081644</v>
      </c>
      <c r="V31" s="324">
        <f t="shared" si="9"/>
        <v>12685.214808703746</v>
      </c>
      <c r="W31" s="324">
        <f t="shared" si="9"/>
        <v>12549.648089579974</v>
      </c>
      <c r="X31" s="324">
        <f t="shared" si="9"/>
        <v>12415.530170150267</v>
      </c>
      <c r="Y31" s="324">
        <f t="shared" si="9"/>
        <v>12282.845567111883</v>
      </c>
      <c r="Z31" s="324">
        <f t="shared" si="9"/>
        <v>12151.578962631931</v>
      </c>
      <c r="AA31" s="324">
        <f t="shared" si="9"/>
        <v>12021.715202578996</v>
      </c>
      <c r="AB31" s="324">
        <f t="shared" si="9"/>
        <v>11893.239294773653</v>
      </c>
      <c r="AC31" s="324">
        <f t="shared" si="9"/>
        <v>11766.1364072577</v>
      </c>
      <c r="AD31" s="339">
        <f>$B31*AD$30</f>
        <v>11766.173701123087</v>
      </c>
    </row>
    <row r="32" spans="1:30" ht="12.75">
      <c r="A32" s="51" t="s">
        <v>68</v>
      </c>
      <c r="B32" s="329">
        <f>'[1] Existing SphtSysType PNRES'!Q75</f>
        <v>0.012944043017980173</v>
      </c>
      <c r="C32" s="329"/>
      <c r="D32" s="324">
        <f t="shared" si="9"/>
        <v>2585.559648798521</v>
      </c>
      <c r="E32" s="324">
        <f t="shared" si="9"/>
        <v>2557.927807795251</v>
      </c>
      <c r="F32" s="324">
        <f t="shared" si="9"/>
        <v>2530.5912679031294</v>
      </c>
      <c r="G32" s="324">
        <f t="shared" si="9"/>
        <v>2503.546873243174</v>
      </c>
      <c r="H32" s="324">
        <f t="shared" si="9"/>
        <v>2476.7915016632396</v>
      </c>
      <c r="I32" s="324">
        <f t="shared" si="9"/>
        <v>2450.3220643775785</v>
      </c>
      <c r="J32" s="324">
        <f t="shared" si="9"/>
        <v>2424.135505610254</v>
      </c>
      <c r="K32" s="324">
        <f t="shared" si="9"/>
        <v>2398.2288022423663</v>
      </c>
      <c r="L32" s="324">
        <f t="shared" si="9"/>
        <v>2372.5989634630455</v>
      </c>
      <c r="M32" s="324">
        <f t="shared" si="9"/>
        <v>2347.2430304241775</v>
      </c>
      <c r="N32" s="324">
        <f t="shared" si="9"/>
        <v>2322.1580758988184</v>
      </c>
      <c r="O32" s="324">
        <f t="shared" si="9"/>
        <v>2297.3412039432583</v>
      </c>
      <c r="P32" s="324">
        <f t="shared" si="9"/>
        <v>2272.7895495626994</v>
      </c>
      <c r="Q32" s="324">
        <f t="shared" si="9"/>
        <v>2248.500278380504</v>
      </c>
      <c r="R32" s="324">
        <f t="shared" si="9"/>
        <v>2224.470586310979</v>
      </c>
      <c r="S32" s="324">
        <f t="shared" si="9"/>
        <v>2200.697699235657</v>
      </c>
      <c r="T32" s="324">
        <f t="shared" si="9"/>
        <v>2177.1788726830387</v>
      </c>
      <c r="U32" s="324">
        <f t="shared" si="9"/>
        <v>2153.9113915117528</v>
      </c>
      <c r="V32" s="324">
        <f t="shared" si="9"/>
        <v>2130.892569597108</v>
      </c>
      <c r="W32" s="324">
        <f t="shared" si="9"/>
        <v>2108.119749520991</v>
      </c>
      <c r="X32" s="324">
        <f t="shared" si="9"/>
        <v>2085.5903022650805</v>
      </c>
      <c r="Y32" s="324">
        <f t="shared" si="9"/>
        <v>2063.3016269073373</v>
      </c>
      <c r="Z32" s="324">
        <f t="shared" si="9"/>
        <v>2041.2511503217418</v>
      </c>
      <c r="AA32" s="324">
        <f t="shared" si="9"/>
        <v>2019.4363268812374</v>
      </c>
      <c r="AB32" s="324">
        <f t="shared" si="9"/>
        <v>1997.8546381638491</v>
      </c>
      <c r="AC32" s="324">
        <f t="shared" si="9"/>
        <v>1976.5035926619435</v>
      </c>
      <c r="AD32" s="339">
        <f aca="true" t="shared" si="10" ref="AD32:AD41">$B32*AD$30</f>
        <v>1976.5098573741966</v>
      </c>
    </row>
    <row r="33" spans="1:30" ht="12.75">
      <c r="A33" s="51" t="s">
        <v>69</v>
      </c>
      <c r="B33" s="329">
        <f>'[1] Existing SphtSysType PNRES'!Q76</f>
        <v>0.008561772998002202</v>
      </c>
      <c r="C33" s="329"/>
      <c r="D33" s="324">
        <f t="shared" si="9"/>
        <v>1710.2055945779414</v>
      </c>
      <c r="E33" s="324">
        <f t="shared" si="9"/>
        <v>1691.9286505150806</v>
      </c>
      <c r="F33" s="324">
        <f t="shared" si="9"/>
        <v>1673.8470319062683</v>
      </c>
      <c r="G33" s="324">
        <f t="shared" si="9"/>
        <v>1655.9586513110182</v>
      </c>
      <c r="H33" s="324">
        <f t="shared" si="9"/>
        <v>1638.2614435972926</v>
      </c>
      <c r="I33" s="324">
        <f t="shared" si="9"/>
        <v>1620.7533657030913</v>
      </c>
      <c r="J33" s="324">
        <f t="shared" si="9"/>
        <v>1603.4323964005912</v>
      </c>
      <c r="K33" s="324">
        <f t="shared" si="9"/>
        <v>1586.2965360628025</v>
      </c>
      <c r="L33" s="324">
        <f t="shared" si="9"/>
        <v>1569.3438064327229</v>
      </c>
      <c r="M33" s="324">
        <f t="shared" si="9"/>
        <v>1552.5722503949553</v>
      </c>
      <c r="N33" s="324">
        <f t="shared" si="9"/>
        <v>1535.9799317497684</v>
      </c>
      <c r="O33" s="324">
        <f t="shared" si="9"/>
        <v>1519.5649349895716</v>
      </c>
      <c r="P33" s="324">
        <f t="shared" si="9"/>
        <v>1503.325365077778</v>
      </c>
      <c r="Q33" s="324">
        <f t="shared" si="9"/>
        <v>1487.259347230031</v>
      </c>
      <c r="R33" s="324">
        <f t="shared" si="9"/>
        <v>1471.3650266977686</v>
      </c>
      <c r="S33" s="324">
        <f t="shared" si="9"/>
        <v>1455.6405685541026</v>
      </c>
      <c r="T33" s="324">
        <f t="shared" si="9"/>
        <v>1440.0841574819824</v>
      </c>
      <c r="U33" s="324">
        <f t="shared" si="9"/>
        <v>1424.6939975646271</v>
      </c>
      <c r="V33" s="324">
        <f t="shared" si="9"/>
        <v>1409.468312078194</v>
      </c>
      <c r="W33" s="324">
        <f t="shared" si="9"/>
        <v>1394.4053432866638</v>
      </c>
      <c r="X33" s="324">
        <f t="shared" si="9"/>
        <v>1379.5033522389185</v>
      </c>
      <c r="Y33" s="324">
        <f t="shared" si="9"/>
        <v>1364.760618567987</v>
      </c>
      <c r="Z33" s="324">
        <f t="shared" si="9"/>
        <v>1350.1754402924369</v>
      </c>
      <c r="AA33" s="324">
        <f t="shared" si="9"/>
        <v>1335.7461336198883</v>
      </c>
      <c r="AB33" s="324">
        <f t="shared" si="9"/>
        <v>1321.471032752628</v>
      </c>
      <c r="AC33" s="324">
        <f t="shared" si="9"/>
        <v>1307.3484896952998</v>
      </c>
      <c r="AD33" s="339">
        <f t="shared" si="10"/>
        <v>1307.3526334581206</v>
      </c>
    </row>
    <row r="34" spans="1:30" ht="13.5" thickBot="1">
      <c r="A34" s="51" t="s">
        <v>70</v>
      </c>
      <c r="B34" s="329">
        <f>'[1] Existing SphtSysType PNRES'!Q77</f>
        <v>0.0014382270019977971</v>
      </c>
      <c r="C34" s="329"/>
      <c r="D34" s="324">
        <f t="shared" si="9"/>
        <v>287.2844054220579</v>
      </c>
      <c r="E34" s="324">
        <f t="shared" si="9"/>
        <v>284.21420086613904</v>
      </c>
      <c r="F34" s="324">
        <f t="shared" si="9"/>
        <v>281.17680754479215</v>
      </c>
      <c r="G34" s="324">
        <f t="shared" si="9"/>
        <v>278.17187480479714</v>
      </c>
      <c r="H34" s="324">
        <f t="shared" si="9"/>
        <v>275.19905574036</v>
      </c>
      <c r="I34" s="324">
        <f t="shared" si="9"/>
        <v>272.2580071530643</v>
      </c>
      <c r="J34" s="324">
        <f t="shared" si="9"/>
        <v>269.3483895122505</v>
      </c>
      <c r="K34" s="324">
        <f t="shared" si="9"/>
        <v>266.4698669158185</v>
      </c>
      <c r="L34" s="324">
        <f t="shared" si="9"/>
        <v>263.6221070514495</v>
      </c>
      <c r="M34" s="324">
        <f t="shared" si="9"/>
        <v>260.80478115824195</v>
      </c>
      <c r="N34" s="324">
        <f t="shared" si="9"/>
        <v>258.0175639887576</v>
      </c>
      <c r="O34" s="324">
        <f t="shared" si="9"/>
        <v>255.26013377147316</v>
      </c>
      <c r="P34" s="324">
        <f t="shared" si="9"/>
        <v>252.53217217363328</v>
      </c>
      <c r="Q34" s="324">
        <f t="shared" si="9"/>
        <v>249.83336426450046</v>
      </c>
      <c r="R34" s="324">
        <f t="shared" si="9"/>
        <v>247.16339847899764</v>
      </c>
      <c r="S34" s="324">
        <f t="shared" si="9"/>
        <v>244.5219665817397</v>
      </c>
      <c r="T34" s="324">
        <f t="shared" si="9"/>
        <v>241.90876363144875</v>
      </c>
      <c r="U34" s="324">
        <f t="shared" si="9"/>
        <v>239.3234879457503</v>
      </c>
      <c r="V34" s="324">
        <f t="shared" si="9"/>
        <v>236.76584106634533</v>
      </c>
      <c r="W34" s="324">
        <f t="shared" si="9"/>
        <v>234.23552772455457</v>
      </c>
      <c r="X34" s="324">
        <f t="shared" si="9"/>
        <v>231.73225580723116</v>
      </c>
      <c r="Y34" s="324">
        <f t="shared" si="9"/>
        <v>229.2557363230375</v>
      </c>
      <c r="Z34" s="324">
        <f t="shared" si="9"/>
        <v>226.80568336908243</v>
      </c>
      <c r="AA34" s="324">
        <f t="shared" si="9"/>
        <v>224.38181409791528</v>
      </c>
      <c r="AB34" s="324">
        <f t="shared" si="9"/>
        <v>221.98384868487216</v>
      </c>
      <c r="AC34" s="324">
        <f t="shared" si="9"/>
        <v>219.61151029577152</v>
      </c>
      <c r="AD34" s="342">
        <f t="shared" si="10"/>
        <v>219.61220637491076</v>
      </c>
    </row>
    <row r="35" spans="1:32" ht="12.75">
      <c r="A35" s="51" t="s">
        <v>71</v>
      </c>
      <c r="B35" s="329">
        <f>'[1] Existing SphtSysType PNRES'!Q78</f>
        <v>0.6383351808928751</v>
      </c>
      <c r="C35" s="329"/>
      <c r="D35" s="324">
        <f t="shared" si="9"/>
        <v>127506.81404817087</v>
      </c>
      <c r="E35" s="324">
        <f t="shared" si="9"/>
        <v>126144.15045065929</v>
      </c>
      <c r="F35" s="324">
        <f t="shared" si="9"/>
        <v>124796.0496205876</v>
      </c>
      <c r="G35" s="324">
        <f t="shared" si="9"/>
        <v>123462.35592585707</v>
      </c>
      <c r="H35" s="324">
        <f t="shared" si="9"/>
        <v>122142.91539760715</v>
      </c>
      <c r="I35" s="324">
        <f t="shared" si="9"/>
        <v>120837.5757124404</v>
      </c>
      <c r="J35" s="324">
        <f t="shared" si="9"/>
        <v>119546.18617483746</v>
      </c>
      <c r="K35" s="324">
        <f t="shared" si="9"/>
        <v>118268.59769975996</v>
      </c>
      <c r="L35" s="324">
        <f t="shared" si="9"/>
        <v>117004.66279543933</v>
      </c>
      <c r="M35" s="324">
        <f t="shared" si="9"/>
        <v>115754.2355463495</v>
      </c>
      <c r="N35" s="324">
        <f t="shared" si="9"/>
        <v>114517.1715963617</v>
      </c>
      <c r="O35" s="324">
        <f t="shared" si="9"/>
        <v>113293.3281320791</v>
      </c>
      <c r="P35" s="324">
        <f t="shared" si="9"/>
        <v>112082.5638663498</v>
      </c>
      <c r="Q35" s="324">
        <f t="shared" si="9"/>
        <v>110884.73902195567</v>
      </c>
      <c r="R35" s="324">
        <f t="shared" si="9"/>
        <v>109699.7153154759</v>
      </c>
      <c r="S35" s="324">
        <f t="shared" si="9"/>
        <v>108527.3559413227</v>
      </c>
      <c r="T35" s="324">
        <f t="shared" si="9"/>
        <v>107367.52555594775</v>
      </c>
      <c r="U35" s="324">
        <f t="shared" si="9"/>
        <v>106220.0902622174</v>
      </c>
      <c r="V35" s="324">
        <f t="shared" si="9"/>
        <v>105084.91759395486</v>
      </c>
      <c r="W35" s="324">
        <f t="shared" si="9"/>
        <v>103961.87650064757</v>
      </c>
      <c r="X35" s="324">
        <f t="shared" si="9"/>
        <v>102850.83733231806</v>
      </c>
      <c r="Y35" s="324">
        <f t="shared" si="9"/>
        <v>101751.67182455635</v>
      </c>
      <c r="Z35" s="324">
        <f t="shared" si="9"/>
        <v>100664.25308371254</v>
      </c>
      <c r="AA35" s="324">
        <f t="shared" si="9"/>
        <v>99588.45557224743</v>
      </c>
      <c r="AB35" s="324">
        <f t="shared" si="9"/>
        <v>98524.15509423979</v>
      </c>
      <c r="AC35" s="341">
        <f t="shared" si="9"/>
        <v>97471.22878104853</v>
      </c>
      <c r="AD35" s="396">
        <f t="shared" si="10"/>
        <v>97471.53772518782</v>
      </c>
      <c r="AE35" s="401">
        <f>AD35/(SUM(AD$35:AD$37))</f>
        <v>0.7800037681341455</v>
      </c>
      <c r="AF35" s="394">
        <f>AE35*AE$38</f>
        <v>100047.21962576179</v>
      </c>
    </row>
    <row r="36" spans="1:32" ht="12.75">
      <c r="A36" s="51" t="s">
        <v>9</v>
      </c>
      <c r="B36" s="329">
        <f>'[1] Existing SphtSysType PNRES'!Q79</f>
        <v>0.07519197823238939</v>
      </c>
      <c r="C36" s="329"/>
      <c r="D36" s="324">
        <f t="shared" si="9"/>
        <v>15019.522459941545</v>
      </c>
      <c r="E36" s="324">
        <f t="shared" si="9"/>
        <v>14859.00902651486</v>
      </c>
      <c r="F36" s="324">
        <f t="shared" si="9"/>
        <v>14700.210997980648</v>
      </c>
      <c r="G36" s="324">
        <f t="shared" si="9"/>
        <v>14543.110041830023</v>
      </c>
      <c r="H36" s="324">
        <f t="shared" si="9"/>
        <v>14387.68802147337</v>
      </c>
      <c r="I36" s="324">
        <f t="shared" si="9"/>
        <v>14233.926994146563</v>
      </c>
      <c r="J36" s="324">
        <f t="shared" si="9"/>
        <v>14081.80920883955</v>
      </c>
      <c r="K36" s="324">
        <f t="shared" si="9"/>
        <v>13931.317104247088</v>
      </c>
      <c r="L36" s="324">
        <f t="shared" si="9"/>
        <v>13782.433306741363</v>
      </c>
      <c r="M36" s="324">
        <f t="shared" si="9"/>
        <v>13635.140628366291</v>
      </c>
      <c r="N36" s="324">
        <f t="shared" si="9"/>
        <v>13489.422064853234</v>
      </c>
      <c r="O36" s="324">
        <f t="shared" si="9"/>
        <v>13345.260793657948</v>
      </c>
      <c r="P36" s="324">
        <f t="shared" si="9"/>
        <v>13202.640172018497</v>
      </c>
      <c r="Q36" s="324">
        <f t="shared" si="9"/>
        <v>13061.543735033909</v>
      </c>
      <c r="R36" s="324">
        <f t="shared" si="9"/>
        <v>12921.955193763384</v>
      </c>
      <c r="S36" s="324">
        <f t="shared" si="9"/>
        <v>12783.858433345822</v>
      </c>
      <c r="T36" s="324">
        <f t="shared" si="9"/>
        <v>12647.237511139418</v>
      </c>
      <c r="U36" s="324">
        <f t="shared" si="9"/>
        <v>12512.076654881163</v>
      </c>
      <c r="V36" s="324">
        <f t="shared" si="9"/>
        <v>12378.36026086602</v>
      </c>
      <c r="W36" s="324">
        <f t="shared" si="9"/>
        <v>12246.072892145523</v>
      </c>
      <c r="X36" s="324">
        <f t="shared" si="9"/>
        <v>12115.199276745678</v>
      </c>
      <c r="Y36" s="324">
        <f t="shared" si="9"/>
        <v>11985.72430590386</v>
      </c>
      <c r="Z36" s="324">
        <f t="shared" si="9"/>
        <v>11857.633032324593</v>
      </c>
      <c r="AA36" s="324">
        <f t="shared" si="9"/>
        <v>11730.910668453944</v>
      </c>
      <c r="AB36" s="324">
        <f t="shared" si="9"/>
        <v>11605.542584772367</v>
      </c>
      <c r="AC36" s="341">
        <f t="shared" si="9"/>
        <v>11481.514308105796</v>
      </c>
      <c r="AD36" s="397">
        <f t="shared" si="10"/>
        <v>11481.550699834926</v>
      </c>
      <c r="AE36" s="392">
        <f>AD36/(SUM(AD$35:AD$37))</f>
        <v>0.09187967091628461</v>
      </c>
      <c r="AF36" s="395">
        <f>AE36*AE$38</f>
        <v>11784.950266706079</v>
      </c>
    </row>
    <row r="37" spans="1:32" ht="12.75">
      <c r="A37" s="51" t="s">
        <v>73</v>
      </c>
      <c r="B37" s="329">
        <f>'[1] Existing SphtSysType PNRES'!Q80</f>
        <v>0.10484732439786355</v>
      </c>
      <c r="C37" s="329"/>
      <c r="D37" s="324">
        <f t="shared" si="9"/>
        <v>20943.14820114884</v>
      </c>
      <c r="E37" s="324">
        <f t="shared" si="9"/>
        <v>20719.329059528583</v>
      </c>
      <c r="F37" s="324">
        <f t="shared" si="9"/>
        <v>20497.90187004821</v>
      </c>
      <c r="G37" s="324">
        <f t="shared" si="9"/>
        <v>20278.84106994754</v>
      </c>
      <c r="H37" s="324">
        <f t="shared" si="9"/>
        <v>20062.121369655284</v>
      </c>
      <c r="I37" s="324">
        <f t="shared" si="9"/>
        <v>19847.71774986944</v>
      </c>
      <c r="J37" s="324">
        <f t="shared" si="9"/>
        <v>19635.605458668957</v>
      </c>
      <c r="K37" s="324">
        <f t="shared" si="9"/>
        <v>19425.760008656227</v>
      </c>
      <c r="L37" s="324">
        <f t="shared" si="9"/>
        <v>19218.157174130134</v>
      </c>
      <c r="M37" s="324">
        <f t="shared" si="9"/>
        <v>19012.772988289293</v>
      </c>
      <c r="N37" s="324">
        <f t="shared" si="9"/>
        <v>18809.58374046521</v>
      </c>
      <c r="O37" s="324">
        <f t="shared" si="9"/>
        <v>18608.565973384975</v>
      </c>
      <c r="P37" s="324">
        <f t="shared" si="9"/>
        <v>18409.69648046325</v>
      </c>
      <c r="Q37" s="324">
        <f t="shared" si="9"/>
        <v>18212.952303123155</v>
      </c>
      <c r="R37" s="324">
        <f t="shared" si="9"/>
        <v>18018.310728145803</v>
      </c>
      <c r="S37" s="324">
        <f t="shared" si="9"/>
        <v>17825.749285048176</v>
      </c>
      <c r="T37" s="324">
        <f t="shared" si="9"/>
        <v>17635.245743489006</v>
      </c>
      <c r="U37" s="324">
        <f t="shared" si="9"/>
        <v>17446.778110702377</v>
      </c>
      <c r="V37" s="324">
        <f t="shared" si="9"/>
        <v>17260.324628958773</v>
      </c>
      <c r="W37" s="324">
        <f t="shared" si="9"/>
        <v>17075.86377305323</v>
      </c>
      <c r="X37" s="324">
        <f t="shared" si="9"/>
        <v>16893.37424782036</v>
      </c>
      <c r="Y37" s="324">
        <f t="shared" si="9"/>
        <v>16712.834985675923</v>
      </c>
      <c r="Z37" s="324">
        <f t="shared" si="9"/>
        <v>16534.22514418467</v>
      </c>
      <c r="AA37" s="324">
        <f t="shared" si="9"/>
        <v>16357.524103654168</v>
      </c>
      <c r="AB37" s="324">
        <f t="shared" si="9"/>
        <v>16182.711464754362</v>
      </c>
      <c r="AC37" s="341">
        <f t="shared" si="9"/>
        <v>16009.76704616256</v>
      </c>
      <c r="AD37" s="397">
        <f t="shared" si="10"/>
        <v>16009.817790610563</v>
      </c>
      <c r="AE37" s="392">
        <f>AD37/(SUM(AD$35:AD$37))</f>
        <v>0.1281165609495698</v>
      </c>
      <c r="AF37" s="395">
        <f>AE37*AE$38</f>
        <v>16432.87665350677</v>
      </c>
    </row>
    <row r="38" spans="1:32" ht="13.5" thickBot="1">
      <c r="A38" s="51" t="s">
        <v>72</v>
      </c>
      <c r="B38" s="329">
        <f>'[1] Existing SphtSysType PNRES'!Q81</f>
        <v>0.021625516476871894</v>
      </c>
      <c r="C38" s="323">
        <f>SUM(B35:B38)</f>
        <v>0.8400000000000001</v>
      </c>
      <c r="D38" s="324">
        <f t="shared" si="9"/>
        <v>4319.675290738683</v>
      </c>
      <c r="E38" s="324">
        <f t="shared" si="9"/>
        <v>4273.510979319717</v>
      </c>
      <c r="F38" s="324">
        <f t="shared" si="9"/>
        <v>4227.840025272626</v>
      </c>
      <c r="G38" s="324">
        <f t="shared" si="9"/>
        <v>4182.657156093847</v>
      </c>
      <c r="H38" s="324">
        <f t="shared" si="9"/>
        <v>4137.957155626993</v>
      </c>
      <c r="I38" s="324">
        <f t="shared" si="9"/>
        <v>4093.7348634606683</v>
      </c>
      <c r="J38" s="324">
        <f t="shared" si="9"/>
        <v>4049.9851743327254</v>
      </c>
      <c r="K38" s="324">
        <f t="shared" si="9"/>
        <v>4006.7030375408845</v>
      </c>
      <c r="L38" s="324">
        <f t="shared" si="9"/>
        <v>3963.8834563596515</v>
      </c>
      <c r="M38" s="324">
        <f t="shared" si="9"/>
        <v>3921.521487463471</v>
      </c>
      <c r="N38" s="324">
        <f t="shared" si="9"/>
        <v>3879.612240356041</v>
      </c>
      <c r="O38" s="324">
        <f t="shared" si="9"/>
        <v>3838.1508768057265</v>
      </c>
      <c r="P38" s="324">
        <f t="shared" si="9"/>
        <v>3797.1326102870103</v>
      </c>
      <c r="Q38" s="324">
        <f t="shared" si="9"/>
        <v>3756.552705427907</v>
      </c>
      <c r="R38" s="324">
        <f t="shared" si="9"/>
        <v>3716.406477463287</v>
      </c>
      <c r="S38" s="324">
        <f t="shared" si="9"/>
        <v>3676.6892916940446</v>
      </c>
      <c r="T38" s="324">
        <f t="shared" si="9"/>
        <v>3637.3965629520394</v>
      </c>
      <c r="U38" s="324">
        <f t="shared" si="9"/>
        <v>3598.5237550707607</v>
      </c>
      <c r="V38" s="324">
        <f t="shared" si="9"/>
        <v>3560.0663803616485</v>
      </c>
      <c r="W38" s="324">
        <f t="shared" si="9"/>
        <v>3522.0199990960095</v>
      </c>
      <c r="X38" s="324">
        <f t="shared" si="9"/>
        <v>3484.3802189924713</v>
      </c>
      <c r="Y38" s="324">
        <f t="shared" si="9"/>
        <v>3447.1426947099126</v>
      </c>
      <c r="Z38" s="324">
        <f t="shared" si="9"/>
        <v>3410.303127345814</v>
      </c>
      <c r="AA38" s="324">
        <f t="shared" si="9"/>
        <v>3373.85726393997</v>
      </c>
      <c r="AB38" s="324">
        <f t="shared" si="9"/>
        <v>3337.800896983502</v>
      </c>
      <c r="AC38" s="341">
        <f t="shared" si="9"/>
        <v>3302.1298639331226</v>
      </c>
      <c r="AD38" s="398">
        <f t="shared" si="10"/>
        <v>3302.1403303413276</v>
      </c>
      <c r="AE38" s="399">
        <f>SUM(AD35:AD38)</f>
        <v>128265.04654597465</v>
      </c>
      <c r="AF38" s="402"/>
    </row>
    <row r="39" spans="1:30" ht="13.5" thickBot="1">
      <c r="A39" s="51" t="s">
        <v>10</v>
      </c>
      <c r="B39" s="329">
        <f>'[1] Existing SphtSysType PNRES'!Q82</f>
        <v>0.06</v>
      </c>
      <c r="C39" s="329"/>
      <c r="D39" s="324">
        <f t="shared" si="9"/>
        <v>11984.939999999997</v>
      </c>
      <c r="E39" s="324">
        <f t="shared" si="9"/>
        <v>11856.857108287319</v>
      </c>
      <c r="F39" s="324">
        <f t="shared" si="9"/>
        <v>11730.143036706364</v>
      </c>
      <c r="G39" s="324">
        <f t="shared" si="9"/>
        <v>11604.783156694892</v>
      </c>
      <c r="H39" s="324">
        <f t="shared" si="9"/>
        <v>11480.762996025915</v>
      </c>
      <c r="I39" s="324">
        <f t="shared" si="9"/>
        <v>11358.068237136935</v>
      </c>
      <c r="J39" s="324">
        <f t="shared" si="9"/>
        <v>11236.68471547705</v>
      </c>
      <c r="K39" s="324">
        <f t="shared" si="9"/>
        <v>11116.598417871726</v>
      </c>
      <c r="L39" s="324">
        <f t="shared" si="9"/>
        <v>10997.795480905035</v>
      </c>
      <c r="M39" s="324">
        <f t="shared" si="9"/>
        <v>10880.262189319183</v>
      </c>
      <c r="N39" s="324">
        <f t="shared" si="9"/>
        <v>10763.984974431156</v>
      </c>
      <c r="O39" s="324">
        <f t="shared" si="9"/>
        <v>10648.950412566268</v>
      </c>
      <c r="P39" s="324">
        <f t="shared" si="9"/>
        <v>10535.145223508469</v>
      </c>
      <c r="Q39" s="324">
        <f t="shared" si="9"/>
        <v>10422.55626896719</v>
      </c>
      <c r="R39" s="324">
        <f t="shared" si="9"/>
        <v>10311.170551060599</v>
      </c>
      <c r="S39" s="324">
        <f t="shared" si="9"/>
        <v>10200.975210815053</v>
      </c>
      <c r="T39" s="324">
        <f t="shared" si="9"/>
        <v>10091.957526680588</v>
      </c>
      <c r="U39" s="324">
        <f t="shared" si="9"/>
        <v>9984.104913062265</v>
      </c>
      <c r="V39" s="324">
        <f t="shared" si="9"/>
        <v>9877.404918867236</v>
      </c>
      <c r="W39" s="324">
        <f t="shared" si="9"/>
        <v>9771.84522606731</v>
      </c>
      <c r="X39" s="324">
        <f t="shared" si="9"/>
        <v>9667.413648276897</v>
      </c>
      <c r="Y39" s="324">
        <f t="shared" si="9"/>
        <v>9564.098129346146</v>
      </c>
      <c r="Z39" s="324">
        <f t="shared" si="9"/>
        <v>9461.886741969116</v>
      </c>
      <c r="AA39" s="324">
        <f t="shared" si="9"/>
        <v>9360.767686306823</v>
      </c>
      <c r="AB39" s="324">
        <f t="shared" si="9"/>
        <v>9260.729288625002</v>
      </c>
      <c r="AC39" s="324">
        <f t="shared" si="9"/>
        <v>9161.75999994643</v>
      </c>
      <c r="AD39" s="343">
        <f t="shared" si="10"/>
        <v>9161.78903899819</v>
      </c>
    </row>
    <row r="40" spans="1:32" ht="12.75">
      <c r="A40" s="195"/>
      <c r="B40" s="157"/>
      <c r="C40" s="157"/>
      <c r="D40" s="324">
        <f t="shared" si="9"/>
        <v>0</v>
      </c>
      <c r="E40" s="324">
        <f t="shared" si="9"/>
        <v>0</v>
      </c>
      <c r="F40" s="324">
        <f t="shared" si="9"/>
        <v>0</v>
      </c>
      <c r="G40" s="324">
        <f t="shared" si="9"/>
        <v>0</v>
      </c>
      <c r="H40" s="324">
        <f t="shared" si="9"/>
        <v>0</v>
      </c>
      <c r="I40" s="324">
        <f t="shared" si="9"/>
        <v>0</v>
      </c>
      <c r="J40" s="324">
        <f t="shared" si="9"/>
        <v>0</v>
      </c>
      <c r="K40" s="324">
        <f t="shared" si="9"/>
        <v>0</v>
      </c>
      <c r="L40" s="324">
        <f t="shared" si="9"/>
        <v>0</v>
      </c>
      <c r="M40" s="324">
        <f t="shared" si="9"/>
        <v>0</v>
      </c>
      <c r="N40" s="324">
        <f t="shared" si="9"/>
        <v>0</v>
      </c>
      <c r="O40" s="324">
        <f t="shared" si="9"/>
        <v>0</v>
      </c>
      <c r="P40" s="324">
        <f t="shared" si="9"/>
        <v>0</v>
      </c>
      <c r="Q40" s="324">
        <f t="shared" si="9"/>
        <v>0</v>
      </c>
      <c r="R40" s="324">
        <f t="shared" si="9"/>
        <v>0</v>
      </c>
      <c r="S40" s="324">
        <f t="shared" si="9"/>
        <v>0</v>
      </c>
      <c r="T40" s="324">
        <f t="shared" si="9"/>
        <v>0</v>
      </c>
      <c r="U40" s="324">
        <f t="shared" si="9"/>
        <v>0</v>
      </c>
      <c r="V40" s="324">
        <f t="shared" si="9"/>
        <v>0</v>
      </c>
      <c r="W40" s="324">
        <f t="shared" si="9"/>
        <v>0</v>
      </c>
      <c r="X40" s="324">
        <f t="shared" si="9"/>
        <v>0</v>
      </c>
      <c r="Y40" s="324">
        <f aca="true" t="shared" si="11" ref="D40:AC41">$B40*Y$30</f>
        <v>0</v>
      </c>
      <c r="Z40" s="324">
        <f t="shared" si="11"/>
        <v>0</v>
      </c>
      <c r="AA40" s="324">
        <f t="shared" si="11"/>
        <v>0</v>
      </c>
      <c r="AB40" s="324">
        <f t="shared" si="11"/>
        <v>0</v>
      </c>
      <c r="AC40" s="324">
        <f t="shared" si="11"/>
        <v>0</v>
      </c>
      <c r="AD40" s="339">
        <f t="shared" si="10"/>
        <v>0</v>
      </c>
      <c r="AE40" s="404" t="s">
        <v>176</v>
      </c>
      <c r="AF40" s="405" t="s">
        <v>177</v>
      </c>
    </row>
    <row r="41" spans="1:32" ht="13.5" thickBot="1">
      <c r="A41" s="55" t="s">
        <v>26</v>
      </c>
      <c r="B41" s="330">
        <f>B36+'[1]PNW Existing Characteristics'!$F$19</f>
        <v>0.24952183731339672</v>
      </c>
      <c r="C41" s="330"/>
      <c r="D41" s="324">
        <f t="shared" si="11"/>
        <v>49841.737481513665</v>
      </c>
      <c r="E41" s="324">
        <f t="shared" si="11"/>
        <v>49309.07950703766</v>
      </c>
      <c r="F41" s="324">
        <f t="shared" si="11"/>
        <v>48782.11404113198</v>
      </c>
      <c r="G41" s="324">
        <f t="shared" si="11"/>
        <v>48260.78024803449</v>
      </c>
      <c r="H41" s="324">
        <f t="shared" si="11"/>
        <v>47745.01794213406</v>
      </c>
      <c r="I41" s="324">
        <f t="shared" si="11"/>
        <v>47234.76758102235</v>
      </c>
      <c r="J41" s="324">
        <f t="shared" si="11"/>
        <v>46729.970258619935</v>
      </c>
      <c r="K41" s="324">
        <f t="shared" si="11"/>
        <v>46230.567698375875</v>
      </c>
      <c r="L41" s="324">
        <f t="shared" si="11"/>
        <v>45736.50224653993</v>
      </c>
      <c r="M41" s="324">
        <f t="shared" si="11"/>
        <v>45247.716865506714</v>
      </c>
      <c r="N41" s="324">
        <f t="shared" si="11"/>
        <v>44764.15512723096</v>
      </c>
      <c r="O41" s="324">
        <f t="shared" si="11"/>
        <v>44285.761206713156</v>
      </c>
      <c r="P41" s="324">
        <f t="shared" si="11"/>
        <v>43812.47987555481</v>
      </c>
      <c r="Q41" s="324">
        <f t="shared" si="11"/>
        <v>43344.256495582566</v>
      </c>
      <c r="R41" s="324">
        <f t="shared" si="11"/>
        <v>42881.0370125405</v>
      </c>
      <c r="S41" s="324">
        <f t="shared" si="11"/>
        <v>42422.76794984978</v>
      </c>
      <c r="T41" s="324">
        <f t="shared" si="11"/>
        <v>41969.39640243505</v>
      </c>
      <c r="U41" s="324">
        <f t="shared" si="11"/>
        <v>41520.87003061679</v>
      </c>
      <c r="V41" s="324">
        <f t="shared" si="11"/>
        <v>41077.13705406892</v>
      </c>
      <c r="W41" s="324">
        <f t="shared" si="11"/>
        <v>40638.146245840995</v>
      </c>
      <c r="X41" s="324">
        <f t="shared" si="11"/>
        <v>40203.84692644432</v>
      </c>
      <c r="Y41" s="324">
        <f t="shared" si="11"/>
        <v>39774.188958001185</v>
      </c>
      <c r="Z41" s="324">
        <f t="shared" si="11"/>
        <v>39349.12273845672</v>
      </c>
      <c r="AA41" s="324">
        <f t="shared" si="11"/>
        <v>38928.599195852534</v>
      </c>
      <c r="AB41" s="324">
        <f t="shared" si="11"/>
        <v>38512.569782661594</v>
      </c>
      <c r="AC41" s="324">
        <f t="shared" si="11"/>
        <v>38100.98647018364</v>
      </c>
      <c r="AD41" s="339">
        <f t="shared" si="10"/>
        <v>38101.10723480946</v>
      </c>
      <c r="AE41" s="406">
        <f>+'[1]PNW Existing Characteristics'!$F$19</f>
        <v>0.17432985908100734</v>
      </c>
      <c r="AF41" s="400">
        <f>AF35*AE41</f>
        <v>17441.217698805645</v>
      </c>
    </row>
    <row r="45" spans="1:2" ht="12.75">
      <c r="A45" t="s">
        <v>154</v>
      </c>
      <c r="B45" s="345"/>
    </row>
    <row r="46" spans="1:4" ht="12.75">
      <c r="A46" s="346" t="s">
        <v>155</v>
      </c>
      <c r="B46" s="347">
        <v>0.5289014821831662</v>
      </c>
      <c r="D46" s="344"/>
    </row>
    <row r="47" spans="1:4" ht="12.75">
      <c r="A47" s="346" t="s">
        <v>156</v>
      </c>
      <c r="B47" s="347">
        <v>0.8661480607820908</v>
      </c>
      <c r="D47" s="344"/>
    </row>
    <row r="48" spans="1:4" ht="12.75">
      <c r="A48" s="346" t="s">
        <v>157</v>
      </c>
      <c r="B48" s="347">
        <v>0.8768</v>
      </c>
      <c r="D48" s="344"/>
    </row>
    <row r="49" ht="12.75">
      <c r="D49" s="344"/>
    </row>
    <row r="50" ht="12.75">
      <c r="D50" s="348"/>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F46"/>
  <sheetViews>
    <sheetView workbookViewId="0" topLeftCell="A1">
      <pane xSplit="2" ySplit="1" topLeftCell="AD17" activePane="bottomRight" state="frozen"/>
      <selection pane="topLeft" activeCell="A1" sqref="A1"/>
      <selection pane="topRight" activeCell="C1" sqref="C1"/>
      <selection pane="bottomLeft" activeCell="A2" sqref="A2"/>
      <selection pane="bottomRight" activeCell="AD14" sqref="AD14:AF20"/>
    </sheetView>
  </sheetViews>
  <sheetFormatPr defaultColWidth="9.140625" defaultRowHeight="12.75"/>
  <cols>
    <col min="1" max="1" width="23.8515625" style="0" customWidth="1"/>
    <col min="3" max="3" width="12.00390625" style="0" customWidth="1"/>
    <col min="4" max="4" width="12.140625" style="0" customWidth="1"/>
    <col min="7" max="7" width="12.00390625" style="0" customWidth="1"/>
    <col min="8" max="8" width="11.8515625" style="0" customWidth="1"/>
    <col min="30" max="30" width="12.57421875" style="0" customWidth="1"/>
    <col min="32" max="32" width="10.28125" style="0" bestFit="1" customWidth="1"/>
  </cols>
  <sheetData>
    <row r="1" spans="1:31" ht="13.5" thickBot="1">
      <c r="A1" s="384" t="s">
        <v>164</v>
      </c>
      <c r="B1" s="385"/>
      <c r="C1" s="385"/>
      <c r="D1" s="385"/>
      <c r="E1" s="386"/>
      <c r="H1" s="24"/>
      <c r="I1" s="24"/>
      <c r="J1" s="24"/>
      <c r="K1" s="24"/>
      <c r="L1" s="24"/>
      <c r="M1" s="24"/>
      <c r="N1" s="24"/>
      <c r="O1" s="24"/>
      <c r="P1" s="24"/>
      <c r="Q1" s="24"/>
      <c r="R1" s="24"/>
      <c r="S1" s="24"/>
      <c r="T1" s="24"/>
      <c r="U1" s="24"/>
      <c r="V1" s="24"/>
      <c r="W1" s="24"/>
      <c r="X1" s="24"/>
      <c r="Z1" s="24"/>
      <c r="AA1" s="24"/>
      <c r="AB1" s="24"/>
      <c r="AC1" s="24"/>
      <c r="AD1" s="24"/>
      <c r="AE1" s="24"/>
    </row>
    <row r="2" spans="1:10" ht="13.5" thickBot="1">
      <c r="A2" s="357">
        <v>2000</v>
      </c>
      <c r="B2" s="358" t="s">
        <v>162</v>
      </c>
      <c r="C2" s="359"/>
      <c r="D2" s="359"/>
      <c r="E2" s="359"/>
      <c r="F2" s="358" t="s">
        <v>163</v>
      </c>
      <c r="G2" s="359"/>
      <c r="H2" s="359"/>
      <c r="I2" s="359"/>
      <c r="J2" s="360"/>
    </row>
    <row r="3" spans="1:10" ht="26.25" thickBot="1">
      <c r="A3" s="361" t="s">
        <v>165</v>
      </c>
      <c r="B3" s="362" t="s">
        <v>4</v>
      </c>
      <c r="C3" s="363" t="s">
        <v>58</v>
      </c>
      <c r="D3" s="363" t="s">
        <v>11</v>
      </c>
      <c r="E3" s="364" t="s">
        <v>5</v>
      </c>
      <c r="F3" s="365" t="s">
        <v>4</v>
      </c>
      <c r="G3" s="366" t="s">
        <v>58</v>
      </c>
      <c r="H3" s="366" t="s">
        <v>11</v>
      </c>
      <c r="I3" s="366" t="s">
        <v>161</v>
      </c>
      <c r="J3" s="367" t="s">
        <v>5</v>
      </c>
    </row>
    <row r="4" spans="1:10" ht="12.75">
      <c r="A4" s="369" t="s">
        <v>167</v>
      </c>
      <c r="B4" s="368">
        <f>SUM('[2]Housing Completion Summary'!B$12:B$23)</f>
        <v>476609.48355288134</v>
      </c>
      <c r="C4" s="368">
        <f>SUM('[2]Housing Completion Summary'!C$12:C$23)</f>
        <v>207882.73940292475</v>
      </c>
      <c r="D4" s="368">
        <f>SUM('[2]Housing Completion Summary'!D$12:D$23)</f>
        <v>127859</v>
      </c>
      <c r="E4" s="368">
        <f>SUM('[2]Housing Completion Summary'!E$12:E$23)</f>
        <v>812351.2229558062</v>
      </c>
      <c r="F4" s="368">
        <f>SUM('[2]Housing Completion Summary'!F$12:F$23)</f>
        <v>257228.38564585292</v>
      </c>
      <c r="G4" s="368">
        <f>SUM('[2]Housing Completion Summary'!G$12:G$23)</f>
        <v>177068.31930887525</v>
      </c>
      <c r="H4" s="368">
        <f>SUM('[2]Housing Completion Summary'!H$12:H$23)</f>
        <v>122753.53850394764</v>
      </c>
      <c r="I4" s="368">
        <f>SUM('[2]Housing Completion Summary'!I$12:I$23)</f>
        <v>434296.7049547281</v>
      </c>
      <c r="J4" s="370">
        <f>SUM('[2]Housing Completion Summary'!J$12:J$23)</f>
        <v>557050.2434586757</v>
      </c>
    </row>
    <row r="5" spans="1:10" ht="13.5" thickBot="1">
      <c r="A5" s="371" t="s">
        <v>166</v>
      </c>
      <c r="B5" s="372">
        <f>AD9</f>
        <v>450277.1927129558</v>
      </c>
      <c r="C5" s="372">
        <f>AD22</f>
        <v>196397.20549446126</v>
      </c>
      <c r="D5" s="372">
        <f>AD35</f>
        <v>97740.45358868306</v>
      </c>
      <c r="E5" s="372">
        <f>SUM(B5:D5)</f>
        <v>744414.8517961001</v>
      </c>
      <c r="F5" s="372">
        <f>AE17</f>
        <v>148591.47359527543</v>
      </c>
      <c r="G5" s="372">
        <f>AE30</f>
        <v>145333.93206590135</v>
      </c>
      <c r="H5" s="372">
        <f>AE43</f>
        <v>82101.98101449377</v>
      </c>
      <c r="I5" s="372">
        <f>F5+G5</f>
        <v>293925.4056611768</v>
      </c>
      <c r="J5" s="373">
        <f>SUM(F5:H5)</f>
        <v>376027.3866756705</v>
      </c>
    </row>
    <row r="7" spans="1:31" ht="13.5" thickBot="1">
      <c r="A7" s="24"/>
      <c r="B7" s="24"/>
      <c r="C7" s="24"/>
      <c r="D7" s="24" t="s">
        <v>43</v>
      </c>
      <c r="E7" s="24"/>
      <c r="F7" s="24"/>
      <c r="G7" s="24"/>
      <c r="H7" s="24"/>
      <c r="I7" s="24"/>
      <c r="J7" s="24"/>
      <c r="K7" s="24"/>
      <c r="L7" s="24"/>
      <c r="M7" s="24"/>
      <c r="N7" s="24"/>
      <c r="O7" s="24"/>
      <c r="P7" s="24"/>
      <c r="Q7" s="24"/>
      <c r="R7" s="24"/>
      <c r="S7" s="24"/>
      <c r="T7" s="24"/>
      <c r="U7" s="24"/>
      <c r="V7" s="24"/>
      <c r="W7" s="24"/>
      <c r="X7" s="24"/>
      <c r="Z7" s="24"/>
      <c r="AA7" s="24"/>
      <c r="AB7" s="24"/>
      <c r="AC7" s="24"/>
      <c r="AD7" s="24"/>
      <c r="AE7" s="24"/>
    </row>
    <row r="8" spans="1:31" ht="39" thickBot="1">
      <c r="A8" s="132" t="s">
        <v>27</v>
      </c>
      <c r="B8" s="125" t="s">
        <v>12</v>
      </c>
      <c r="C8" s="255" t="s">
        <v>60</v>
      </c>
      <c r="D8" s="125">
        <v>2000</v>
      </c>
      <c r="E8" s="125">
        <v>2001</v>
      </c>
      <c r="F8" s="125">
        <v>2002</v>
      </c>
      <c r="G8" s="125">
        <v>2003</v>
      </c>
      <c r="H8" s="125">
        <v>2004</v>
      </c>
      <c r="I8" s="125">
        <v>2005</v>
      </c>
      <c r="J8" s="125">
        <v>2006</v>
      </c>
      <c r="K8" s="125">
        <v>2007</v>
      </c>
      <c r="L8" s="125">
        <v>2008</v>
      </c>
      <c r="M8" s="125">
        <v>2009</v>
      </c>
      <c r="N8" s="125">
        <v>2010</v>
      </c>
      <c r="O8" s="125">
        <v>2011</v>
      </c>
      <c r="P8" s="125">
        <v>2012</v>
      </c>
      <c r="Q8" s="125">
        <v>2013</v>
      </c>
      <c r="R8" s="125">
        <v>2014</v>
      </c>
      <c r="S8" s="125">
        <v>2015</v>
      </c>
      <c r="T8" s="125">
        <v>2016</v>
      </c>
      <c r="U8" s="125">
        <v>2017</v>
      </c>
      <c r="V8" s="125">
        <v>2018</v>
      </c>
      <c r="W8" s="125">
        <v>2019</v>
      </c>
      <c r="X8" s="125">
        <v>2020</v>
      </c>
      <c r="Y8" s="125">
        <v>2021</v>
      </c>
      <c r="Z8" s="125">
        <v>2022</v>
      </c>
      <c r="AA8" s="125">
        <v>2023</v>
      </c>
      <c r="AB8" s="125">
        <v>2024</v>
      </c>
      <c r="AC8" s="125">
        <v>2025</v>
      </c>
      <c r="AD8" s="126" t="s">
        <v>75</v>
      </c>
      <c r="AE8" s="25"/>
    </row>
    <row r="9" spans="1:31" ht="12.75">
      <c r="A9" s="192" t="s">
        <v>0</v>
      </c>
      <c r="B9" s="110"/>
      <c r="C9" s="312">
        <v>-0.002270781301799791</v>
      </c>
      <c r="D9" s="337">
        <f>B4</f>
        <v>476609.48355288134</v>
      </c>
      <c r="E9" s="337">
        <f>D9*(1+$C9)</f>
        <v>475527.20764936897</v>
      </c>
      <c r="F9" s="337">
        <f aca="true" t="shared" si="0" ref="F9:AC9">E9*(1+$C9)</f>
        <v>474447.3893577417</v>
      </c>
      <c r="G9" s="337">
        <f t="shared" si="0"/>
        <v>473370.0230973004</v>
      </c>
      <c r="H9" s="337">
        <f t="shared" si="0"/>
        <v>472295.10330001847</v>
      </c>
      <c r="I9" s="337">
        <f t="shared" si="0"/>
        <v>471222.6244105132</v>
      </c>
      <c r="J9" s="337">
        <f t="shared" si="0"/>
        <v>470152.5808860168</v>
      </c>
      <c r="K9" s="337">
        <f t="shared" si="0"/>
        <v>469084.9671963479</v>
      </c>
      <c r="L9" s="337">
        <f t="shared" si="0"/>
        <v>468019.77782388305</v>
      </c>
      <c r="M9" s="337">
        <f t="shared" si="0"/>
        <v>466957.00726352807</v>
      </c>
      <c r="N9" s="337">
        <f t="shared" si="0"/>
        <v>465896.65002268966</v>
      </c>
      <c r="O9" s="337">
        <f t="shared" si="0"/>
        <v>464838.70062124694</v>
      </c>
      <c r="P9" s="337">
        <f t="shared" si="0"/>
        <v>463783.1535915233</v>
      </c>
      <c r="Q9" s="337">
        <f t="shared" si="0"/>
        <v>462730.0034782579</v>
      </c>
      <c r="R9" s="337">
        <f t="shared" si="0"/>
        <v>461679.24483857775</v>
      </c>
      <c r="S9" s="337">
        <f t="shared" si="0"/>
        <v>460630.8722419693</v>
      </c>
      <c r="T9" s="337">
        <f t="shared" si="0"/>
        <v>459584.8802702505</v>
      </c>
      <c r="U9" s="337">
        <f t="shared" si="0"/>
        <v>458541.2635175429</v>
      </c>
      <c r="V9" s="337">
        <f t="shared" si="0"/>
        <v>457500.0165902436</v>
      </c>
      <c r="W9" s="337">
        <f t="shared" si="0"/>
        <v>456461.1341069974</v>
      </c>
      <c r="X9" s="337">
        <f t="shared" si="0"/>
        <v>455424.61069866887</v>
      </c>
      <c r="Y9" s="337">
        <f t="shared" si="0"/>
        <v>454390.4410083149</v>
      </c>
      <c r="Z9" s="337">
        <f t="shared" si="0"/>
        <v>453358.61969115667</v>
      </c>
      <c r="AA9" s="337">
        <f t="shared" si="0"/>
        <v>452329.1414145522</v>
      </c>
      <c r="AB9" s="337">
        <f t="shared" si="0"/>
        <v>451302.00085796893</v>
      </c>
      <c r="AC9" s="337">
        <f t="shared" si="0"/>
        <v>450277.1927129558</v>
      </c>
      <c r="AD9" s="338">
        <f>AC9</f>
        <v>450277.1927129558</v>
      </c>
      <c r="AE9" s="24"/>
    </row>
    <row r="10" spans="1:31" ht="12.75">
      <c r="A10" s="51" t="s">
        <v>67</v>
      </c>
      <c r="B10" s="27">
        <f>'Existing Space Heating Units'!B5</f>
        <v>0.46950319222749537</v>
      </c>
      <c r="C10" s="323">
        <f>'Existing Space Heating Units'!C5</f>
        <v>0</v>
      </c>
      <c r="D10" s="324">
        <f aca="true" t="shared" si="1" ref="D10:D20">$B10*D$9</f>
        <v>223769.67397397573</v>
      </c>
      <c r="E10" s="324">
        <f aca="true" t="shared" si="2" ref="E10:AC20">$B10*E$9</f>
        <v>223261.5419824058</v>
      </c>
      <c r="F10" s="324">
        <f t="shared" si="2"/>
        <v>222754.56384746113</v>
      </c>
      <c r="G10" s="324">
        <f t="shared" si="2"/>
        <v>222248.73694898575</v>
      </c>
      <c r="H10" s="324">
        <f t="shared" si="2"/>
        <v>221744.05867277336</v>
      </c>
      <c r="I10" s="324">
        <f t="shared" si="2"/>
        <v>221240.52641055404</v>
      </c>
      <c r="J10" s="324">
        <f t="shared" si="2"/>
        <v>220738.1375599806</v>
      </c>
      <c r="K10" s="324">
        <f t="shared" si="2"/>
        <v>220236.88952461528</v>
      </c>
      <c r="L10" s="324">
        <f t="shared" si="2"/>
        <v>219736.77971391624</v>
      </c>
      <c r="M10" s="324">
        <f t="shared" si="2"/>
        <v>219237.80554322418</v>
      </c>
      <c r="N10" s="324">
        <f t="shared" si="2"/>
        <v>218739.964433749</v>
      </c>
      <c r="O10" s="324">
        <f t="shared" si="2"/>
        <v>218243.25381255648</v>
      </c>
      <c r="P10" s="324">
        <f t="shared" si="2"/>
        <v>217747.67111255496</v>
      </c>
      <c r="Q10" s="324">
        <f t="shared" si="2"/>
        <v>217253.21377248212</v>
      </c>
      <c r="R10" s="324">
        <f t="shared" si="2"/>
        <v>216759.87923689166</v>
      </c>
      <c r="S10" s="324">
        <f t="shared" si="2"/>
        <v>216267.66495614016</v>
      </c>
      <c r="T10" s="324">
        <f t="shared" si="2"/>
        <v>215776.56838637387</v>
      </c>
      <c r="U10" s="324">
        <f t="shared" si="2"/>
        <v>215286.58698951555</v>
      </c>
      <c r="V10" s="324">
        <f t="shared" si="2"/>
        <v>214797.71823325148</v>
      </c>
      <c r="W10" s="324">
        <f t="shared" si="2"/>
        <v>214309.95959101815</v>
      </c>
      <c r="X10" s="324">
        <f t="shared" si="2"/>
        <v>213823.30854198936</v>
      </c>
      <c r="Y10" s="324">
        <f t="shared" si="2"/>
        <v>213337.76257106327</v>
      </c>
      <c r="Z10" s="324">
        <f t="shared" si="2"/>
        <v>212853.3191688491</v>
      </c>
      <c r="AA10" s="324">
        <f t="shared" si="2"/>
        <v>212369.97583165445</v>
      </c>
      <c r="AB10" s="324">
        <f t="shared" si="2"/>
        <v>211887.73006147228</v>
      </c>
      <c r="AC10" s="324">
        <f t="shared" si="2"/>
        <v>211406.57936596786</v>
      </c>
      <c r="AD10" s="339">
        <f aca="true" t="shared" si="3" ref="AD10:AD19">$B10*AD$9</f>
        <v>211406.57936596786</v>
      </c>
      <c r="AE10" s="24"/>
    </row>
    <row r="11" spans="1:31" ht="12.75">
      <c r="A11" s="51" t="s">
        <v>68</v>
      </c>
      <c r="B11" s="27">
        <f>'Existing Space Heating Units'!B6</f>
        <v>0.0704968077725047</v>
      </c>
      <c r="C11" s="323">
        <f>'Existing Space Heating Units'!C6</f>
        <v>0</v>
      </c>
      <c r="D11" s="324">
        <f t="shared" si="1"/>
        <v>33599.44714458021</v>
      </c>
      <c r="E11" s="324">
        <f aca="true" t="shared" si="4" ref="E11:S11">$B11*E$9</f>
        <v>33523.15014825349</v>
      </c>
      <c r="F11" s="324">
        <f t="shared" si="4"/>
        <v>33447.02640571941</v>
      </c>
      <c r="G11" s="324">
        <f t="shared" si="4"/>
        <v>33371.075523556494</v>
      </c>
      <c r="H11" s="324">
        <f t="shared" si="4"/>
        <v>33295.29710923665</v>
      </c>
      <c r="I11" s="324">
        <f t="shared" si="4"/>
        <v>33219.690771123125</v>
      </c>
      <c r="J11" s="324">
        <f t="shared" si="4"/>
        <v>33144.25611846849</v>
      </c>
      <c r="K11" s="324">
        <f t="shared" si="4"/>
        <v>33068.992761412606</v>
      </c>
      <c r="L11" s="324">
        <f t="shared" si="4"/>
        <v>32993.900310980636</v>
      </c>
      <c r="M11" s="324">
        <f t="shared" si="4"/>
        <v>32918.97837908102</v>
      </c>
      <c r="N11" s="324">
        <f t="shared" si="4"/>
        <v>32844.22657850345</v>
      </c>
      <c r="O11" s="324">
        <f t="shared" si="4"/>
        <v>32769.644522916904</v>
      </c>
      <c r="P11" s="324">
        <f t="shared" si="4"/>
        <v>32695.23182686764</v>
      </c>
      <c r="Q11" s="324">
        <f t="shared" si="4"/>
        <v>32620.988105777178</v>
      </c>
      <c r="R11" s="324">
        <f t="shared" si="4"/>
        <v>32546.912975940344</v>
      </c>
      <c r="S11" s="324">
        <f t="shared" si="4"/>
        <v>32473.006054523277</v>
      </c>
      <c r="T11" s="324">
        <f t="shared" si="2"/>
        <v>32399.266959561435</v>
      </c>
      <c r="U11" s="324">
        <f t="shared" si="2"/>
        <v>32325.695309957642</v>
      </c>
      <c r="V11" s="324">
        <f t="shared" si="2"/>
        <v>32252.290725480114</v>
      </c>
      <c r="W11" s="324">
        <f t="shared" si="2"/>
        <v>32179.052826760482</v>
      </c>
      <c r="X11" s="324">
        <f t="shared" si="2"/>
        <v>32105.981235291845</v>
      </c>
      <c r="Y11" s="324">
        <f t="shared" si="2"/>
        <v>32033.07557342681</v>
      </c>
      <c r="Z11" s="324">
        <f t="shared" si="2"/>
        <v>31960.335464375534</v>
      </c>
      <c r="AA11" s="324">
        <f t="shared" si="2"/>
        <v>31887.76053220378</v>
      </c>
      <c r="AB11" s="324">
        <f t="shared" si="2"/>
        <v>31815.350401830983</v>
      </c>
      <c r="AC11" s="324">
        <f t="shared" si="2"/>
        <v>31743.104699028296</v>
      </c>
      <c r="AD11" s="339">
        <f t="shared" si="3"/>
        <v>31743.104699028296</v>
      </c>
      <c r="AE11" s="24"/>
    </row>
    <row r="12" spans="1:31" ht="12.75">
      <c r="A12" s="51" t="s">
        <v>69</v>
      </c>
      <c r="B12" s="27">
        <f>'Existing Space Heating Units'!B7</f>
        <v>0.060861524918379026</v>
      </c>
      <c r="C12" s="323">
        <f>'Existing Space Heating Units'!C7</f>
        <v>0</v>
      </c>
      <c r="D12" s="324">
        <f t="shared" si="1"/>
        <v>29007.179959589444</v>
      </c>
      <c r="E12" s="324">
        <f t="shared" si="2"/>
        <v>28941.310997719265</v>
      </c>
      <c r="F12" s="324">
        <f t="shared" si="2"/>
        <v>28875.59160985607</v>
      </c>
      <c r="G12" s="324">
        <f t="shared" si="2"/>
        <v>28810.02145635</v>
      </c>
      <c r="H12" s="324">
        <f t="shared" si="2"/>
        <v>28744.60019832247</v>
      </c>
      <c r="I12" s="324">
        <f t="shared" si="2"/>
        <v>28679.32749766441</v>
      </c>
      <c r="J12" s="324">
        <f t="shared" si="2"/>
        <v>28614.20301703452</v>
      </c>
      <c r="K12" s="324">
        <f t="shared" si="2"/>
        <v>28549.226419857536</v>
      </c>
      <c r="L12" s="324">
        <f t="shared" si="2"/>
        <v>28484.397370322473</v>
      </c>
      <c r="M12" s="324">
        <f t="shared" si="2"/>
        <v>28419.71553338091</v>
      </c>
      <c r="N12" s="324">
        <f t="shared" si="2"/>
        <v>28355.180574745238</v>
      </c>
      <c r="O12" s="324">
        <f t="shared" si="2"/>
        <v>28290.792160886947</v>
      </c>
      <c r="P12" s="324">
        <f t="shared" si="2"/>
        <v>28226.549959034903</v>
      </c>
      <c r="Q12" s="324">
        <f t="shared" si="2"/>
        <v>28162.453637173607</v>
      </c>
      <c r="R12" s="324">
        <f t="shared" si="2"/>
        <v>28098.50286404151</v>
      </c>
      <c r="S12" s="324">
        <f t="shared" si="2"/>
        <v>28034.69730912928</v>
      </c>
      <c r="T12" s="324">
        <f t="shared" si="2"/>
        <v>27971.036642678093</v>
      </c>
      <c r="U12" s="324">
        <f t="shared" si="2"/>
        <v>27907.52053567794</v>
      </c>
      <c r="V12" s="324">
        <f t="shared" si="2"/>
        <v>27844.14865986593</v>
      </c>
      <c r="W12" s="324">
        <f t="shared" si="2"/>
        <v>27780.920687724574</v>
      </c>
      <c r="X12" s="324">
        <f t="shared" si="2"/>
        <v>27717.836292480104</v>
      </c>
      <c r="Y12" s="324">
        <f t="shared" si="2"/>
        <v>27654.895148100793</v>
      </c>
      <c r="Z12" s="324">
        <f t="shared" si="2"/>
        <v>27592.09692929525</v>
      </c>
      <c r="AA12" s="324">
        <f t="shared" si="2"/>
        <v>27529.44131151076</v>
      </c>
      <c r="AB12" s="324">
        <f t="shared" si="2"/>
        <v>27466.92797093159</v>
      </c>
      <c r="AC12" s="324">
        <f t="shared" si="2"/>
        <v>27404.556584477315</v>
      </c>
      <c r="AD12" s="339">
        <f t="shared" si="3"/>
        <v>27404.556584477315</v>
      </c>
      <c r="AE12" s="24"/>
    </row>
    <row r="13" spans="1:31" ht="13.5" thickBot="1">
      <c r="A13" s="51" t="s">
        <v>70</v>
      </c>
      <c r="B13" s="27">
        <f>'Existing Space Heating Units'!B8</f>
        <v>0.00913847508162098</v>
      </c>
      <c r="C13" s="323">
        <f>'Existing Space Heating Units'!C8</f>
        <v>0</v>
      </c>
      <c r="D13" s="324">
        <f t="shared" si="1"/>
        <v>4355.48388911225</v>
      </c>
      <c r="E13" s="324">
        <f t="shared" si="2"/>
        <v>4345.593537736563</v>
      </c>
      <c r="F13" s="324">
        <f t="shared" si="2"/>
        <v>4335.725645185849</v>
      </c>
      <c r="G13" s="324">
        <f t="shared" si="2"/>
        <v>4325.880160461027</v>
      </c>
      <c r="H13" s="324">
        <f t="shared" si="2"/>
        <v>4316.057032678825</v>
      </c>
      <c r="I13" s="324">
        <f t="shared" si="2"/>
        <v>4306.256211071517</v>
      </c>
      <c r="J13" s="324">
        <f t="shared" si="2"/>
        <v>4296.477644986656</v>
      </c>
      <c r="K13" s="324">
        <f t="shared" si="2"/>
        <v>4286.72128388682</v>
      </c>
      <c r="L13" s="324">
        <f t="shared" si="2"/>
        <v>4276.987077349342</v>
      </c>
      <c r="M13" s="324">
        <f t="shared" si="2"/>
        <v>4267.274975066058</v>
      </c>
      <c r="N13" s="324">
        <f t="shared" si="2"/>
        <v>4257.584926843039</v>
      </c>
      <c r="O13" s="324">
        <f t="shared" si="2"/>
        <v>4247.91688260034</v>
      </c>
      <c r="P13" s="324">
        <f t="shared" si="2"/>
        <v>4238.270792371731</v>
      </c>
      <c r="Q13" s="324">
        <f t="shared" si="2"/>
        <v>4228.646606304449</v>
      </c>
      <c r="R13" s="324">
        <f t="shared" si="2"/>
        <v>4219.044274658934</v>
      </c>
      <c r="S13" s="324">
        <f t="shared" si="2"/>
        <v>4209.463747808573</v>
      </c>
      <c r="T13" s="324">
        <f t="shared" si="2"/>
        <v>4199.904976239445</v>
      </c>
      <c r="U13" s="324">
        <f t="shared" si="2"/>
        <v>4190.367910550065</v>
      </c>
      <c r="V13" s="324">
        <f t="shared" si="2"/>
        <v>4180.852501451126</v>
      </c>
      <c r="W13" s="324">
        <f t="shared" si="2"/>
        <v>4171.358699765247</v>
      </c>
      <c r="X13" s="324">
        <f t="shared" si="2"/>
        <v>4161.8864564267205</v>
      </c>
      <c r="Y13" s="324">
        <f t="shared" si="2"/>
        <v>4152.435722481253</v>
      </c>
      <c r="Z13" s="324">
        <f t="shared" si="2"/>
        <v>4143.006449085718</v>
      </c>
      <c r="AA13" s="324">
        <f t="shared" si="2"/>
        <v>4133.598587507898</v>
      </c>
      <c r="AB13" s="324">
        <f t="shared" si="2"/>
        <v>4124.212089126238</v>
      </c>
      <c r="AC13" s="324">
        <f t="shared" si="2"/>
        <v>4114.846905429595</v>
      </c>
      <c r="AD13" s="342">
        <f t="shared" si="3"/>
        <v>4114.846905429595</v>
      </c>
      <c r="AE13" s="24"/>
    </row>
    <row r="14" spans="1:32" ht="12.75">
      <c r="A14" s="51" t="s">
        <v>71</v>
      </c>
      <c r="B14" s="27">
        <f>'Existing Space Heating Units'!B9</f>
        <v>0.08723237480448418</v>
      </c>
      <c r="C14" s="323">
        <f>'Existing Space Heating Units'!C9</f>
        <v>0.2722258675881002</v>
      </c>
      <c r="D14" s="324">
        <f t="shared" si="1"/>
        <v>41575.77710465658</v>
      </c>
      <c r="E14" s="324">
        <f t="shared" si="2"/>
        <v>41481.36760739953</v>
      </c>
      <c r="F14" s="324">
        <f t="shared" si="2"/>
        <v>41387.17249346356</v>
      </c>
      <c r="G14" s="324">
        <f t="shared" si="2"/>
        <v>41293.19127603104</v>
      </c>
      <c r="H14" s="324">
        <f t="shared" si="2"/>
        <v>41199.42346938978</v>
      </c>
      <c r="I14" s="324">
        <f t="shared" si="2"/>
        <v>41105.86858893056</v>
      </c>
      <c r="J14" s="324">
        <f t="shared" si="2"/>
        <v>41012.52615114458</v>
      </c>
      <c r="K14" s="324">
        <f t="shared" si="2"/>
        <v>40919.39567362098</v>
      </c>
      <c r="L14" s="324">
        <f t="shared" si="2"/>
        <v>40826.476675044374</v>
      </c>
      <c r="M14" s="324">
        <f t="shared" si="2"/>
        <v>40733.76867519232</v>
      </c>
      <c r="N14" s="324">
        <f t="shared" si="2"/>
        <v>40641.27119493286</v>
      </c>
      <c r="O14" s="324">
        <f t="shared" si="2"/>
        <v>40548.98375622203</v>
      </c>
      <c r="P14" s="324">
        <f t="shared" si="2"/>
        <v>40456.90588210141</v>
      </c>
      <c r="Q14" s="324">
        <f t="shared" si="2"/>
        <v>40365.03709669566</v>
      </c>
      <c r="R14" s="324">
        <f t="shared" si="2"/>
        <v>40273.37692521003</v>
      </c>
      <c r="S14" s="324">
        <f t="shared" si="2"/>
        <v>40181.92489392793</v>
      </c>
      <c r="T14" s="324">
        <f t="shared" si="2"/>
        <v>40090.680530208476</v>
      </c>
      <c r="U14" s="324">
        <f t="shared" si="2"/>
        <v>39999.64336248405</v>
      </c>
      <c r="V14" s="324">
        <f t="shared" si="2"/>
        <v>39908.81292025786</v>
      </c>
      <c r="W14" s="324">
        <f t="shared" si="2"/>
        <v>39818.18873410151</v>
      </c>
      <c r="X14" s="324">
        <f t="shared" si="2"/>
        <v>39727.770335652574</v>
      </c>
      <c r="Y14" s="324">
        <f t="shared" si="2"/>
        <v>39637.557257612185</v>
      </c>
      <c r="Z14" s="324">
        <f t="shared" si="2"/>
        <v>39547.54903374258</v>
      </c>
      <c r="AA14" s="324">
        <f t="shared" si="2"/>
        <v>39457.745198864744</v>
      </c>
      <c r="AB14" s="324">
        <f t="shared" si="2"/>
        <v>39368.14528885599</v>
      </c>
      <c r="AC14" s="341">
        <f t="shared" si="2"/>
        <v>39278.74884064751</v>
      </c>
      <c r="AD14" s="396">
        <f t="shared" si="3"/>
        <v>39278.74884064751</v>
      </c>
      <c r="AE14" s="393">
        <f>AD14/(SUM(AD$14:AD$17))</f>
        <v>0.26434052971055805</v>
      </c>
      <c r="AF14" s="394">
        <f>AE14*AE$17</f>
        <v>39278.7488406475</v>
      </c>
    </row>
    <row r="15" spans="1:32" ht="12.75">
      <c r="A15" s="51" t="s">
        <v>9</v>
      </c>
      <c r="B15" s="27">
        <f>'Existing Space Heating Units'!B10</f>
        <v>0.051781901119998336</v>
      </c>
      <c r="C15" s="323">
        <f>'Existing Space Heating Units'!C10</f>
        <v>0.16159565745340845</v>
      </c>
      <c r="D15" s="324">
        <f t="shared" si="1"/>
        <v>24679.745150188774</v>
      </c>
      <c r="E15" s="324">
        <f t="shared" si="2"/>
        <v>24623.702846368542</v>
      </c>
      <c r="F15" s="324">
        <f t="shared" si="2"/>
        <v>24567.78780236393</v>
      </c>
      <c r="G15" s="324">
        <f t="shared" si="2"/>
        <v>24511.999729195737</v>
      </c>
      <c r="H15" s="324">
        <f t="shared" si="2"/>
        <v>24456.338338540954</v>
      </c>
      <c r="I15" s="324">
        <f t="shared" si="2"/>
        <v>24400.80334273131</v>
      </c>
      <c r="J15" s="324">
        <f t="shared" si="2"/>
        <v>24345.39445475174</v>
      </c>
      <c r="K15" s="324">
        <f t="shared" si="2"/>
        <v>24290.11138823895</v>
      </c>
      <c r="L15" s="324">
        <f t="shared" si="2"/>
        <v>24234.9538574799</v>
      </c>
      <c r="M15" s="324">
        <f t="shared" si="2"/>
        <v>24179.921577410354</v>
      </c>
      <c r="N15" s="324">
        <f t="shared" si="2"/>
        <v>24125.014263613386</v>
      </c>
      <c r="O15" s="324">
        <f t="shared" si="2"/>
        <v>24070.23163231792</v>
      </c>
      <c r="P15" s="324">
        <f t="shared" si="2"/>
        <v>24015.57340039726</v>
      </c>
      <c r="Q15" s="324">
        <f t="shared" si="2"/>
        <v>23961.03928536764</v>
      </c>
      <c r="R15" s="324">
        <f t="shared" si="2"/>
        <v>23906.629005386734</v>
      </c>
      <c r="S15" s="324">
        <f t="shared" si="2"/>
        <v>23852.34227925224</v>
      </c>
      <c r="T15" s="324">
        <f t="shared" si="2"/>
        <v>23798.178826400384</v>
      </c>
      <c r="U15" s="324">
        <f t="shared" si="2"/>
        <v>23744.138366904506</v>
      </c>
      <c r="V15" s="324">
        <f t="shared" si="2"/>
        <v>23690.220621473592</v>
      </c>
      <c r="W15" s="324">
        <f t="shared" si="2"/>
        <v>23636.42531145084</v>
      </c>
      <c r="X15" s="324">
        <f t="shared" si="2"/>
        <v>23582.752158812207</v>
      </c>
      <c r="Y15" s="324">
        <f t="shared" si="2"/>
        <v>23529.200886165</v>
      </c>
      <c r="Z15" s="324">
        <f t="shared" si="2"/>
        <v>23475.771216746405</v>
      </c>
      <c r="AA15" s="324">
        <f t="shared" si="2"/>
        <v>23422.462874422086</v>
      </c>
      <c r="AB15" s="324">
        <f t="shared" si="2"/>
        <v>23369.27558368475</v>
      </c>
      <c r="AC15" s="341">
        <f t="shared" si="2"/>
        <v>23316.209069652712</v>
      </c>
      <c r="AD15" s="397">
        <f t="shared" si="3"/>
        <v>23316.209069652712</v>
      </c>
      <c r="AE15" s="391">
        <f>AD15/(SUM(AD$14:AD$17))</f>
        <v>0.15691485187878282</v>
      </c>
      <c r="AF15" s="395">
        <f>AE15*AE$17</f>
        <v>23316.209069652712</v>
      </c>
    </row>
    <row r="16" spans="1:32" ht="12.75">
      <c r="A16" s="51" t="s">
        <v>73</v>
      </c>
      <c r="B16" s="27">
        <f>'Existing Space Heating Units'!B11</f>
        <v>0.1814268914684481</v>
      </c>
      <c r="C16" s="323">
        <f>'Existing Space Heating Units'!C11</f>
        <v>0.5661784749584914</v>
      </c>
      <c r="D16" s="324">
        <f t="shared" si="1"/>
        <v>86469.7770453817</v>
      </c>
      <c r="E16" s="324">
        <f t="shared" si="2"/>
        <v>86273.42309249625</v>
      </c>
      <c r="F16" s="324">
        <f t="shared" si="2"/>
        <v>86077.51501649554</v>
      </c>
      <c r="G16" s="324">
        <f t="shared" si="2"/>
        <v>85882.05180489068</v>
      </c>
      <c r="H16" s="324">
        <f t="shared" si="2"/>
        <v>85687.03244749193</v>
      </c>
      <c r="I16" s="324">
        <f t="shared" si="2"/>
        <v>85492.45593640346</v>
      </c>
      <c r="J16" s="324">
        <f t="shared" si="2"/>
        <v>85298.32126601813</v>
      </c>
      <c r="K16" s="324">
        <f t="shared" si="2"/>
        <v>85104.62743301234</v>
      </c>
      <c r="L16" s="324">
        <f t="shared" si="2"/>
        <v>84911.37343634081</v>
      </c>
      <c r="M16" s="324">
        <f t="shared" si="2"/>
        <v>84718.55827723144</v>
      </c>
      <c r="N16" s="324">
        <f t="shared" si="2"/>
        <v>84526.18095918006</v>
      </c>
      <c r="O16" s="324">
        <f t="shared" si="2"/>
        <v>84334.2404879454</v>
      </c>
      <c r="P16" s="324">
        <f t="shared" si="2"/>
        <v>84142.73587154389</v>
      </c>
      <c r="Q16" s="324">
        <f t="shared" si="2"/>
        <v>83951.66612024451</v>
      </c>
      <c r="R16" s="324">
        <f t="shared" si="2"/>
        <v>83761.03024656372</v>
      </c>
      <c r="S16" s="324">
        <f t="shared" si="2"/>
        <v>83570.82726526033</v>
      </c>
      <c r="T16" s="324">
        <f t="shared" si="2"/>
        <v>83381.05619333044</v>
      </c>
      <c r="U16" s="324">
        <f t="shared" si="2"/>
        <v>83191.71605000232</v>
      </c>
      <c r="V16" s="324">
        <f t="shared" si="2"/>
        <v>83002.80585673133</v>
      </c>
      <c r="W16" s="324">
        <f t="shared" si="2"/>
        <v>82814.32463719495</v>
      </c>
      <c r="X16" s="324">
        <f t="shared" si="2"/>
        <v>82626.27141728761</v>
      </c>
      <c r="Y16" s="324">
        <f t="shared" si="2"/>
        <v>82438.64522511582</v>
      </c>
      <c r="Z16" s="324">
        <f t="shared" si="2"/>
        <v>82251.44509099291</v>
      </c>
      <c r="AA16" s="324">
        <f t="shared" si="2"/>
        <v>82064.67004743428</v>
      </c>
      <c r="AB16" s="324">
        <f t="shared" si="2"/>
        <v>81878.3191291522</v>
      </c>
      <c r="AC16" s="341">
        <f t="shared" si="2"/>
        <v>81692.39137305092</v>
      </c>
      <c r="AD16" s="397">
        <f t="shared" si="3"/>
        <v>81692.39137305092</v>
      </c>
      <c r="AE16" s="391">
        <f>AD16/(SUM(AD$14:AD$17))</f>
        <v>0.5497784589952972</v>
      </c>
      <c r="AF16" s="395">
        <f>AE16*AE$17</f>
        <v>81692.39137305092</v>
      </c>
    </row>
    <row r="17" spans="1:32" ht="13.5" thickBot="1">
      <c r="A17" s="51" t="s">
        <v>72</v>
      </c>
      <c r="B17" s="27">
        <f>'Existing Space Heating Units'!B12</f>
        <v>0.00955883260706941</v>
      </c>
      <c r="C17" s="323">
        <f>'Existing Space Heating Units'!C12</f>
        <v>0</v>
      </c>
      <c r="D17" s="324">
        <f t="shared" si="1"/>
        <v>4555.830272223794</v>
      </c>
      <c r="E17" s="324">
        <f t="shared" si="2"/>
        <v>4545.484978027454</v>
      </c>
      <c r="F17" s="324">
        <f t="shared" si="2"/>
        <v>4535.163175731737</v>
      </c>
      <c r="G17" s="324">
        <f t="shared" si="2"/>
        <v>4524.864811991674</v>
      </c>
      <c r="H17" s="324">
        <f t="shared" si="2"/>
        <v>4514.589833583432</v>
      </c>
      <c r="I17" s="324">
        <f t="shared" si="2"/>
        <v>4504.338187404035</v>
      </c>
      <c r="J17" s="324">
        <f t="shared" si="2"/>
        <v>4494.109820471095</v>
      </c>
      <c r="K17" s="324">
        <f t="shared" si="2"/>
        <v>4483.904679922535</v>
      </c>
      <c r="L17" s="324">
        <f t="shared" si="2"/>
        <v>4473.722713016314</v>
      </c>
      <c r="M17" s="324">
        <f t="shared" si="2"/>
        <v>4463.563867130159</v>
      </c>
      <c r="N17" s="324">
        <f t="shared" si="2"/>
        <v>4453.428089761291</v>
      </c>
      <c r="O17" s="324">
        <f t="shared" si="2"/>
        <v>4443.315328526151</v>
      </c>
      <c r="P17" s="324">
        <f t="shared" si="2"/>
        <v>4433.225531160133</v>
      </c>
      <c r="Q17" s="324">
        <f t="shared" si="2"/>
        <v>4423.158645517314</v>
      </c>
      <c r="R17" s="324">
        <f t="shared" si="2"/>
        <v>4413.114619570179</v>
      </c>
      <c r="S17" s="324">
        <f t="shared" si="2"/>
        <v>4403.09340140936</v>
      </c>
      <c r="T17" s="324">
        <f t="shared" si="2"/>
        <v>4393.094939243361</v>
      </c>
      <c r="U17" s="324">
        <f t="shared" si="2"/>
        <v>4383.119181398296</v>
      </c>
      <c r="V17" s="324">
        <f t="shared" si="2"/>
        <v>4373.166076317617</v>
      </c>
      <c r="W17" s="324">
        <f t="shared" si="2"/>
        <v>4363.23557256185</v>
      </c>
      <c r="X17" s="324">
        <f t="shared" si="2"/>
        <v>4353.327618808328</v>
      </c>
      <c r="Y17" s="324">
        <f t="shared" si="2"/>
        <v>4343.442163850929</v>
      </c>
      <c r="Z17" s="324">
        <f t="shared" si="2"/>
        <v>4333.579156599808</v>
      </c>
      <c r="AA17" s="324">
        <f t="shared" si="2"/>
        <v>4323.738546081132</v>
      </c>
      <c r="AB17" s="324">
        <f t="shared" si="2"/>
        <v>4313.92028143682</v>
      </c>
      <c r="AC17" s="341">
        <f t="shared" si="2"/>
        <v>4304.124311924279</v>
      </c>
      <c r="AD17" s="398">
        <f t="shared" si="3"/>
        <v>4304.124311924279</v>
      </c>
      <c r="AE17" s="399">
        <f>SUM(AD14:AD17)</f>
        <v>148591.47359527543</v>
      </c>
      <c r="AF17" s="400"/>
    </row>
    <row r="18" spans="1:32" ht="13.5" thickBot="1">
      <c r="A18" s="51" t="s">
        <v>10</v>
      </c>
      <c r="B18" s="27">
        <f>'Existing Space Heating Units'!B13</f>
        <v>0.06</v>
      </c>
      <c r="C18" s="323">
        <f>'Existing Space Heating Units'!C13</f>
        <v>0</v>
      </c>
      <c r="D18" s="324">
        <f t="shared" si="1"/>
        <v>28596.56901317288</v>
      </c>
      <c r="E18" s="324">
        <f t="shared" si="2"/>
        <v>28531.632458962136</v>
      </c>
      <c r="F18" s="324">
        <f t="shared" si="2"/>
        <v>28466.8433614645</v>
      </c>
      <c r="G18" s="324">
        <f t="shared" si="2"/>
        <v>28402.201385838023</v>
      </c>
      <c r="H18" s="324">
        <f t="shared" si="2"/>
        <v>28337.706198001106</v>
      </c>
      <c r="I18" s="324">
        <f t="shared" si="2"/>
        <v>28273.35746463079</v>
      </c>
      <c r="J18" s="324">
        <f t="shared" si="2"/>
        <v>28209.154853161006</v>
      </c>
      <c r="K18" s="324">
        <f t="shared" si="2"/>
        <v>28145.09803178087</v>
      </c>
      <c r="L18" s="324">
        <f t="shared" si="2"/>
        <v>28081.186669432984</v>
      </c>
      <c r="M18" s="324">
        <f t="shared" si="2"/>
        <v>28017.420435811684</v>
      </c>
      <c r="N18" s="324">
        <f t="shared" si="2"/>
        <v>27953.799001361378</v>
      </c>
      <c r="O18" s="324">
        <f t="shared" si="2"/>
        <v>27890.322037274815</v>
      </c>
      <c r="P18" s="324">
        <f t="shared" si="2"/>
        <v>27826.989215491398</v>
      </c>
      <c r="Q18" s="324">
        <f t="shared" si="2"/>
        <v>27763.800208695473</v>
      </c>
      <c r="R18" s="324">
        <f t="shared" si="2"/>
        <v>27700.754690314665</v>
      </c>
      <c r="S18" s="324">
        <f t="shared" si="2"/>
        <v>27637.852334518157</v>
      </c>
      <c r="T18" s="324">
        <f t="shared" si="2"/>
        <v>27575.092816215027</v>
      </c>
      <c r="U18" s="324">
        <f t="shared" si="2"/>
        <v>27512.475811052573</v>
      </c>
      <c r="V18" s="324">
        <f t="shared" si="2"/>
        <v>27450.000995414615</v>
      </c>
      <c r="W18" s="324">
        <f t="shared" si="2"/>
        <v>27387.668046419843</v>
      </c>
      <c r="X18" s="324">
        <f t="shared" si="2"/>
        <v>27325.47664192013</v>
      </c>
      <c r="Y18" s="324">
        <f t="shared" si="2"/>
        <v>27263.426460498893</v>
      </c>
      <c r="Z18" s="324">
        <f t="shared" si="2"/>
        <v>27201.5171814694</v>
      </c>
      <c r="AA18" s="324">
        <f t="shared" si="2"/>
        <v>27139.748484873133</v>
      </c>
      <c r="AB18" s="324">
        <f t="shared" si="2"/>
        <v>27078.120051478134</v>
      </c>
      <c r="AC18" s="341">
        <f t="shared" si="2"/>
        <v>27016.631562777347</v>
      </c>
      <c r="AD18" s="408">
        <f t="shared" si="3"/>
        <v>27016.631562777347</v>
      </c>
      <c r="AE18" s="409"/>
      <c r="AF18" s="410"/>
    </row>
    <row r="19" spans="1:32" ht="12.75">
      <c r="A19" s="325"/>
      <c r="B19" s="174">
        <f>'Existing Space Heating Units'!B14</f>
        <v>0</v>
      </c>
      <c r="C19" s="323">
        <f>'Existing Space Heating Units'!C14</f>
        <v>0</v>
      </c>
      <c r="D19" s="324">
        <f t="shared" si="1"/>
        <v>0</v>
      </c>
      <c r="E19" s="324">
        <f t="shared" si="2"/>
        <v>0</v>
      </c>
      <c r="F19" s="324">
        <f t="shared" si="2"/>
        <v>0</v>
      </c>
      <c r="G19" s="324">
        <f t="shared" si="2"/>
        <v>0</v>
      </c>
      <c r="H19" s="324">
        <f t="shared" si="2"/>
        <v>0</v>
      </c>
      <c r="I19" s="324">
        <f t="shared" si="2"/>
        <v>0</v>
      </c>
      <c r="J19" s="324">
        <f t="shared" si="2"/>
        <v>0</v>
      </c>
      <c r="K19" s="324">
        <f t="shared" si="2"/>
        <v>0</v>
      </c>
      <c r="L19" s="324">
        <f t="shared" si="2"/>
        <v>0</v>
      </c>
      <c r="M19" s="324">
        <f t="shared" si="2"/>
        <v>0</v>
      </c>
      <c r="N19" s="324">
        <f t="shared" si="2"/>
        <v>0</v>
      </c>
      <c r="O19" s="324">
        <f t="shared" si="2"/>
        <v>0</v>
      </c>
      <c r="P19" s="324">
        <f t="shared" si="2"/>
        <v>0</v>
      </c>
      <c r="Q19" s="324">
        <f t="shared" si="2"/>
        <v>0</v>
      </c>
      <c r="R19" s="324">
        <f t="shared" si="2"/>
        <v>0</v>
      </c>
      <c r="S19" s="324">
        <f t="shared" si="2"/>
        <v>0</v>
      </c>
      <c r="T19" s="324">
        <f t="shared" si="2"/>
        <v>0</v>
      </c>
      <c r="U19" s="324">
        <f t="shared" si="2"/>
        <v>0</v>
      </c>
      <c r="V19" s="324">
        <f t="shared" si="2"/>
        <v>0</v>
      </c>
      <c r="W19" s="324">
        <f t="shared" si="2"/>
        <v>0</v>
      </c>
      <c r="X19" s="324">
        <f t="shared" si="2"/>
        <v>0</v>
      </c>
      <c r="Y19" s="324">
        <f t="shared" si="2"/>
        <v>0</v>
      </c>
      <c r="Z19" s="324">
        <f t="shared" si="2"/>
        <v>0</v>
      </c>
      <c r="AA19" s="324">
        <f t="shared" si="2"/>
        <v>0</v>
      </c>
      <c r="AB19" s="324">
        <f t="shared" si="2"/>
        <v>0</v>
      </c>
      <c r="AC19" s="341">
        <f t="shared" si="2"/>
        <v>0</v>
      </c>
      <c r="AD19" s="411">
        <f t="shared" si="3"/>
        <v>0</v>
      </c>
      <c r="AE19" s="404" t="s">
        <v>176</v>
      </c>
      <c r="AF19" s="405" t="s">
        <v>177</v>
      </c>
    </row>
    <row r="20" spans="1:32" ht="13.5" thickBot="1">
      <c r="A20" s="52" t="s">
        <v>26</v>
      </c>
      <c r="B20" s="160">
        <f>'Existing Space Heating Units'!B15</f>
        <v>0.22611176020100568</v>
      </c>
      <c r="C20" s="323">
        <f>'Existing Space Heating Units'!C15</f>
        <v>0</v>
      </c>
      <c r="D20" s="324">
        <f t="shared" si="1"/>
        <v>107767.00925463426</v>
      </c>
      <c r="E20" s="324">
        <f t="shared" si="2"/>
        <v>107522.29394506796</v>
      </c>
      <c r="F20" s="324">
        <f t="shared" si="2"/>
        <v>107278.13433045086</v>
      </c>
      <c r="G20" s="324">
        <f t="shared" si="2"/>
        <v>107034.5291489213</v>
      </c>
      <c r="H20" s="324">
        <f t="shared" si="2"/>
        <v>106791.47714148299</v>
      </c>
      <c r="I20" s="324">
        <f t="shared" si="2"/>
        <v>106548.97705199853</v>
      </c>
      <c r="J20" s="324">
        <f t="shared" si="2"/>
        <v>106307.02762718295</v>
      </c>
      <c r="K20" s="324">
        <f t="shared" si="2"/>
        <v>106065.62761659722</v>
      </c>
      <c r="L20" s="324">
        <f t="shared" si="2"/>
        <v>105824.7757726418</v>
      </c>
      <c r="M20" s="324">
        <f t="shared" si="2"/>
        <v>105584.47085055012</v>
      </c>
      <c r="N20" s="324">
        <f t="shared" si="2"/>
        <v>105344.71160838228</v>
      </c>
      <c r="O20" s="324">
        <f t="shared" si="2"/>
        <v>105105.49680701846</v>
      </c>
      <c r="P20" s="324">
        <f t="shared" si="2"/>
        <v>104866.8252101527</v>
      </c>
      <c r="Q20" s="324">
        <f t="shared" si="2"/>
        <v>104628.69558428638</v>
      </c>
      <c r="R20" s="324">
        <f t="shared" si="2"/>
        <v>104391.10669872188</v>
      </c>
      <c r="S20" s="324">
        <f t="shared" si="2"/>
        <v>104154.05732555623</v>
      </c>
      <c r="T20" s="324">
        <f t="shared" si="2"/>
        <v>103917.54623967479</v>
      </c>
      <c r="U20" s="324">
        <f t="shared" si="2"/>
        <v>103681.57221874481</v>
      </c>
      <c r="V20" s="324">
        <f t="shared" si="2"/>
        <v>103446.13404320928</v>
      </c>
      <c r="W20" s="324">
        <f t="shared" si="2"/>
        <v>103211.23049628049</v>
      </c>
      <c r="X20" s="324">
        <f t="shared" si="2"/>
        <v>102976.86036393378</v>
      </c>
      <c r="Y20" s="324">
        <f aca="true" t="shared" si="5" ref="Y20:AD20">$B20*Y$9</f>
        <v>102743.02243490132</v>
      </c>
      <c r="Z20" s="324">
        <f t="shared" si="5"/>
        <v>102509.71550066574</v>
      </c>
      <c r="AA20" s="324">
        <f t="shared" si="5"/>
        <v>102276.93835545403</v>
      </c>
      <c r="AB20" s="324">
        <f t="shared" si="5"/>
        <v>102044.68979623113</v>
      </c>
      <c r="AC20" s="341">
        <f t="shared" si="5"/>
        <v>101812.9686226939</v>
      </c>
      <c r="AD20" s="412">
        <f t="shared" si="5"/>
        <v>101812.9686226939</v>
      </c>
      <c r="AE20" s="406">
        <f>'[1]PNW Existing Characteristics'!$F$19</f>
        <v>0.17432985908100734</v>
      </c>
      <c r="AF20" s="400">
        <f>AF14*AE20</f>
        <v>6847.45875026836</v>
      </c>
    </row>
    <row r="21" spans="1:31" ht="12.75">
      <c r="A21" s="327"/>
      <c r="B21" s="26"/>
      <c r="C21" s="328"/>
      <c r="D21" s="328"/>
      <c r="E21" s="328"/>
      <c r="F21" s="328"/>
      <c r="G21" s="328"/>
      <c r="H21" s="328"/>
      <c r="I21" s="328"/>
      <c r="J21" s="328"/>
      <c r="K21" s="328"/>
      <c r="L21" s="328"/>
      <c r="M21" s="328"/>
      <c r="N21" s="328"/>
      <c r="O21" s="328"/>
      <c r="P21" s="328"/>
      <c r="Q21" s="328"/>
      <c r="R21" s="328"/>
      <c r="S21" s="328"/>
      <c r="T21" s="328"/>
      <c r="U21" s="328"/>
      <c r="V21" s="328"/>
      <c r="W21" s="328"/>
      <c r="X21" s="328"/>
      <c r="Y21" s="1"/>
      <c r="Z21" s="157"/>
      <c r="AA21" s="157"/>
      <c r="AB21" s="157"/>
      <c r="AC21" s="157"/>
      <c r="AD21" s="338"/>
      <c r="AE21" s="24"/>
    </row>
    <row r="22" spans="1:31" ht="12.75">
      <c r="A22" s="53" t="s">
        <v>65</v>
      </c>
      <c r="B22" s="26"/>
      <c r="C22" s="312">
        <v>-0.0022708178107920937</v>
      </c>
      <c r="D22" s="337">
        <f>C4</f>
        <v>207882.73940292475</v>
      </c>
      <c r="E22" s="337">
        <f>D22*(1+$C22)</f>
        <v>207410.67557573234</v>
      </c>
      <c r="F22" s="337">
        <f aca="true" t="shared" si="6" ref="F22:AC22">E22*(1+$C22)</f>
        <v>206939.68371948655</v>
      </c>
      <c r="G22" s="337">
        <f t="shared" si="6"/>
        <v>206469.76139993666</v>
      </c>
      <c r="H22" s="337">
        <f t="shared" si="6"/>
        <v>206000.9061883597</v>
      </c>
      <c r="I22" s="337">
        <f t="shared" si="6"/>
        <v>205533.11566154784</v>
      </c>
      <c r="J22" s="337">
        <f t="shared" si="6"/>
        <v>205066.387401796</v>
      </c>
      <c r="K22" s="337">
        <f t="shared" si="6"/>
        <v>204600.71899688922</v>
      </c>
      <c r="L22" s="337">
        <f t="shared" si="6"/>
        <v>204136.1080400902</v>
      </c>
      <c r="M22" s="337">
        <f t="shared" si="6"/>
        <v>203672.552130127</v>
      </c>
      <c r="N22" s="337">
        <f t="shared" si="6"/>
        <v>203210.04887118042</v>
      </c>
      <c r="O22" s="337">
        <f t="shared" si="6"/>
        <v>202748.5958728718</v>
      </c>
      <c r="P22" s="337">
        <f t="shared" si="6"/>
        <v>202288.19075025062</v>
      </c>
      <c r="Q22" s="337">
        <f t="shared" si="6"/>
        <v>201828.83112378206</v>
      </c>
      <c r="R22" s="337">
        <f t="shared" si="6"/>
        <v>201370.51461933483</v>
      </c>
      <c r="S22" s="337">
        <f t="shared" si="6"/>
        <v>200913.23886816888</v>
      </c>
      <c r="T22" s="337">
        <f t="shared" si="6"/>
        <v>200457.00150692312</v>
      </c>
      <c r="U22" s="337">
        <f t="shared" si="6"/>
        <v>200001.80017760323</v>
      </c>
      <c r="V22" s="337">
        <f t="shared" si="6"/>
        <v>199547.63252756945</v>
      </c>
      <c r="W22" s="337">
        <f t="shared" si="6"/>
        <v>199094.49620952446</v>
      </c>
      <c r="X22" s="337">
        <f t="shared" si="6"/>
        <v>198642.3888815012</v>
      </c>
      <c r="Y22" s="337">
        <f t="shared" si="6"/>
        <v>198191.30820685078</v>
      </c>
      <c r="Z22" s="337">
        <f t="shared" si="6"/>
        <v>197741.25185423048</v>
      </c>
      <c r="AA22" s="337">
        <f t="shared" si="6"/>
        <v>197292.21749759157</v>
      </c>
      <c r="AB22" s="337">
        <f t="shared" si="6"/>
        <v>196844.20281616738</v>
      </c>
      <c r="AC22" s="337">
        <f t="shared" si="6"/>
        <v>196397.20549446126</v>
      </c>
      <c r="AD22" s="338">
        <f>AC22</f>
        <v>196397.20549446126</v>
      </c>
      <c r="AE22" s="24"/>
    </row>
    <row r="23" spans="1:31" ht="12.75">
      <c r="A23" s="51" t="s">
        <v>67</v>
      </c>
      <c r="B23" s="27">
        <f>'Existing Space Heating Units'!B18</f>
        <v>0.05642394453305556</v>
      </c>
      <c r="C23" s="323">
        <f>'Existing Space Heating Units'!C18</f>
        <v>0</v>
      </c>
      <c r="D23" s="324">
        <f aca="true" t="shared" si="7" ref="D23:D33">$B23*D$22</f>
        <v>11729.56415745027</v>
      </c>
      <c r="E23" s="324">
        <f aca="true" t="shared" si="8" ref="E23:AC33">$B23*E$22</f>
        <v>11702.928454248704</v>
      </c>
      <c r="F23" s="324">
        <f t="shared" si="8"/>
        <v>11676.35323587637</v>
      </c>
      <c r="G23" s="324">
        <f t="shared" si="8"/>
        <v>11649.838364983243</v>
      </c>
      <c r="H23" s="324">
        <f t="shared" si="8"/>
        <v>11623.383704531188</v>
      </c>
      <c r="I23" s="324">
        <f t="shared" si="8"/>
        <v>11596.98911779327</v>
      </c>
      <c r="J23" s="324">
        <f t="shared" si="8"/>
        <v>11570.654468353021</v>
      </c>
      <c r="K23" s="324">
        <f t="shared" si="8"/>
        <v>11544.379620103764</v>
      </c>
      <c r="L23" s="324">
        <f t="shared" si="8"/>
        <v>11518.164437247888</v>
      </c>
      <c r="M23" s="324">
        <f t="shared" si="8"/>
        <v>11492.008784296153</v>
      </c>
      <c r="N23" s="324">
        <f t="shared" si="8"/>
        <v>11465.912526066993</v>
      </c>
      <c r="O23" s="324">
        <f t="shared" si="8"/>
        <v>11439.875527685817</v>
      </c>
      <c r="P23" s="324">
        <f t="shared" si="8"/>
        <v>11413.897654584303</v>
      </c>
      <c r="Q23" s="324">
        <f t="shared" si="8"/>
        <v>11387.978772499717</v>
      </c>
      <c r="R23" s="324">
        <f t="shared" si="8"/>
        <v>11362.118747474202</v>
      </c>
      <c r="S23" s="324">
        <f t="shared" si="8"/>
        <v>11336.317445854103</v>
      </c>
      <c r="T23" s="324">
        <f t="shared" si="8"/>
        <v>11310.574734289265</v>
      </c>
      <c r="U23" s="324">
        <f t="shared" si="8"/>
        <v>11284.890479732347</v>
      </c>
      <c r="V23" s="324">
        <f t="shared" si="8"/>
        <v>11259.264549438132</v>
      </c>
      <c r="W23" s="324">
        <f t="shared" si="8"/>
        <v>11233.696810962849</v>
      </c>
      <c r="X23" s="324">
        <f t="shared" si="8"/>
        <v>11208.187132163475</v>
      </c>
      <c r="Y23" s="324">
        <f t="shared" si="8"/>
        <v>11182.735381197068</v>
      </c>
      <c r="Z23" s="324">
        <f t="shared" si="8"/>
        <v>11157.34142652007</v>
      </c>
      <c r="AA23" s="324">
        <f t="shared" si="8"/>
        <v>11132.005136887641</v>
      </c>
      <c r="AB23" s="324">
        <f t="shared" si="8"/>
        <v>11106.726381352968</v>
      </c>
      <c r="AC23" s="324">
        <f t="shared" si="8"/>
        <v>11081.505029266596</v>
      </c>
      <c r="AD23" s="339">
        <f aca="true" t="shared" si="9" ref="AD23:AD32">$B23*AD$22</f>
        <v>11081.505029266596</v>
      </c>
      <c r="AE23" s="24"/>
    </row>
    <row r="24" spans="1:31" ht="12.75">
      <c r="A24" s="51" t="s">
        <v>68</v>
      </c>
      <c r="B24" s="27">
        <f>'Existing Space Heating Units'!B19</f>
        <v>0.033576055466944435</v>
      </c>
      <c r="C24" s="323">
        <f>'Existing Space Heating Units'!C19</f>
        <v>0</v>
      </c>
      <c r="D24" s="324">
        <f t="shared" si="7"/>
        <v>6979.882388812957</v>
      </c>
      <c r="E24" s="324">
        <f aca="true" t="shared" si="10" ref="E24:S24">$B24*E$22</f>
        <v>6964.032347567207</v>
      </c>
      <c r="F24" s="324">
        <f t="shared" si="10"/>
        <v>6948.218298877418</v>
      </c>
      <c r="G24" s="324">
        <f t="shared" si="10"/>
        <v>6932.440161011056</v>
      </c>
      <c r="H24" s="324">
        <f t="shared" si="10"/>
        <v>6916.697852421182</v>
      </c>
      <c r="I24" s="324">
        <f t="shared" si="10"/>
        <v>6900.991291746036</v>
      </c>
      <c r="J24" s="324">
        <f t="shared" si="10"/>
        <v>6885.3203978086185</v>
      </c>
      <c r="K24" s="324">
        <f t="shared" si="10"/>
        <v>6869.685089616264</v>
      </c>
      <c r="L24" s="324">
        <f t="shared" si="10"/>
        <v>6854.085286360231</v>
      </c>
      <c r="M24" s="324">
        <f t="shared" si="10"/>
        <v>6838.520907415276</v>
      </c>
      <c r="N24" s="324">
        <f t="shared" si="10"/>
        <v>6822.991872339243</v>
      </c>
      <c r="O24" s="324">
        <f t="shared" si="10"/>
        <v>6807.498100872645</v>
      </c>
      <c r="P24" s="324">
        <f t="shared" si="10"/>
        <v>6792.039512938251</v>
      </c>
      <c r="Q24" s="324">
        <f t="shared" si="10"/>
        <v>6776.6160286406675</v>
      </c>
      <c r="R24" s="324">
        <f t="shared" si="10"/>
        <v>6761.227568265932</v>
      </c>
      <c r="S24" s="324">
        <f t="shared" si="10"/>
        <v>6745.874052281095</v>
      </c>
      <c r="T24" s="324">
        <f t="shared" si="8"/>
        <v>6730.555401333815</v>
      </c>
      <c r="U24" s="324">
        <f t="shared" si="8"/>
        <v>6715.271536251944</v>
      </c>
      <c r="V24" s="324">
        <f t="shared" si="8"/>
        <v>6700.022378043118</v>
      </c>
      <c r="W24" s="324">
        <f t="shared" si="8"/>
        <v>6684.807847894352</v>
      </c>
      <c r="X24" s="324">
        <f t="shared" si="8"/>
        <v>6669.62786717163</v>
      </c>
      <c r="Y24" s="324">
        <f t="shared" si="8"/>
        <v>6654.482357419502</v>
      </c>
      <c r="Z24" s="324">
        <f t="shared" si="8"/>
        <v>6639.371240360671</v>
      </c>
      <c r="AA24" s="324">
        <f t="shared" si="8"/>
        <v>6624.2944378956</v>
      </c>
      <c r="AB24" s="324">
        <f t="shared" si="8"/>
        <v>6609.251872102096</v>
      </c>
      <c r="AC24" s="324">
        <f t="shared" si="8"/>
        <v>6594.243465234916</v>
      </c>
      <c r="AD24" s="339">
        <f t="shared" si="9"/>
        <v>6594.243465234916</v>
      </c>
      <c r="AE24" s="24"/>
    </row>
    <row r="25" spans="1:31" ht="12.75">
      <c r="A25" s="51" t="s">
        <v>69</v>
      </c>
      <c r="B25" s="27">
        <f>'Existing Space Heating Units'!B20</f>
        <v>0.06896259887373458</v>
      </c>
      <c r="C25" s="323">
        <f>'Existing Space Heating Units'!C20</f>
        <v>0</v>
      </c>
      <c r="D25" s="324">
        <f t="shared" si="7"/>
        <v>14336.133970216999</v>
      </c>
      <c r="E25" s="324">
        <f t="shared" si="8"/>
        <v>14303.579221859529</v>
      </c>
      <c r="F25" s="324">
        <f t="shared" si="8"/>
        <v>14271.098399404455</v>
      </c>
      <c r="G25" s="324">
        <f t="shared" si="8"/>
        <v>14238.69133497952</v>
      </c>
      <c r="H25" s="324">
        <f t="shared" si="8"/>
        <v>14206.357861093678</v>
      </c>
      <c r="I25" s="324">
        <f t="shared" si="8"/>
        <v>14174.09781063622</v>
      </c>
      <c r="J25" s="324">
        <f t="shared" si="8"/>
        <v>14141.911016875918</v>
      </c>
      <c r="K25" s="324">
        <f t="shared" si="8"/>
        <v>14109.797313460158</v>
      </c>
      <c r="L25" s="324">
        <f t="shared" si="8"/>
        <v>14077.756534414088</v>
      </c>
      <c r="M25" s="324">
        <f t="shared" si="8"/>
        <v>14045.788514139746</v>
      </c>
      <c r="N25" s="324">
        <f t="shared" si="8"/>
        <v>14013.893087415217</v>
      </c>
      <c r="O25" s="324">
        <f t="shared" si="8"/>
        <v>13982.070089393777</v>
      </c>
      <c r="P25" s="324">
        <f t="shared" si="8"/>
        <v>13950.31935560304</v>
      </c>
      <c r="Q25" s="324">
        <f t="shared" si="8"/>
        <v>13918.6407219441</v>
      </c>
      <c r="R25" s="324">
        <f t="shared" si="8"/>
        <v>13887.034024690694</v>
      </c>
      <c r="S25" s="324">
        <f t="shared" si="8"/>
        <v>13855.49910048835</v>
      </c>
      <c r="T25" s="324">
        <f t="shared" si="8"/>
        <v>13824.035786353548</v>
      </c>
      <c r="U25" s="324">
        <f t="shared" si="8"/>
        <v>13792.64391967287</v>
      </c>
      <c r="V25" s="324">
        <f t="shared" si="8"/>
        <v>13761.323338202164</v>
      </c>
      <c r="W25" s="324">
        <f t="shared" si="8"/>
        <v>13730.073880065705</v>
      </c>
      <c r="X25" s="324">
        <f t="shared" si="8"/>
        <v>13698.895383755362</v>
      </c>
      <c r="Y25" s="324">
        <f t="shared" si="8"/>
        <v>13667.78768812975</v>
      </c>
      <c r="Z25" s="324">
        <f t="shared" si="8"/>
        <v>13636.750632413421</v>
      </c>
      <c r="AA25" s="324">
        <f t="shared" si="8"/>
        <v>13605.784056196007</v>
      </c>
      <c r="AB25" s="324">
        <f t="shared" si="8"/>
        <v>13574.887799431406</v>
      </c>
      <c r="AC25" s="324">
        <f t="shared" si="8"/>
        <v>13544.061702436953</v>
      </c>
      <c r="AD25" s="339">
        <f t="shared" si="9"/>
        <v>13544.061702436953</v>
      </c>
      <c r="AE25" s="24"/>
    </row>
    <row r="26" spans="1:31" ht="13.5" thickBot="1">
      <c r="A26" s="51" t="s">
        <v>70</v>
      </c>
      <c r="B26" s="27">
        <f>'Existing Space Heating Units'!B21</f>
        <v>0.04103740112626542</v>
      </c>
      <c r="C26" s="323">
        <f>'Existing Space Heating Units'!C21</f>
        <v>0</v>
      </c>
      <c r="D26" s="324">
        <f t="shared" si="7"/>
        <v>8530.967364104725</v>
      </c>
      <c r="E26" s="324">
        <f t="shared" si="8"/>
        <v>8511.59509147103</v>
      </c>
      <c r="F26" s="324">
        <f t="shared" si="8"/>
        <v>8492.266809739067</v>
      </c>
      <c r="G26" s="324">
        <f t="shared" si="8"/>
        <v>8472.982419013513</v>
      </c>
      <c r="H26" s="324">
        <f t="shared" si="8"/>
        <v>8453.74181962589</v>
      </c>
      <c r="I26" s="324">
        <f t="shared" si="8"/>
        <v>8434.544912134044</v>
      </c>
      <c r="J26" s="324">
        <f t="shared" si="8"/>
        <v>8415.391597321644</v>
      </c>
      <c r="K26" s="324">
        <f t="shared" si="8"/>
        <v>8396.281776197657</v>
      </c>
      <c r="L26" s="324">
        <f t="shared" si="8"/>
        <v>8377.215349995839</v>
      </c>
      <c r="M26" s="324">
        <f t="shared" si="8"/>
        <v>8358.192220174227</v>
      </c>
      <c r="N26" s="324">
        <f t="shared" si="8"/>
        <v>8339.21228841463</v>
      </c>
      <c r="O26" s="324">
        <f t="shared" si="8"/>
        <v>8320.275456622123</v>
      </c>
      <c r="P26" s="324">
        <f t="shared" si="8"/>
        <v>8301.381626924529</v>
      </c>
      <c r="Q26" s="324">
        <f t="shared" si="8"/>
        <v>8282.530701671927</v>
      </c>
      <c r="R26" s="324">
        <f t="shared" si="8"/>
        <v>8263.72258343614</v>
      </c>
      <c r="S26" s="324">
        <f t="shared" si="8"/>
        <v>8244.957175010228</v>
      </c>
      <c r="T26" s="324">
        <f t="shared" si="8"/>
        <v>8226.234379407997</v>
      </c>
      <c r="U26" s="324">
        <f t="shared" si="8"/>
        <v>8207.554099863486</v>
      </c>
      <c r="V26" s="324">
        <f t="shared" si="8"/>
        <v>8188.916239830477</v>
      </c>
      <c r="W26" s="324">
        <f t="shared" si="8"/>
        <v>8170.320702981986</v>
      </c>
      <c r="X26" s="324">
        <f t="shared" si="8"/>
        <v>8151.767393209771</v>
      </c>
      <c r="Y26" s="324">
        <f t="shared" si="8"/>
        <v>8133.256214623836</v>
      </c>
      <c r="Z26" s="324">
        <f t="shared" si="8"/>
        <v>8114.787071551932</v>
      </c>
      <c r="AA26" s="324">
        <f t="shared" si="8"/>
        <v>8096.359868539067</v>
      </c>
      <c r="AB26" s="324">
        <f t="shared" si="8"/>
        <v>8077.974510347007</v>
      </c>
      <c r="AC26" s="324">
        <f t="shared" si="8"/>
        <v>8059.630901953787</v>
      </c>
      <c r="AD26" s="339">
        <f t="shared" si="9"/>
        <v>8059.630901953787</v>
      </c>
      <c r="AE26" s="24"/>
    </row>
    <row r="27" spans="1:32" ht="12.75">
      <c r="A27" s="51" t="s">
        <v>71</v>
      </c>
      <c r="B27" s="27">
        <f>'Existing Space Heating Units'!B22</f>
        <v>0.0761208275428062</v>
      </c>
      <c r="C27" s="323">
        <f>'Existing Space Heating Units'!C22</f>
        <v>0.10673000274782828</v>
      </c>
      <c r="D27" s="324">
        <f t="shared" si="7"/>
        <v>15824.20615521616</v>
      </c>
      <c r="E27" s="324">
        <f t="shared" si="8"/>
        <v>15788.27226603725</v>
      </c>
      <c r="F27" s="324">
        <f t="shared" si="8"/>
        <v>15752.419976173896</v>
      </c>
      <c r="G27" s="324">
        <f t="shared" si="8"/>
        <v>15716.649100328923</v>
      </c>
      <c r="H27" s="324">
        <f t="shared" si="8"/>
        <v>15680.959453625926</v>
      </c>
      <c r="I27" s="324">
        <f t="shared" si="8"/>
        <v>15645.350851608324</v>
      </c>
      <c r="J27" s="324">
        <f t="shared" si="8"/>
        <v>15609.8231102384</v>
      </c>
      <c r="K27" s="324">
        <f t="shared" si="8"/>
        <v>15574.376045896357</v>
      </c>
      <c r="L27" s="324">
        <f t="shared" si="8"/>
        <v>15539.009475379362</v>
      </c>
      <c r="M27" s="324">
        <f t="shared" si="8"/>
        <v>15503.723215900603</v>
      </c>
      <c r="N27" s="324">
        <f t="shared" si="8"/>
        <v>15468.517085088346</v>
      </c>
      <c r="O27" s="324">
        <f t="shared" si="8"/>
        <v>15433.390900984985</v>
      </c>
      <c r="P27" s="324">
        <f t="shared" si="8"/>
        <v>15398.344482046114</v>
      </c>
      <c r="Q27" s="324">
        <f t="shared" si="8"/>
        <v>15363.377647139572</v>
      </c>
      <c r="R27" s="324">
        <f t="shared" si="8"/>
        <v>15328.490215544523</v>
      </c>
      <c r="S27" s="324">
        <f t="shared" si="8"/>
        <v>15293.682006950512</v>
      </c>
      <c r="T27" s="324">
        <f t="shared" si="8"/>
        <v>15258.952841456537</v>
      </c>
      <c r="U27" s="324">
        <f t="shared" si="8"/>
        <v>15224.302539570122</v>
      </c>
      <c r="V27" s="324">
        <f t="shared" si="8"/>
        <v>15189.73092220638</v>
      </c>
      <c r="W27" s="324">
        <f t="shared" si="8"/>
        <v>15155.237810687095</v>
      </c>
      <c r="X27" s="324">
        <f t="shared" si="8"/>
        <v>15120.823026739798</v>
      </c>
      <c r="Y27" s="324">
        <f t="shared" si="8"/>
        <v>15086.48639249684</v>
      </c>
      <c r="Z27" s="324">
        <f t="shared" si="8"/>
        <v>15052.227730494486</v>
      </c>
      <c r="AA27" s="324">
        <f t="shared" si="8"/>
        <v>15018.04686367198</v>
      </c>
      <c r="AB27" s="324">
        <f t="shared" si="8"/>
        <v>14983.943615370645</v>
      </c>
      <c r="AC27" s="324">
        <f t="shared" si="8"/>
        <v>14949.917809332957</v>
      </c>
      <c r="AD27" s="396">
        <f t="shared" si="9"/>
        <v>14949.917809332957</v>
      </c>
      <c r="AE27" s="393">
        <f>AD27/(SUM(AD$27:AD$30))</f>
        <v>0.10286598316595433</v>
      </c>
      <c r="AF27" s="394">
        <f>AE27*AE$30</f>
        <v>14949.917809332957</v>
      </c>
    </row>
    <row r="28" spans="1:32" ht="12.75">
      <c r="A28" s="51" t="s">
        <v>9</v>
      </c>
      <c r="B28" s="27">
        <f>'Existing Space Heating Units'!B23</f>
        <v>0.012913181424862995</v>
      </c>
      <c r="C28" s="323">
        <f>'Existing Space Heating Units'!C23</f>
        <v>0.01810573969632417</v>
      </c>
      <c r="D28" s="324">
        <f t="shared" si="7"/>
        <v>2684.4275290074825</v>
      </c>
      <c r="E28" s="324">
        <f t="shared" si="8"/>
        <v>2678.3316831628317</v>
      </c>
      <c r="F28" s="324">
        <f t="shared" si="8"/>
        <v>2672.249679873497</v>
      </c>
      <c r="G28" s="324">
        <f t="shared" si="8"/>
        <v>2666.1814877055567</v>
      </c>
      <c r="H28" s="324">
        <f t="shared" si="8"/>
        <v>2660.1270752964706</v>
      </c>
      <c r="I28" s="324">
        <f t="shared" si="8"/>
        <v>2654.086411354917</v>
      </c>
      <c r="J28" s="324">
        <f t="shared" si="8"/>
        <v>2648.059464660631</v>
      </c>
      <c r="K28" s="324">
        <f t="shared" si="8"/>
        <v>2642.0462040642433</v>
      </c>
      <c r="L28" s="324">
        <f t="shared" si="8"/>
        <v>2636.0465984871184</v>
      </c>
      <c r="M28" s="324">
        <f t="shared" si="8"/>
        <v>2630.060616921196</v>
      </c>
      <c r="N28" s="324">
        <f t="shared" si="8"/>
        <v>2624.088228428828</v>
      </c>
      <c r="O28" s="324">
        <f t="shared" si="8"/>
        <v>2618.1294021426224</v>
      </c>
      <c r="P28" s="324">
        <f t="shared" si="8"/>
        <v>2612.1841072652787</v>
      </c>
      <c r="Q28" s="324">
        <f t="shared" si="8"/>
        <v>2606.2523130694326</v>
      </c>
      <c r="R28" s="324">
        <f t="shared" si="8"/>
        <v>2600.3339888974965</v>
      </c>
      <c r="S28" s="324">
        <f t="shared" si="8"/>
        <v>2594.4291041615</v>
      </c>
      <c r="T28" s="324">
        <f t="shared" si="8"/>
        <v>2588.5376283429327</v>
      </c>
      <c r="U28" s="324">
        <f t="shared" si="8"/>
        <v>2582.6595309925865</v>
      </c>
      <c r="V28" s="324">
        <f t="shared" si="8"/>
        <v>2576.7947817303966</v>
      </c>
      <c r="W28" s="324">
        <f t="shared" si="8"/>
        <v>2570.943350245287</v>
      </c>
      <c r="X28" s="324">
        <f t="shared" si="8"/>
        <v>2565.1052062950125</v>
      </c>
      <c r="Y28" s="324">
        <f t="shared" si="8"/>
        <v>2559.2803197060025</v>
      </c>
      <c r="Z28" s="324">
        <f t="shared" si="8"/>
        <v>2553.4686603732043</v>
      </c>
      <c r="AA28" s="324">
        <f t="shared" si="8"/>
        <v>2547.6701982599293</v>
      </c>
      <c r="AB28" s="324">
        <f t="shared" si="8"/>
        <v>2541.8849033976967</v>
      </c>
      <c r="AC28" s="324">
        <f t="shared" si="8"/>
        <v>2536.112745886078</v>
      </c>
      <c r="AD28" s="397">
        <f t="shared" si="9"/>
        <v>2536.112745886078</v>
      </c>
      <c r="AE28" s="391">
        <f>AD28/(SUM(AD$27:AD$30))</f>
        <v>0.017450245168733777</v>
      </c>
      <c r="AF28" s="395">
        <f>AE28*AE$30</f>
        <v>2536.112745886078</v>
      </c>
    </row>
    <row r="29" spans="1:32" ht="12.75">
      <c r="A29" s="51" t="s">
        <v>73</v>
      </c>
      <c r="B29" s="27">
        <f>'Existing Space Heating Units'!B24</f>
        <v>0.6241752628680808</v>
      </c>
      <c r="C29" s="323">
        <f>'Existing Space Heating Units'!C24</f>
        <v>0.8751642575558475</v>
      </c>
      <c r="D29" s="324">
        <f t="shared" si="7"/>
        <v>129755.26351255729</v>
      </c>
      <c r="E29" s="324">
        <f t="shared" si="8"/>
        <v>129460.61294912896</v>
      </c>
      <c r="F29" s="324">
        <f t="shared" si="8"/>
        <v>129166.63148344801</v>
      </c>
      <c r="G29" s="324">
        <f t="shared" si="8"/>
        <v>128873.31759611538</v>
      </c>
      <c r="H29" s="324">
        <f t="shared" si="8"/>
        <v>128580.66977118226</v>
      </c>
      <c r="I29" s="324">
        <f t="shared" si="8"/>
        <v>128288.68649614227</v>
      </c>
      <c r="J29" s="324">
        <f t="shared" si="8"/>
        <v>127997.36626192371</v>
      </c>
      <c r="K29" s="324">
        <f t="shared" si="8"/>
        <v>127706.70756288165</v>
      </c>
      <c r="L29" s="324">
        <f t="shared" si="8"/>
        <v>127416.70889679025</v>
      </c>
      <c r="M29" s="324">
        <f t="shared" si="8"/>
        <v>127127.36876483492</v>
      </c>
      <c r="N29" s="324">
        <f t="shared" si="8"/>
        <v>126838.68567160459</v>
      </c>
      <c r="O29" s="324">
        <f t="shared" si="8"/>
        <v>126550.65812508404</v>
      </c>
      <c r="P29" s="324">
        <f t="shared" si="8"/>
        <v>126263.28463664615</v>
      </c>
      <c r="Q29" s="324">
        <f t="shared" si="8"/>
        <v>125976.56372104415</v>
      </c>
      <c r="R29" s="324">
        <f t="shared" si="8"/>
        <v>125690.49389640402</v>
      </c>
      <c r="S29" s="324">
        <f t="shared" si="8"/>
        <v>125405.07368421681</v>
      </c>
      <c r="T29" s="324">
        <f t="shared" si="8"/>
        <v>125120.301609331</v>
      </c>
      <c r="U29" s="324">
        <f t="shared" si="8"/>
        <v>124836.17619994486</v>
      </c>
      <c r="V29" s="324">
        <f t="shared" si="8"/>
        <v>124552.69598759885</v>
      </c>
      <c r="W29" s="324">
        <f t="shared" si="8"/>
        <v>124269.85950716805</v>
      </c>
      <c r="X29" s="324">
        <f t="shared" si="8"/>
        <v>123987.66529685454</v>
      </c>
      <c r="Y29" s="324">
        <f t="shared" si="8"/>
        <v>123706.11189817991</v>
      </c>
      <c r="Z29" s="324">
        <f t="shared" si="8"/>
        <v>123425.19785597768</v>
      </c>
      <c r="AA29" s="324">
        <f t="shared" si="8"/>
        <v>123144.92171838578</v>
      </c>
      <c r="AB29" s="324">
        <f t="shared" si="8"/>
        <v>122865.28203683908</v>
      </c>
      <c r="AC29" s="324">
        <f t="shared" si="8"/>
        <v>122586.27736606184</v>
      </c>
      <c r="AD29" s="397">
        <f t="shared" si="9"/>
        <v>122586.27736606184</v>
      </c>
      <c r="AE29" s="391">
        <f>AD29/(SUM(AD$27:AD$30))</f>
        <v>0.8434800849568659</v>
      </c>
      <c r="AF29" s="395">
        <f>AE29*AE$30</f>
        <v>122586.27736606184</v>
      </c>
    </row>
    <row r="30" spans="1:32" ht="13.5" thickBot="1">
      <c r="A30" s="51" t="s">
        <v>72</v>
      </c>
      <c r="B30" s="27">
        <f>'Existing Space Heating Units'!B25</f>
        <v>0.026790728164250027</v>
      </c>
      <c r="C30" s="323">
        <f>'Existing Space Heating Units'!C25</f>
        <v>0</v>
      </c>
      <c r="D30" s="324">
        <f t="shared" si="7"/>
        <v>5569.329961383385</v>
      </c>
      <c r="E30" s="324">
        <f t="shared" si="8"/>
        <v>5556.6830277128975</v>
      </c>
      <c r="F30" s="324">
        <f t="shared" si="8"/>
        <v>5544.064812924641</v>
      </c>
      <c r="G30" s="324">
        <f t="shared" si="8"/>
        <v>5531.4752518032665</v>
      </c>
      <c r="H30" s="324">
        <f t="shared" si="8"/>
        <v>5518.9142792815155</v>
      </c>
      <c r="I30" s="324">
        <f t="shared" si="8"/>
        <v>5506.381830439888</v>
      </c>
      <c r="J30" s="324">
        <f t="shared" si="8"/>
        <v>5493.877840506303</v>
      </c>
      <c r="K30" s="324">
        <f t="shared" si="8"/>
        <v>5481.402244855765</v>
      </c>
      <c r="L30" s="324">
        <f t="shared" si="8"/>
        <v>5468.954979010031</v>
      </c>
      <c r="M30" s="324">
        <f t="shared" si="8"/>
        <v>5456.535978637276</v>
      </c>
      <c r="N30" s="324">
        <f t="shared" si="8"/>
        <v>5444.145179551758</v>
      </c>
      <c r="O30" s="324">
        <f t="shared" si="8"/>
        <v>5431.782517713494</v>
      </c>
      <c r="P30" s="324">
        <f t="shared" si="8"/>
        <v>5419.447929227921</v>
      </c>
      <c r="Q30" s="324">
        <f t="shared" si="8"/>
        <v>5407.141350345571</v>
      </c>
      <c r="R30" s="324">
        <f t="shared" si="8"/>
        <v>5394.862717461736</v>
      </c>
      <c r="S30" s="324">
        <f t="shared" si="8"/>
        <v>5382.611967116145</v>
      </c>
      <c r="T30" s="324">
        <f t="shared" si="8"/>
        <v>5370.389035992635</v>
      </c>
      <c r="U30" s="324">
        <f t="shared" si="8"/>
        <v>5358.193860918821</v>
      </c>
      <c r="V30" s="324">
        <f t="shared" si="8"/>
        <v>5346.026378865769</v>
      </c>
      <c r="W30" s="324">
        <f t="shared" si="8"/>
        <v>5333.886526947677</v>
      </c>
      <c r="X30" s="324">
        <f t="shared" si="8"/>
        <v>5321.77424242154</v>
      </c>
      <c r="Y30" s="324">
        <f t="shared" si="8"/>
        <v>5309.689462686834</v>
      </c>
      <c r="Z30" s="324">
        <f t="shared" si="8"/>
        <v>5297.63212528519</v>
      </c>
      <c r="AA30" s="324">
        <f t="shared" si="8"/>
        <v>5285.602167900069</v>
      </c>
      <c r="AB30" s="324">
        <f t="shared" si="8"/>
        <v>5273.59952835644</v>
      </c>
      <c r="AC30" s="324">
        <f t="shared" si="8"/>
        <v>5261.624144620463</v>
      </c>
      <c r="AD30" s="398">
        <f t="shared" si="9"/>
        <v>5261.624144620463</v>
      </c>
      <c r="AE30" s="399">
        <f>SUM(AD27:AD30)</f>
        <v>145333.93206590135</v>
      </c>
      <c r="AF30" s="400"/>
    </row>
    <row r="31" spans="1:32" ht="13.5" thickBot="1">
      <c r="A31" s="51" t="s">
        <v>10</v>
      </c>
      <c r="B31" s="27">
        <f>'Existing Space Heating Units'!B26</f>
        <v>0.06</v>
      </c>
      <c r="C31" s="323">
        <f>'Existing Space Heating Units'!C26</f>
        <v>0</v>
      </c>
      <c r="D31" s="324">
        <f t="shared" si="7"/>
        <v>12472.964364175485</v>
      </c>
      <c r="E31" s="324">
        <f t="shared" si="8"/>
        <v>12444.64053454394</v>
      </c>
      <c r="F31" s="324">
        <f t="shared" si="8"/>
        <v>12416.381023169193</v>
      </c>
      <c r="G31" s="324">
        <f t="shared" si="8"/>
        <v>12388.185683996198</v>
      </c>
      <c r="H31" s="324">
        <f t="shared" si="8"/>
        <v>12360.054371301581</v>
      </c>
      <c r="I31" s="324">
        <f t="shared" si="8"/>
        <v>12331.98693969287</v>
      </c>
      <c r="J31" s="324">
        <f t="shared" si="8"/>
        <v>12303.98324410776</v>
      </c>
      <c r="K31" s="324">
        <f t="shared" si="8"/>
        <v>12276.043139813353</v>
      </c>
      <c r="L31" s="324">
        <f t="shared" si="8"/>
        <v>12248.166482405413</v>
      </c>
      <c r="M31" s="324">
        <f t="shared" si="8"/>
        <v>12220.35312780762</v>
      </c>
      <c r="N31" s="324">
        <f t="shared" si="8"/>
        <v>12192.602932270825</v>
      </c>
      <c r="O31" s="324">
        <f t="shared" si="8"/>
        <v>12164.915752372308</v>
      </c>
      <c r="P31" s="324">
        <f t="shared" si="8"/>
        <v>12137.291445015037</v>
      </c>
      <c r="Q31" s="324">
        <f t="shared" si="8"/>
        <v>12109.729867426922</v>
      </c>
      <c r="R31" s="324">
        <f t="shared" si="8"/>
        <v>12082.23087716009</v>
      </c>
      <c r="S31" s="324">
        <f t="shared" si="8"/>
        <v>12054.794332090132</v>
      </c>
      <c r="T31" s="324">
        <f t="shared" si="8"/>
        <v>12027.420090415386</v>
      </c>
      <c r="U31" s="324">
        <f t="shared" si="8"/>
        <v>12000.108010656193</v>
      </c>
      <c r="V31" s="324">
        <f t="shared" si="8"/>
        <v>11972.857951654167</v>
      </c>
      <c r="W31" s="324">
        <f t="shared" si="8"/>
        <v>11945.669772571468</v>
      </c>
      <c r="X31" s="324">
        <f t="shared" si="8"/>
        <v>11918.54333289007</v>
      </c>
      <c r="Y31" s="324">
        <f t="shared" si="8"/>
        <v>11891.478492411046</v>
      </c>
      <c r="Z31" s="324">
        <f t="shared" si="8"/>
        <v>11864.475111253829</v>
      </c>
      <c r="AA31" s="324">
        <f t="shared" si="8"/>
        <v>11837.533049855494</v>
      </c>
      <c r="AB31" s="324">
        <f t="shared" si="8"/>
        <v>11810.652168970042</v>
      </c>
      <c r="AC31" s="324">
        <f t="shared" si="8"/>
        <v>11783.832329667675</v>
      </c>
      <c r="AD31" s="408">
        <f t="shared" si="9"/>
        <v>11783.832329667675</v>
      </c>
      <c r="AE31" s="409"/>
      <c r="AF31" s="410"/>
    </row>
    <row r="32" spans="1:32" ht="12.75">
      <c r="A32" s="325"/>
      <c r="B32" s="157">
        <f>'Existing Space Heating Units'!B27</f>
        <v>0</v>
      </c>
      <c r="C32" s="323">
        <f>'Existing Space Heating Units'!C27</f>
        <v>0</v>
      </c>
      <c r="D32" s="324">
        <f t="shared" si="7"/>
        <v>0</v>
      </c>
      <c r="E32" s="324">
        <f t="shared" si="8"/>
        <v>0</v>
      </c>
      <c r="F32" s="324">
        <f t="shared" si="8"/>
        <v>0</v>
      </c>
      <c r="G32" s="324">
        <f t="shared" si="8"/>
        <v>0</v>
      </c>
      <c r="H32" s="324">
        <f t="shared" si="8"/>
        <v>0</v>
      </c>
      <c r="I32" s="324">
        <f t="shared" si="8"/>
        <v>0</v>
      </c>
      <c r="J32" s="324">
        <f t="shared" si="8"/>
        <v>0</v>
      </c>
      <c r="K32" s="324">
        <f t="shared" si="8"/>
        <v>0</v>
      </c>
      <c r="L32" s="324">
        <f t="shared" si="8"/>
        <v>0</v>
      </c>
      <c r="M32" s="324">
        <f t="shared" si="8"/>
        <v>0</v>
      </c>
      <c r="N32" s="324">
        <f t="shared" si="8"/>
        <v>0</v>
      </c>
      <c r="O32" s="324">
        <f t="shared" si="8"/>
        <v>0</v>
      </c>
      <c r="P32" s="324">
        <f t="shared" si="8"/>
        <v>0</v>
      </c>
      <c r="Q32" s="324">
        <f t="shared" si="8"/>
        <v>0</v>
      </c>
      <c r="R32" s="324">
        <f t="shared" si="8"/>
        <v>0</v>
      </c>
      <c r="S32" s="324">
        <f t="shared" si="8"/>
        <v>0</v>
      </c>
      <c r="T32" s="324">
        <f t="shared" si="8"/>
        <v>0</v>
      </c>
      <c r="U32" s="324">
        <f t="shared" si="8"/>
        <v>0</v>
      </c>
      <c r="V32" s="324">
        <f t="shared" si="8"/>
        <v>0</v>
      </c>
      <c r="W32" s="324">
        <f t="shared" si="8"/>
        <v>0</v>
      </c>
      <c r="X32" s="324">
        <f t="shared" si="8"/>
        <v>0</v>
      </c>
      <c r="Y32" s="324">
        <f t="shared" si="8"/>
        <v>0</v>
      </c>
      <c r="Z32" s="324">
        <f t="shared" si="8"/>
        <v>0</v>
      </c>
      <c r="AA32" s="324">
        <f t="shared" si="8"/>
        <v>0</v>
      </c>
      <c r="AB32" s="324">
        <f t="shared" si="8"/>
        <v>0</v>
      </c>
      <c r="AC32" s="324">
        <f t="shared" si="8"/>
        <v>0</v>
      </c>
      <c r="AD32" s="411">
        <f t="shared" si="9"/>
        <v>0</v>
      </c>
      <c r="AE32" s="404" t="s">
        <v>176</v>
      </c>
      <c r="AF32" s="405" t="s">
        <v>177</v>
      </c>
    </row>
    <row r="33" spans="1:32" ht="13.5" thickBot="1">
      <c r="A33" s="52" t="s">
        <v>26</v>
      </c>
      <c r="B33" s="160">
        <f>'Existing Space Heating Units'!B28</f>
        <v>0.1</v>
      </c>
      <c r="C33" s="323">
        <f>'Existing Space Heating Units'!C28</f>
        <v>0</v>
      </c>
      <c r="D33" s="324">
        <f t="shared" si="7"/>
        <v>20788.273940292478</v>
      </c>
      <c r="E33" s="324">
        <f t="shared" si="8"/>
        <v>20741.067557573235</v>
      </c>
      <c r="F33" s="324">
        <f t="shared" si="8"/>
        <v>20693.968371948657</v>
      </c>
      <c r="G33" s="324">
        <f t="shared" si="8"/>
        <v>20646.97613999367</v>
      </c>
      <c r="H33" s="324">
        <f t="shared" si="8"/>
        <v>20600.09061883597</v>
      </c>
      <c r="I33" s="324">
        <f t="shared" si="8"/>
        <v>20553.311566154785</v>
      </c>
      <c r="J33" s="324">
        <f t="shared" si="8"/>
        <v>20506.638740179602</v>
      </c>
      <c r="K33" s="324">
        <f t="shared" si="8"/>
        <v>20460.071899688923</v>
      </c>
      <c r="L33" s="324">
        <f t="shared" si="8"/>
        <v>20413.610804009022</v>
      </c>
      <c r="M33" s="324">
        <f t="shared" si="8"/>
        <v>20367.2552130127</v>
      </c>
      <c r="N33" s="324">
        <f t="shared" si="8"/>
        <v>20321.004887118044</v>
      </c>
      <c r="O33" s="324">
        <f t="shared" si="8"/>
        <v>20274.85958728718</v>
      </c>
      <c r="P33" s="324">
        <f t="shared" si="8"/>
        <v>20228.819075025065</v>
      </c>
      <c r="Q33" s="324">
        <f t="shared" si="8"/>
        <v>20182.883112378207</v>
      </c>
      <c r="R33" s="324">
        <f t="shared" si="8"/>
        <v>20137.051461933486</v>
      </c>
      <c r="S33" s="324">
        <f t="shared" si="8"/>
        <v>20091.32388681689</v>
      </c>
      <c r="T33" s="324">
        <f t="shared" si="8"/>
        <v>20045.70015069231</v>
      </c>
      <c r="U33" s="324">
        <f t="shared" si="8"/>
        <v>20000.180017760325</v>
      </c>
      <c r="V33" s="324">
        <f t="shared" si="8"/>
        <v>19954.763252756948</v>
      </c>
      <c r="W33" s="324">
        <f t="shared" si="8"/>
        <v>19909.449620952448</v>
      </c>
      <c r="X33" s="324">
        <f t="shared" si="8"/>
        <v>19864.23888815012</v>
      </c>
      <c r="Y33" s="324">
        <f aca="true" t="shared" si="11" ref="Y33:AD33">$B33*Y$22</f>
        <v>19819.13082068508</v>
      </c>
      <c r="Z33" s="324">
        <f t="shared" si="11"/>
        <v>19774.12518542305</v>
      </c>
      <c r="AA33" s="324">
        <f t="shared" si="11"/>
        <v>19729.22174975916</v>
      </c>
      <c r="AB33" s="324">
        <f t="shared" si="11"/>
        <v>19684.420281616738</v>
      </c>
      <c r="AC33" s="324">
        <f t="shared" si="11"/>
        <v>19639.720549446127</v>
      </c>
      <c r="AD33" s="412">
        <f t="shared" si="11"/>
        <v>19639.720549446127</v>
      </c>
      <c r="AE33" s="406">
        <f>B33-B28</f>
        <v>0.087086818575137</v>
      </c>
      <c r="AF33" s="400">
        <f>AF27*AE33</f>
        <v>1301.9407799745888</v>
      </c>
    </row>
    <row r="34" spans="1:31" ht="12.75">
      <c r="A34" s="51"/>
      <c r="B34" s="26"/>
      <c r="C34" s="328"/>
      <c r="D34" s="328"/>
      <c r="E34" s="328"/>
      <c r="F34" s="328"/>
      <c r="G34" s="328"/>
      <c r="H34" s="328"/>
      <c r="I34" s="328"/>
      <c r="J34" s="328"/>
      <c r="K34" s="328"/>
      <c r="L34" s="328"/>
      <c r="M34" s="328"/>
      <c r="N34" s="328"/>
      <c r="O34" s="328"/>
      <c r="P34" s="328"/>
      <c r="Q34" s="328"/>
      <c r="R34" s="328"/>
      <c r="S34" s="328"/>
      <c r="T34" s="328"/>
      <c r="U34" s="328"/>
      <c r="V34" s="328"/>
      <c r="W34" s="328"/>
      <c r="X34" s="328"/>
      <c r="Y34" s="1"/>
      <c r="Z34" s="157"/>
      <c r="AA34" s="157"/>
      <c r="AB34" s="157"/>
      <c r="AC34" s="157"/>
      <c r="AD34" s="340"/>
      <c r="AE34" s="24"/>
    </row>
    <row r="35" spans="1:31" ht="12.75">
      <c r="A35" s="53" t="s">
        <v>11</v>
      </c>
      <c r="B35" s="26"/>
      <c r="C35" s="312">
        <v>-0.01068698647741899</v>
      </c>
      <c r="D35" s="337">
        <f>D4</f>
        <v>127859</v>
      </c>
      <c r="E35" s="337">
        <f>D35*(1+$C35)</f>
        <v>126492.57259598369</v>
      </c>
      <c r="F35" s="337">
        <f aca="true" t="shared" si="12" ref="F35:AC35">E35*(1+$C35)</f>
        <v>125140.74818315648</v>
      </c>
      <c r="G35" s="337">
        <f t="shared" si="12"/>
        <v>123803.37069954899</v>
      </c>
      <c r="H35" s="337">
        <f t="shared" si="12"/>
        <v>122480.28575102403</v>
      </c>
      <c r="I35" s="337">
        <f t="shared" si="12"/>
        <v>121171.34059345242</v>
      </c>
      <c r="J35" s="337">
        <f t="shared" si="12"/>
        <v>119876.38411507946</v>
      </c>
      <c r="K35" s="337">
        <f t="shared" si="12"/>
        <v>118595.26681907973</v>
      </c>
      <c r="L35" s="337">
        <f t="shared" si="12"/>
        <v>117327.84080629834</v>
      </c>
      <c r="M35" s="337">
        <f t="shared" si="12"/>
        <v>116073.95975817666</v>
      </c>
      <c r="N35" s="337">
        <f t="shared" si="12"/>
        <v>114833.47891986056</v>
      </c>
      <c r="O35" s="337">
        <f t="shared" si="12"/>
        <v>113606.25508348903</v>
      </c>
      <c r="P35" s="337">
        <f t="shared" si="12"/>
        <v>112392.14657166158</v>
      </c>
      <c r="Q35" s="337">
        <f t="shared" si="12"/>
        <v>111191.01322108215</v>
      </c>
      <c r="R35" s="337">
        <f t="shared" si="12"/>
        <v>110002.71636637794</v>
      </c>
      <c r="S35" s="337">
        <f t="shared" si="12"/>
        <v>108827.1188240911</v>
      </c>
      <c r="T35" s="337">
        <f t="shared" si="12"/>
        <v>107664.08487684157</v>
      </c>
      <c r="U35" s="337">
        <f t="shared" si="12"/>
        <v>106513.48025765909</v>
      </c>
      <c r="V35" s="337">
        <f t="shared" si="12"/>
        <v>105375.17213448265</v>
      </c>
      <c r="W35" s="337">
        <f t="shared" si="12"/>
        <v>104249.02909482575</v>
      </c>
      <c r="X35" s="337">
        <f t="shared" si="12"/>
        <v>103134.92113060529</v>
      </c>
      <c r="Y35" s="337">
        <f t="shared" si="12"/>
        <v>102032.71962313284</v>
      </c>
      <c r="Z35" s="337">
        <f t="shared" si="12"/>
        <v>100942.29732826614</v>
      </c>
      <c r="AA35" s="337">
        <f t="shared" si="12"/>
        <v>99863.52836171936</v>
      </c>
      <c r="AB35" s="337">
        <f t="shared" si="12"/>
        <v>98796.28818453032</v>
      </c>
      <c r="AC35" s="337">
        <f t="shared" si="12"/>
        <v>97740.45358868306</v>
      </c>
      <c r="AD35" s="338">
        <f>AC35</f>
        <v>97740.45358868306</v>
      </c>
      <c r="AE35" s="24"/>
    </row>
    <row r="36" spans="1:31" ht="12.75">
      <c r="A36" s="51" t="s">
        <v>67</v>
      </c>
      <c r="B36" s="28">
        <f>'Existing Space Heating Units'!B31</f>
        <v>0.07705595698201982</v>
      </c>
      <c r="C36" s="323">
        <f>'Existing Space Heating Units'!C31</f>
        <v>0</v>
      </c>
      <c r="D36" s="324">
        <f aca="true" t="shared" si="13" ref="D36:D46">$B36*D$35</f>
        <v>9852.297603764073</v>
      </c>
      <c r="E36" s="324">
        <f aca="true" t="shared" si="14" ref="E36:AC46">$B36*E$35</f>
        <v>9747.006232501139</v>
      </c>
      <c r="F36" s="324">
        <f t="shared" si="14"/>
        <v>9642.840108699082</v>
      </c>
      <c r="G36" s="324">
        <f t="shared" si="14"/>
        <v>9539.7872068535</v>
      </c>
      <c r="H36" s="324">
        <f t="shared" si="14"/>
        <v>9437.835629976404</v>
      </c>
      <c r="I36" s="324">
        <f t="shared" si="14"/>
        <v>9336.973608222741</v>
      </c>
      <c r="J36" s="324">
        <f t="shared" si="14"/>
        <v>9237.189497531646</v>
      </c>
      <c r="K36" s="324">
        <f t="shared" si="14"/>
        <v>9138.47177828217</v>
      </c>
      <c r="L36" s="324">
        <f t="shared" si="14"/>
        <v>9040.809053963394</v>
      </c>
      <c r="M36" s="324">
        <f t="shared" si="14"/>
        <v>8944.19004985876</v>
      </c>
      <c r="N36" s="324">
        <f t="shared" si="14"/>
        <v>8848.603611744455</v>
      </c>
      <c r="O36" s="324">
        <f t="shared" si="14"/>
        <v>8754.0387046017</v>
      </c>
      <c r="P36" s="324">
        <f t="shared" si="14"/>
        <v>8660.48441134282</v>
      </c>
      <c r="Q36" s="324">
        <f t="shared" si="14"/>
        <v>8567.929931550903</v>
      </c>
      <c r="R36" s="324">
        <f t="shared" si="14"/>
        <v>8476.364580232947</v>
      </c>
      <c r="S36" s="324">
        <f t="shared" si="14"/>
        <v>8385.777786586323</v>
      </c>
      <c r="T36" s="324">
        <f t="shared" si="14"/>
        <v>8296.159092778435</v>
      </c>
      <c r="U36" s="324">
        <f t="shared" si="14"/>
        <v>8207.498152739396</v>
      </c>
      <c r="V36" s="324">
        <f t="shared" si="14"/>
        <v>8119.784730967629</v>
      </c>
      <c r="W36" s="324">
        <f t="shared" si="14"/>
        <v>8033.008701348225</v>
      </c>
      <c r="X36" s="324">
        <f t="shared" si="14"/>
        <v>7947.160045983928</v>
      </c>
      <c r="Y36" s="324">
        <f t="shared" si="14"/>
        <v>7862.228854038614</v>
      </c>
      <c r="Z36" s="324">
        <f t="shared" si="14"/>
        <v>7778.20532059313</v>
      </c>
      <c r="AA36" s="324">
        <f t="shared" si="14"/>
        <v>7695.079745513363</v>
      </c>
      <c r="AB36" s="324">
        <f t="shared" si="14"/>
        <v>7612.842532330402</v>
      </c>
      <c r="AC36" s="324">
        <f t="shared" si="14"/>
        <v>7531.484187132666</v>
      </c>
      <c r="AD36" s="339">
        <f aca="true" t="shared" si="15" ref="AD36:AD45">$B36*AD$35</f>
        <v>7531.484187132666</v>
      </c>
      <c r="AE36" s="24"/>
    </row>
    <row r="37" spans="1:31" ht="12.75">
      <c r="A37" s="51" t="s">
        <v>68</v>
      </c>
      <c r="B37" s="28">
        <f>'Existing Space Heating Units'!B32</f>
        <v>0.012944043017980173</v>
      </c>
      <c r="C37" s="323">
        <f>'Existing Space Heating Units'!C32</f>
        <v>0</v>
      </c>
      <c r="D37" s="324">
        <f t="shared" si="13"/>
        <v>1655.012396235927</v>
      </c>
      <c r="E37" s="324">
        <f aca="true" t="shared" si="16" ref="E37:S37">$B37*E$35</f>
        <v>1637.325301137393</v>
      </c>
      <c r="F37" s="324">
        <f t="shared" si="16"/>
        <v>1619.8272277850017</v>
      </c>
      <c r="G37" s="324">
        <f t="shared" si="16"/>
        <v>1602.5161561059083</v>
      </c>
      <c r="H37" s="324">
        <f t="shared" si="16"/>
        <v>1585.390087615759</v>
      </c>
      <c r="I37" s="324">
        <f t="shared" si="16"/>
        <v>1568.4470451879754</v>
      </c>
      <c r="J37" s="324">
        <f t="shared" si="16"/>
        <v>1551.6850728255038</v>
      </c>
      <c r="K37" s="324">
        <f t="shared" si="16"/>
        <v>1535.1022354350048</v>
      </c>
      <c r="L37" s="324">
        <f t="shared" si="16"/>
        <v>1518.6966186034554</v>
      </c>
      <c r="M37" s="324">
        <f t="shared" si="16"/>
        <v>1502.466328377138</v>
      </c>
      <c r="N37" s="324">
        <f t="shared" si="16"/>
        <v>1486.4094910429944</v>
      </c>
      <c r="O37" s="324">
        <f t="shared" si="16"/>
        <v>1470.5242529123107</v>
      </c>
      <c r="P37" s="324">
        <f t="shared" si="16"/>
        <v>1454.8087801067204</v>
      </c>
      <c r="Q37" s="324">
        <f t="shared" si="16"/>
        <v>1439.2612583464895</v>
      </c>
      <c r="R37" s="324">
        <f t="shared" si="16"/>
        <v>1423.8798927410676</v>
      </c>
      <c r="S37" s="324">
        <f t="shared" si="16"/>
        <v>1408.662907581875</v>
      </c>
      <c r="T37" s="324">
        <f t="shared" si="14"/>
        <v>1393.608546137306</v>
      </c>
      <c r="U37" s="324">
        <f t="shared" si="14"/>
        <v>1378.715070449921</v>
      </c>
      <c r="V37" s="324">
        <f t="shared" si="14"/>
        <v>1363.9807611358092</v>
      </c>
      <c r="W37" s="324">
        <f t="shared" si="14"/>
        <v>1349.4039171860911</v>
      </c>
      <c r="X37" s="324">
        <f t="shared" si="14"/>
        <v>1334.9828557705473</v>
      </c>
      <c r="Y37" s="324">
        <f t="shared" si="14"/>
        <v>1320.7159120433414</v>
      </c>
      <c r="Z37" s="324">
        <f t="shared" si="14"/>
        <v>1306.601438950822</v>
      </c>
      <c r="AA37" s="324">
        <f t="shared" si="14"/>
        <v>1292.6378070413787</v>
      </c>
      <c r="AB37" s="324">
        <f t="shared" si="14"/>
        <v>1278.8234042773267</v>
      </c>
      <c r="AC37" s="324">
        <f t="shared" si="14"/>
        <v>1265.156635848808</v>
      </c>
      <c r="AD37" s="339">
        <f t="shared" si="15"/>
        <v>1265.156635848808</v>
      </c>
      <c r="AE37" s="24"/>
    </row>
    <row r="38" spans="1:31" ht="12.75">
      <c r="A38" s="51" t="s">
        <v>69</v>
      </c>
      <c r="B38" s="28">
        <f>'Existing Space Heating Units'!B33</f>
        <v>0.008561772998002202</v>
      </c>
      <c r="C38" s="323">
        <f>'Existing Space Heating Units'!C33</f>
        <v>0</v>
      </c>
      <c r="D38" s="324">
        <f t="shared" si="13"/>
        <v>1094.6997337515636</v>
      </c>
      <c r="E38" s="324">
        <f t="shared" si="14"/>
        <v>1083.0006925001264</v>
      </c>
      <c r="F38" s="324">
        <f t="shared" si="14"/>
        <v>1071.4266787443423</v>
      </c>
      <c r="G38" s="324">
        <f t="shared" si="14"/>
        <v>1059.9763563170557</v>
      </c>
      <c r="H38" s="324">
        <f t="shared" si="14"/>
        <v>1048.6484033307113</v>
      </c>
      <c r="I38" s="324">
        <f t="shared" si="14"/>
        <v>1037.441512024749</v>
      </c>
      <c r="J38" s="324">
        <f t="shared" si="14"/>
        <v>1026.3543886146274</v>
      </c>
      <c r="K38" s="324">
        <f t="shared" si="14"/>
        <v>1015.3857531424633</v>
      </c>
      <c r="L38" s="324">
        <f t="shared" si="14"/>
        <v>1004.534339329266</v>
      </c>
      <c r="M38" s="324">
        <f t="shared" si="14"/>
        <v>993.7988944287512</v>
      </c>
      <c r="N38" s="324">
        <f t="shared" si="14"/>
        <v>983.1781790827172</v>
      </c>
      <c r="O38" s="324">
        <f t="shared" si="14"/>
        <v>972.6709671779668</v>
      </c>
      <c r="P38" s="324">
        <f t="shared" si="14"/>
        <v>962.2760457047578</v>
      </c>
      <c r="Q38" s="324">
        <f t="shared" si="14"/>
        <v>951.992214616767</v>
      </c>
      <c r="R38" s="324">
        <f t="shared" si="14"/>
        <v>941.8182866925496</v>
      </c>
      <c r="S38" s="324">
        <f t="shared" si="14"/>
        <v>931.7530873984804</v>
      </c>
      <c r="T38" s="324">
        <f t="shared" si="14"/>
        <v>921.7954547531594</v>
      </c>
      <c r="U38" s="324">
        <f t="shared" si="14"/>
        <v>911.9442391932662</v>
      </c>
      <c r="V38" s="324">
        <f t="shared" si="14"/>
        <v>902.1983034408477</v>
      </c>
      <c r="W38" s="324">
        <f t="shared" si="14"/>
        <v>892.556522372025</v>
      </c>
      <c r="X38" s="324">
        <f t="shared" si="14"/>
        <v>883.0177828871031</v>
      </c>
      <c r="Y38" s="324">
        <f t="shared" si="14"/>
        <v>873.5809837820682</v>
      </c>
      <c r="Z38" s="324">
        <f t="shared" si="14"/>
        <v>864.2450356214589</v>
      </c>
      <c r="AA38" s="324">
        <f t="shared" si="14"/>
        <v>855.008860612596</v>
      </c>
      <c r="AB38" s="324">
        <f t="shared" si="14"/>
        <v>845.8713924811557</v>
      </c>
      <c r="AC38" s="324">
        <f t="shared" si="14"/>
        <v>836.831576348074</v>
      </c>
      <c r="AD38" s="339">
        <f t="shared" si="15"/>
        <v>836.831576348074</v>
      </c>
      <c r="AE38" s="24"/>
    </row>
    <row r="39" spans="1:31" ht="13.5" thickBot="1">
      <c r="A39" s="51" t="s">
        <v>70</v>
      </c>
      <c r="B39" s="28">
        <f>'Existing Space Heating Units'!B34</f>
        <v>0.0014382270019977971</v>
      </c>
      <c r="C39" s="323">
        <f>'Existing Space Heating Units'!C34</f>
        <v>0</v>
      </c>
      <c r="D39" s="324">
        <f t="shared" si="13"/>
        <v>183.89026624843635</v>
      </c>
      <c r="E39" s="324">
        <f t="shared" si="14"/>
        <v>181.92503345971033</v>
      </c>
      <c r="F39" s="324">
        <f t="shared" si="14"/>
        <v>179.98080308722243</v>
      </c>
      <c r="G39" s="324">
        <f t="shared" si="14"/>
        <v>178.05735067843426</v>
      </c>
      <c r="H39" s="324">
        <f t="shared" si="14"/>
        <v>176.1544541795288</v>
      </c>
      <c r="I39" s="324">
        <f t="shared" si="14"/>
        <v>174.27189390977506</v>
      </c>
      <c r="J39" s="324">
        <f t="shared" si="14"/>
        <v>172.4094525361671</v>
      </c>
      <c r="K39" s="324">
        <f t="shared" si="14"/>
        <v>170.56691504833387</v>
      </c>
      <c r="L39" s="324">
        <f t="shared" si="14"/>
        <v>168.74406873371726</v>
      </c>
      <c r="M39" s="324">
        <f t="shared" si="14"/>
        <v>166.94070315301536</v>
      </c>
      <c r="N39" s="324">
        <f t="shared" si="14"/>
        <v>165.1566101158883</v>
      </c>
      <c r="O39" s="324">
        <f t="shared" si="14"/>
        <v>163.39158365692342</v>
      </c>
      <c r="P39" s="324">
        <f t="shared" si="14"/>
        <v>161.64542001185782</v>
      </c>
      <c r="Q39" s="324">
        <f t="shared" si="14"/>
        <v>159.91791759405442</v>
      </c>
      <c r="R39" s="324">
        <f t="shared" si="14"/>
        <v>158.20887697122976</v>
      </c>
      <c r="S39" s="324">
        <f t="shared" si="14"/>
        <v>156.51810084243058</v>
      </c>
      <c r="T39" s="324">
        <f t="shared" si="14"/>
        <v>154.84539401525623</v>
      </c>
      <c r="U39" s="324">
        <f t="shared" si="14"/>
        <v>153.1905633833246</v>
      </c>
      <c r="V39" s="324">
        <f t="shared" si="14"/>
        <v>151.5534179039788</v>
      </c>
      <c r="W39" s="324">
        <f t="shared" si="14"/>
        <v>149.93376857623235</v>
      </c>
      <c r="X39" s="324">
        <f t="shared" si="14"/>
        <v>148.3314284189497</v>
      </c>
      <c r="Y39" s="324">
        <f t="shared" si="14"/>
        <v>146.74621244926016</v>
      </c>
      <c r="Z39" s="324">
        <f t="shared" si="14"/>
        <v>145.17793766120246</v>
      </c>
      <c r="AA39" s="324">
        <f t="shared" si="14"/>
        <v>143.62642300459763</v>
      </c>
      <c r="AB39" s="324">
        <f t="shared" si="14"/>
        <v>142.09148936414744</v>
      </c>
      <c r="AC39" s="324">
        <f t="shared" si="14"/>
        <v>140.57295953875646</v>
      </c>
      <c r="AD39" s="339">
        <f t="shared" si="15"/>
        <v>140.57295953875646</v>
      </c>
      <c r="AE39" s="24"/>
    </row>
    <row r="40" spans="1:32" ht="12.75">
      <c r="A40" s="51" t="s">
        <v>71</v>
      </c>
      <c r="B40" s="28">
        <f>'Existing Space Heating Units'!B35</f>
        <v>0.6383351808928751</v>
      </c>
      <c r="C40" s="323">
        <f>'Existing Space Heating Units'!C35</f>
        <v>0.7800037681341455</v>
      </c>
      <c r="D40" s="324">
        <f t="shared" si="13"/>
        <v>81616.89789378212</v>
      </c>
      <c r="E40" s="324">
        <f t="shared" si="14"/>
        <v>80744.65920966238</v>
      </c>
      <c r="F40" s="324">
        <f t="shared" si="14"/>
        <v>79881.74212856492</v>
      </c>
      <c r="G40" s="324">
        <f t="shared" si="14"/>
        <v>79028.04703064427</v>
      </c>
      <c r="H40" s="324">
        <f t="shared" si="14"/>
        <v>78183.47536069095</v>
      </c>
      <c r="I40" s="324">
        <f t="shared" si="14"/>
        <v>77347.92961675364</v>
      </c>
      <c r="J40" s="324">
        <f t="shared" si="14"/>
        <v>76521.31333888303</v>
      </c>
      <c r="K40" s="324">
        <f t="shared" si="14"/>
        <v>75703.53109799605</v>
      </c>
      <c r="L40" s="324">
        <f t="shared" si="14"/>
        <v>74894.4884848589</v>
      </c>
      <c r="M40" s="324">
        <f t="shared" si="14"/>
        <v>74094.092099188</v>
      </c>
      <c r="N40" s="324">
        <f t="shared" si="14"/>
        <v>73302.24953886736</v>
      </c>
      <c r="O40" s="324">
        <f t="shared" si="14"/>
        <v>72518.86938928108</v>
      </c>
      <c r="P40" s="324">
        <f t="shared" si="14"/>
        <v>71743.86121276012</v>
      </c>
      <c r="Q40" s="324">
        <f t="shared" si="14"/>
        <v>70977.13553814153</v>
      </c>
      <c r="R40" s="324">
        <f t="shared" si="14"/>
        <v>70218.6038504395</v>
      </c>
      <c r="S40" s="324">
        <f t="shared" si="14"/>
        <v>69468.17858062661</v>
      </c>
      <c r="T40" s="324">
        <f t="shared" si="14"/>
        <v>68725.77309552452</v>
      </c>
      <c r="U40" s="324">
        <f t="shared" si="14"/>
        <v>67991.3016878025</v>
      </c>
      <c r="V40" s="324">
        <f t="shared" si="14"/>
        <v>67264.67956608284</v>
      </c>
      <c r="W40" s="324">
        <f t="shared" si="14"/>
        <v>66545.82284515219</v>
      </c>
      <c r="X40" s="324">
        <f t="shared" si="14"/>
        <v>65834.64853627734</v>
      </c>
      <c r="Y40" s="324">
        <f t="shared" si="14"/>
        <v>65131.07453762451</v>
      </c>
      <c r="Z40" s="324">
        <f t="shared" si="14"/>
        <v>64435.01962478115</v>
      </c>
      <c r="AA40" s="324">
        <f t="shared" si="14"/>
        <v>63746.40344137889</v>
      </c>
      <c r="AB40" s="324">
        <f t="shared" si="14"/>
        <v>63065.14648981678</v>
      </c>
      <c r="AC40" s="324">
        <f t="shared" si="14"/>
        <v>62391.17012208366</v>
      </c>
      <c r="AD40" s="396">
        <f t="shared" si="15"/>
        <v>62391.17012208366</v>
      </c>
      <c r="AE40" s="393">
        <f>AD40/(SUM(AD$40:AD$43))</f>
        <v>0.75992283439628</v>
      </c>
      <c r="AF40" s="394">
        <f>AE40*AE$43</f>
        <v>62391.17012208367</v>
      </c>
    </row>
    <row r="41" spans="1:32" ht="12.75">
      <c r="A41" s="51" t="s">
        <v>9</v>
      </c>
      <c r="B41" s="28">
        <f>'Existing Space Heating Units'!B36</f>
        <v>0.07519197823238939</v>
      </c>
      <c r="C41" s="323">
        <f>'Existing Space Heating Units'!C36</f>
        <v>0.0918796709162846</v>
      </c>
      <c r="D41" s="324">
        <f t="shared" si="13"/>
        <v>9613.971144815076</v>
      </c>
      <c r="E41" s="324">
        <f t="shared" si="14"/>
        <v>9511.226765196141</v>
      </c>
      <c r="F41" s="324">
        <f t="shared" si="14"/>
        <v>9409.580413372825</v>
      </c>
      <c r="G41" s="324">
        <f t="shared" si="14"/>
        <v>9309.020354736922</v>
      </c>
      <c r="H41" s="324">
        <f t="shared" si="14"/>
        <v>9209.534980087832</v>
      </c>
      <c r="I41" s="324">
        <f t="shared" si="14"/>
        <v>9111.112804292316</v>
      </c>
      <c r="J41" s="324">
        <f t="shared" si="14"/>
        <v>9013.742464958605</v>
      </c>
      <c r="K41" s="324">
        <f t="shared" si="14"/>
        <v>8917.412721124654</v>
      </c>
      <c r="L41" s="324">
        <f t="shared" si="14"/>
        <v>8822.112451960433</v>
      </c>
      <c r="M41" s="324">
        <f t="shared" si="14"/>
        <v>8727.830655484062</v>
      </c>
      <c r="N41" s="324">
        <f t="shared" si="14"/>
        <v>8634.556447291701</v>
      </c>
      <c r="O41" s="324">
        <f t="shared" si="14"/>
        <v>8542.279059300983</v>
      </c>
      <c r="P41" s="324">
        <f t="shared" si="14"/>
        <v>8450.987838507896</v>
      </c>
      <c r="Q41" s="324">
        <f t="shared" si="14"/>
        <v>8360.67224575693</v>
      </c>
      <c r="R41" s="324">
        <f t="shared" si="14"/>
        <v>8271.321854524394</v>
      </c>
      <c r="S41" s="324">
        <f t="shared" si="14"/>
        <v>8182.926349714712</v>
      </c>
      <c r="T41" s="324">
        <f t="shared" si="14"/>
        <v>8095.475526469596</v>
      </c>
      <c r="U41" s="324">
        <f t="shared" si="14"/>
        <v>8008.9592889899395</v>
      </c>
      <c r="V41" s="324">
        <f t="shared" si="14"/>
        <v>7923.367649370305</v>
      </c>
      <c r="W41" s="324">
        <f t="shared" si="14"/>
        <v>7838.690726445866</v>
      </c>
      <c r="X41" s="324">
        <f t="shared" si="14"/>
        <v>7754.91874465167</v>
      </c>
      <c r="Y41" s="324">
        <f t="shared" si="14"/>
        <v>7672.0420328940945</v>
      </c>
      <c r="Z41" s="324">
        <f t="shared" si="14"/>
        <v>7590.051023434366</v>
      </c>
      <c r="AA41" s="324">
        <f t="shared" si="14"/>
        <v>7508.936250784003</v>
      </c>
      <c r="AB41" s="324">
        <f t="shared" si="14"/>
        <v>7428.688350612073</v>
      </c>
      <c r="AC41" s="324">
        <f t="shared" si="14"/>
        <v>7349.298058664122</v>
      </c>
      <c r="AD41" s="397">
        <f t="shared" si="15"/>
        <v>7349.298058664122</v>
      </c>
      <c r="AE41" s="391">
        <f>AD41/(SUM(AD$40:AD$43))</f>
        <v>0.08951425980046357</v>
      </c>
      <c r="AF41" s="395">
        <f>AE41*AE$43</f>
        <v>7349.298058664122</v>
      </c>
    </row>
    <row r="42" spans="1:32" ht="12.75">
      <c r="A42" s="51" t="s">
        <v>73</v>
      </c>
      <c r="B42" s="28">
        <f>'Existing Space Heating Units'!B37</f>
        <v>0.10484732439786355</v>
      </c>
      <c r="C42" s="323">
        <f>'Existing Space Heating Units'!C37</f>
        <v>0.1281165609495698</v>
      </c>
      <c r="D42" s="324">
        <f t="shared" si="13"/>
        <v>13405.674050186437</v>
      </c>
      <c r="E42" s="324">
        <f t="shared" si="14"/>
        <v>13262.407792891407</v>
      </c>
      <c r="F42" s="324">
        <f t="shared" si="14"/>
        <v>13120.67262015076</v>
      </c>
      <c r="G42" s="324">
        <f t="shared" si="14"/>
        <v>12980.452169284568</v>
      </c>
      <c r="H42" s="324">
        <f t="shared" si="14"/>
        <v>12841.730252480642</v>
      </c>
      <c r="I42" s="324">
        <f t="shared" si="14"/>
        <v>12704.490854925718</v>
      </c>
      <c r="J42" s="324">
        <f t="shared" si="14"/>
        <v>12568.718132956634</v>
      </c>
      <c r="K42" s="324">
        <f t="shared" si="14"/>
        <v>12434.396412231235</v>
      </c>
      <c r="L42" s="324">
        <f t="shared" si="14"/>
        <v>12301.510185918854</v>
      </c>
      <c r="M42" s="324">
        <f t="shared" si="14"/>
        <v>12170.044112910107</v>
      </c>
      <c r="N42" s="324">
        <f t="shared" si="14"/>
        <v>12039.983016045846</v>
      </c>
      <c r="O42" s="324">
        <f t="shared" si="14"/>
        <v>11911.311880365009</v>
      </c>
      <c r="P42" s="324">
        <f t="shared" si="14"/>
        <v>11784.01585137123</v>
      </c>
      <c r="Q42" s="324">
        <f t="shared" si="14"/>
        <v>11658.080233317934</v>
      </c>
      <c r="R42" s="324">
        <f t="shared" si="14"/>
        <v>11533.4904875118</v>
      </c>
      <c r="S42" s="324">
        <f t="shared" si="14"/>
        <v>11410.232230634323</v>
      </c>
      <c r="T42" s="324">
        <f t="shared" si="14"/>
        <v>11288.291233081323</v>
      </c>
      <c r="U42" s="324">
        <f t="shared" si="14"/>
        <v>11167.653417320218</v>
      </c>
      <c r="V42" s="324">
        <f t="shared" si="14"/>
        <v>11048.304856264815</v>
      </c>
      <c r="W42" s="324">
        <f t="shared" si="14"/>
        <v>10930.231771667512</v>
      </c>
      <c r="X42" s="324">
        <f t="shared" si="14"/>
        <v>10813.420532528646</v>
      </c>
      <c r="Y42" s="324">
        <f t="shared" si="14"/>
        <v>10697.857653522868</v>
      </c>
      <c r="Z42" s="324">
        <f t="shared" si="14"/>
        <v>10583.529793442316</v>
      </c>
      <c r="AA42" s="324">
        <f t="shared" si="14"/>
        <v>10470.423753656438</v>
      </c>
      <c r="AB42" s="324">
        <f t="shared" si="14"/>
        <v>10358.526476588264</v>
      </c>
      <c r="AC42" s="324">
        <f t="shared" si="14"/>
        <v>10247.825044206978</v>
      </c>
      <c r="AD42" s="397">
        <f t="shared" si="15"/>
        <v>10247.825044206978</v>
      </c>
      <c r="AE42" s="391">
        <f>AD42/(SUM(AD$40:AD$43))</f>
        <v>0.12481824333078993</v>
      </c>
      <c r="AF42" s="395">
        <f>AE42*AE$43</f>
        <v>10247.825044206978</v>
      </c>
    </row>
    <row r="43" spans="1:32" ht="13.5" thickBot="1">
      <c r="A43" s="51" t="s">
        <v>72</v>
      </c>
      <c r="B43" s="28">
        <f>'Existing Space Heating Units'!B38</f>
        <v>0.021625516476871894</v>
      </c>
      <c r="C43" s="323">
        <f>'Existing Space Heating Units'!C38</f>
        <v>0</v>
      </c>
      <c r="D43" s="324">
        <f t="shared" si="13"/>
        <v>2765.0169112163635</v>
      </c>
      <c r="E43" s="324">
        <f t="shared" si="14"/>
        <v>2735.4672128763596</v>
      </c>
      <c r="F43" s="324">
        <f t="shared" si="14"/>
        <v>2706.233311762927</v>
      </c>
      <c r="G43" s="324">
        <f t="shared" si="14"/>
        <v>2677.311832955376</v>
      </c>
      <c r="H43" s="324">
        <f t="shared" si="14"/>
        <v>2648.699437600748</v>
      </c>
      <c r="I43" s="324">
        <f t="shared" si="14"/>
        <v>2620.3928225283616</v>
      </c>
      <c r="J43" s="324">
        <f t="shared" si="14"/>
        <v>2592.388719868475</v>
      </c>
      <c r="K43" s="324">
        <f t="shared" si="14"/>
        <v>2564.683896675027</v>
      </c>
      <c r="L43" s="324">
        <f t="shared" si="14"/>
        <v>2537.275154552407</v>
      </c>
      <c r="M43" s="324">
        <f t="shared" si="14"/>
        <v>2510.1593292862144</v>
      </c>
      <c r="N43" s="324">
        <f t="shared" si="14"/>
        <v>2483.333290477966</v>
      </c>
      <c r="O43" s="324">
        <f t="shared" si="14"/>
        <v>2456.7939411837033</v>
      </c>
      <c r="P43" s="324">
        <f t="shared" si="14"/>
        <v>2430.538217556468</v>
      </c>
      <c r="Q43" s="324">
        <f t="shared" si="14"/>
        <v>2404.5630884925927</v>
      </c>
      <c r="R43" s="324">
        <f t="shared" si="14"/>
        <v>2378.865555281772</v>
      </c>
      <c r="S43" s="324">
        <f t="shared" si="14"/>
        <v>2353.4426512608775</v>
      </c>
      <c r="T43" s="324">
        <f t="shared" si="14"/>
        <v>2328.2914414714714</v>
      </c>
      <c r="U43" s="324">
        <f t="shared" si="14"/>
        <v>2303.409022320976</v>
      </c>
      <c r="V43" s="324">
        <f t="shared" si="14"/>
        <v>2278.7925212474665</v>
      </c>
      <c r="W43" s="324">
        <f t="shared" si="14"/>
        <v>2254.4390963880514</v>
      </c>
      <c r="X43" s="324">
        <f t="shared" si="14"/>
        <v>2230.345936250788</v>
      </c>
      <c r="Y43" s="324">
        <f t="shared" si="14"/>
        <v>2206.5102593901092</v>
      </c>
      <c r="Z43" s="324">
        <f t="shared" si="14"/>
        <v>2182.929314085721</v>
      </c>
      <c r="AA43" s="324">
        <f t="shared" si="14"/>
        <v>2159.6003780249257</v>
      </c>
      <c r="AB43" s="324">
        <f t="shared" si="14"/>
        <v>2136.5207579883445</v>
      </c>
      <c r="AC43" s="324">
        <f t="shared" si="14"/>
        <v>2113.687789538998</v>
      </c>
      <c r="AD43" s="398">
        <f t="shared" si="15"/>
        <v>2113.687789538998</v>
      </c>
      <c r="AE43" s="399">
        <f>SUM(AD40:AD43)</f>
        <v>82101.98101449377</v>
      </c>
      <c r="AF43" s="400"/>
    </row>
    <row r="44" spans="1:32" ht="13.5" thickBot="1">
      <c r="A44" s="51" t="s">
        <v>10</v>
      </c>
      <c r="B44" s="28">
        <f>'Existing Space Heating Units'!B39</f>
        <v>0.06</v>
      </c>
      <c r="C44" s="323">
        <f>'Existing Space Heating Units'!C39</f>
        <v>0</v>
      </c>
      <c r="D44" s="324">
        <f t="shared" si="13"/>
        <v>7671.54</v>
      </c>
      <c r="E44" s="324">
        <f t="shared" si="14"/>
        <v>7589.554355759021</v>
      </c>
      <c r="F44" s="324">
        <f t="shared" si="14"/>
        <v>7508.444890989388</v>
      </c>
      <c r="G44" s="324">
        <f t="shared" si="14"/>
        <v>7428.202241972939</v>
      </c>
      <c r="H44" s="324">
        <f t="shared" si="14"/>
        <v>7348.817145061442</v>
      </c>
      <c r="I44" s="324">
        <f t="shared" si="14"/>
        <v>7270.280435607145</v>
      </c>
      <c r="J44" s="324">
        <f t="shared" si="14"/>
        <v>7192.583046904768</v>
      </c>
      <c r="K44" s="324">
        <f t="shared" si="14"/>
        <v>7115.716009144783</v>
      </c>
      <c r="L44" s="324">
        <f t="shared" si="14"/>
        <v>7039.6704483779</v>
      </c>
      <c r="M44" s="324">
        <f t="shared" si="14"/>
        <v>6964.437585490599</v>
      </c>
      <c r="N44" s="324">
        <f t="shared" si="14"/>
        <v>6890.008735191634</v>
      </c>
      <c r="O44" s="324">
        <f t="shared" si="14"/>
        <v>6816.375305009341</v>
      </c>
      <c r="P44" s="324">
        <f t="shared" si="14"/>
        <v>6743.528794299695</v>
      </c>
      <c r="Q44" s="324">
        <f t="shared" si="14"/>
        <v>6671.460793264929</v>
      </c>
      <c r="R44" s="324">
        <f t="shared" si="14"/>
        <v>6600.162981982676</v>
      </c>
      <c r="S44" s="324">
        <f t="shared" si="14"/>
        <v>6529.6271294454655</v>
      </c>
      <c r="T44" s="324">
        <f t="shared" si="14"/>
        <v>6459.845092610494</v>
      </c>
      <c r="U44" s="324">
        <f t="shared" si="14"/>
        <v>6390.808815459545</v>
      </c>
      <c r="V44" s="324">
        <f t="shared" si="14"/>
        <v>6322.510328068959</v>
      </c>
      <c r="W44" s="324">
        <f t="shared" si="14"/>
        <v>6254.941745689544</v>
      </c>
      <c r="X44" s="324">
        <f t="shared" si="14"/>
        <v>6188.095267836317</v>
      </c>
      <c r="Y44" s="324">
        <f t="shared" si="14"/>
        <v>6121.96317738797</v>
      </c>
      <c r="Z44" s="324">
        <f t="shared" si="14"/>
        <v>6056.537839695969</v>
      </c>
      <c r="AA44" s="324">
        <f t="shared" si="14"/>
        <v>5991.811701703162</v>
      </c>
      <c r="AB44" s="324">
        <f t="shared" si="14"/>
        <v>5927.777291071819</v>
      </c>
      <c r="AC44" s="324">
        <f t="shared" si="14"/>
        <v>5864.427215320983</v>
      </c>
      <c r="AD44" s="408">
        <f t="shared" si="15"/>
        <v>5864.427215320983</v>
      </c>
      <c r="AE44" s="409"/>
      <c r="AF44" s="410"/>
    </row>
    <row r="45" spans="1:32" ht="12.75">
      <c r="A45" s="195"/>
      <c r="B45" s="157">
        <f>'Existing Space Heating Units'!B40</f>
        <v>0</v>
      </c>
      <c r="C45" s="323">
        <f>'Existing Space Heating Units'!C40</f>
        <v>0</v>
      </c>
      <c r="D45" s="324">
        <f t="shared" si="13"/>
        <v>0</v>
      </c>
      <c r="E45" s="324">
        <f t="shared" si="14"/>
        <v>0</v>
      </c>
      <c r="F45" s="324">
        <f t="shared" si="14"/>
        <v>0</v>
      </c>
      <c r="G45" s="324">
        <f t="shared" si="14"/>
        <v>0</v>
      </c>
      <c r="H45" s="324">
        <f t="shared" si="14"/>
        <v>0</v>
      </c>
      <c r="I45" s="324">
        <f t="shared" si="14"/>
        <v>0</v>
      </c>
      <c r="J45" s="324">
        <f t="shared" si="14"/>
        <v>0</v>
      </c>
      <c r="K45" s="324">
        <f t="shared" si="14"/>
        <v>0</v>
      </c>
      <c r="L45" s="324">
        <f t="shared" si="14"/>
        <v>0</v>
      </c>
      <c r="M45" s="324">
        <f t="shared" si="14"/>
        <v>0</v>
      </c>
      <c r="N45" s="324">
        <f t="shared" si="14"/>
        <v>0</v>
      </c>
      <c r="O45" s="324">
        <f t="shared" si="14"/>
        <v>0</v>
      </c>
      <c r="P45" s="324">
        <f t="shared" si="14"/>
        <v>0</v>
      </c>
      <c r="Q45" s="324">
        <f t="shared" si="14"/>
        <v>0</v>
      </c>
      <c r="R45" s="324">
        <f t="shared" si="14"/>
        <v>0</v>
      </c>
      <c r="S45" s="324">
        <f t="shared" si="14"/>
        <v>0</v>
      </c>
      <c r="T45" s="324">
        <f t="shared" si="14"/>
        <v>0</v>
      </c>
      <c r="U45" s="324">
        <f t="shared" si="14"/>
        <v>0</v>
      </c>
      <c r="V45" s="324">
        <f t="shared" si="14"/>
        <v>0</v>
      </c>
      <c r="W45" s="324">
        <f t="shared" si="14"/>
        <v>0</v>
      </c>
      <c r="X45" s="324">
        <f t="shared" si="14"/>
        <v>0</v>
      </c>
      <c r="Y45" s="324">
        <f t="shared" si="14"/>
        <v>0</v>
      </c>
      <c r="Z45" s="324">
        <f t="shared" si="14"/>
        <v>0</v>
      </c>
      <c r="AA45" s="324">
        <f t="shared" si="14"/>
        <v>0</v>
      </c>
      <c r="AB45" s="324">
        <f t="shared" si="14"/>
        <v>0</v>
      </c>
      <c r="AC45" s="324">
        <f t="shared" si="14"/>
        <v>0</v>
      </c>
      <c r="AD45" s="411">
        <f t="shared" si="15"/>
        <v>0</v>
      </c>
      <c r="AE45" s="404" t="s">
        <v>176</v>
      </c>
      <c r="AF45" s="405" t="s">
        <v>177</v>
      </c>
    </row>
    <row r="46" spans="1:32" ht="13.5" thickBot="1">
      <c r="A46" s="55" t="s">
        <v>26</v>
      </c>
      <c r="B46" s="202">
        <f>'Existing Space Heating Units'!B41</f>
        <v>0.24952183731339672</v>
      </c>
      <c r="C46" s="323">
        <f>'Existing Space Heating Units'!C41</f>
        <v>0</v>
      </c>
      <c r="D46" s="324">
        <f t="shared" si="13"/>
        <v>31903.61259705359</v>
      </c>
      <c r="E46" s="324">
        <f t="shared" si="14"/>
        <v>31562.659120648066</v>
      </c>
      <c r="F46" s="324">
        <f t="shared" si="14"/>
        <v>31225.34940943432</v>
      </c>
      <c r="G46" s="324">
        <f t="shared" si="14"/>
        <v>30891.64452254301</v>
      </c>
      <c r="H46" s="324">
        <f t="shared" si="14"/>
        <v>30561.50593526536</v>
      </c>
      <c r="I46" s="324">
        <f t="shared" si="14"/>
        <v>30234.895534605617</v>
      </c>
      <c r="J46" s="324">
        <f t="shared" si="14"/>
        <v>29911.775614881113</v>
      </c>
      <c r="K46" s="324">
        <f t="shared" si="14"/>
        <v>29592.10887336929</v>
      </c>
      <c r="L46" s="324">
        <f t="shared" si="14"/>
        <v>29275.858406001284</v>
      </c>
      <c r="M46" s="324">
        <f t="shared" si="14"/>
        <v>28962.987703101513</v>
      </c>
      <c r="N46" s="324">
        <f t="shared" si="14"/>
        <v>28653.460645172818</v>
      </c>
      <c r="O46" s="324">
        <f t="shared" si="14"/>
        <v>28347.2414987266</v>
      </c>
      <c r="P46" s="324">
        <f t="shared" si="14"/>
        <v>28044.29491215758</v>
      </c>
      <c r="Q46" s="324">
        <f t="shared" si="14"/>
        <v>27744.5859116626</v>
      </c>
      <c r="R46" s="324">
        <f t="shared" si="14"/>
        <v>27448.07989720308</v>
      </c>
      <c r="S46" s="324">
        <f t="shared" si="14"/>
        <v>27154.742638510554</v>
      </c>
      <c r="T46" s="324">
        <f t="shared" si="14"/>
        <v>26864.540271135</v>
      </c>
      <c r="U46" s="324">
        <f t="shared" si="14"/>
        <v>26577.439292535306</v>
      </c>
      <c r="V46" s="324">
        <f t="shared" si="14"/>
        <v>26293.406558211555</v>
      </c>
      <c r="W46" s="324">
        <f t="shared" si="14"/>
        <v>26012.409277878673</v>
      </c>
      <c r="X46" s="324">
        <f t="shared" si="14"/>
        <v>25734.415011680896</v>
      </c>
      <c r="Y46" s="324">
        <f aca="true" t="shared" si="17" ref="Y46:AD46">$B46*Y$35</f>
        <v>25459.391666446772</v>
      </c>
      <c r="Z46" s="324">
        <f t="shared" si="17"/>
        <v>25187.307491984146</v>
      </c>
      <c r="AA46" s="324">
        <f t="shared" si="17"/>
        <v>24918.131077414717</v>
      </c>
      <c r="AB46" s="324">
        <f t="shared" si="17"/>
        <v>24651.83134754783</v>
      </c>
      <c r="AC46" s="341">
        <f t="shared" si="17"/>
        <v>24388.377559292978</v>
      </c>
      <c r="AD46" s="412">
        <f t="shared" si="17"/>
        <v>24388.377559292978</v>
      </c>
      <c r="AE46" s="406">
        <f>'[1]PNW Existing Characteristics'!$F$19</f>
        <v>0.17432985908100734</v>
      </c>
      <c r="AF46" s="400">
        <f>AF40*AE46</f>
        <v>10876.643895282003</v>
      </c>
    </row>
  </sheetData>
  <mergeCells count="1">
    <mergeCell ref="A1:E1"/>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AC41"/>
  <sheetViews>
    <sheetView workbookViewId="0" topLeftCell="A1">
      <selection activeCell="B4" sqref="B4:B41"/>
    </sheetView>
  </sheetViews>
  <sheetFormatPr defaultColWidth="9.140625" defaultRowHeight="12.75"/>
  <cols>
    <col min="1" max="1" width="42.8515625" style="24" customWidth="1"/>
    <col min="2" max="3" width="7.57421875" style="24" customWidth="1"/>
    <col min="4" max="23" width="10.28125" style="24" bestFit="1" customWidth="1"/>
    <col min="24" max="24" width="10.28125" style="0" bestFit="1" customWidth="1"/>
    <col min="25" max="28" width="10.28125" style="24" bestFit="1" customWidth="1"/>
    <col min="29" max="29" width="11.140625" style="24" customWidth="1"/>
    <col min="30" max="16384" width="9.140625" style="24" customWidth="1"/>
  </cols>
  <sheetData>
    <row r="1" spans="1:5" ht="13.5" thickBot="1">
      <c r="A1" s="206" t="s">
        <v>74</v>
      </c>
      <c r="D1" s="158" t="s">
        <v>76</v>
      </c>
      <c r="E1" s="159"/>
    </row>
    <row r="2" ht="13.5" thickBot="1">
      <c r="D2" s="24" t="s">
        <v>43</v>
      </c>
    </row>
    <row r="3" spans="1:29" s="25" customFormat="1" ht="64.5" thickBot="1">
      <c r="A3" s="132" t="s">
        <v>27</v>
      </c>
      <c r="B3" s="125" t="s">
        <v>12</v>
      </c>
      <c r="C3" s="125" t="s">
        <v>150</v>
      </c>
      <c r="D3" s="125">
        <v>2001</v>
      </c>
      <c r="E3" s="125">
        <v>2002</v>
      </c>
      <c r="F3" s="125">
        <v>2003</v>
      </c>
      <c r="G3" s="125">
        <v>2004</v>
      </c>
      <c r="H3" s="125">
        <v>2005</v>
      </c>
      <c r="I3" s="125">
        <v>2006</v>
      </c>
      <c r="J3" s="125">
        <v>2007</v>
      </c>
      <c r="K3" s="125">
        <v>2008</v>
      </c>
      <c r="L3" s="125">
        <v>2009</v>
      </c>
      <c r="M3" s="125">
        <v>2010</v>
      </c>
      <c r="N3" s="125">
        <v>2011</v>
      </c>
      <c r="O3" s="125">
        <v>2012</v>
      </c>
      <c r="P3" s="125">
        <v>2013</v>
      </c>
      <c r="Q3" s="125">
        <v>2014</v>
      </c>
      <c r="R3" s="125">
        <v>2015</v>
      </c>
      <c r="S3" s="125">
        <v>2016</v>
      </c>
      <c r="T3" s="125">
        <v>2017</v>
      </c>
      <c r="U3" s="125">
        <v>2018</v>
      </c>
      <c r="V3" s="125">
        <v>2019</v>
      </c>
      <c r="W3" s="125">
        <v>2020</v>
      </c>
      <c r="X3" s="125">
        <v>2021</v>
      </c>
      <c r="Y3" s="125">
        <v>2022</v>
      </c>
      <c r="Z3" s="125">
        <v>2023</v>
      </c>
      <c r="AA3" s="125">
        <v>2024</v>
      </c>
      <c r="AB3" s="125">
        <v>2025</v>
      </c>
      <c r="AC3" s="126" t="s">
        <v>75</v>
      </c>
    </row>
    <row r="4" spans="1:29" ht="12.75">
      <c r="A4" s="192" t="s">
        <v>0</v>
      </c>
      <c r="B4" s="110"/>
      <c r="C4" s="110"/>
      <c r="D4" s="204">
        <f>SUM(D5:D13)</f>
        <v>3577629.7921332917</v>
      </c>
      <c r="E4" s="204">
        <f aca="true" t="shared" si="0" ref="E4:W4">SUM(E5:E13)</f>
        <v>3551764.9386918037</v>
      </c>
      <c r="F4" s="204">
        <f t="shared" si="0"/>
        <v>3526087.077947274</v>
      </c>
      <c r="G4" s="204">
        <f t="shared" si="0"/>
        <v>3500594.8580161985</v>
      </c>
      <c r="H4" s="204">
        <f t="shared" si="0"/>
        <v>3475286.936788657</v>
      </c>
      <c r="I4" s="204">
        <f t="shared" si="0"/>
        <v>3450161.981857656</v>
      </c>
      <c r="J4" s="204">
        <f t="shared" si="0"/>
        <v>3425218.670448979</v>
      </c>
      <c r="K4" s="204">
        <f t="shared" si="0"/>
        <v>3400455.6893515456</v>
      </c>
      <c r="L4" s="204">
        <f t="shared" si="0"/>
        <v>3375871.734848275</v>
      </c>
      <c r="M4" s="204">
        <f t="shared" si="0"/>
        <v>3351465.512647446</v>
      </c>
      <c r="N4" s="204">
        <f t="shared" si="0"/>
        <v>3327235.737814556</v>
      </c>
      <c r="O4" s="204">
        <f t="shared" si="0"/>
        <v>3303181.1347046746</v>
      </c>
      <c r="P4" s="204">
        <f t="shared" si="0"/>
        <v>3279300.4368952797</v>
      </c>
      <c r="Q4" s="204">
        <f t="shared" si="0"/>
        <v>3255592.3871195856</v>
      </c>
      <c r="R4" s="204">
        <f t="shared" si="0"/>
        <v>3232055.7372003486</v>
      </c>
      <c r="S4" s="204">
        <f t="shared" si="0"/>
        <v>3208689.2479841583</v>
      </c>
      <c r="T4" s="204">
        <f t="shared" si="0"/>
        <v>3185491.6892761895</v>
      </c>
      <c r="U4" s="204">
        <f t="shared" si="0"/>
        <v>3162461.8397754454</v>
      </c>
      <c r="V4" s="204">
        <f t="shared" si="0"/>
        <v>3139598.4870104524</v>
      </c>
      <c r="W4" s="204">
        <f t="shared" si="0"/>
        <v>3116900.4272754295</v>
      </c>
      <c r="X4" s="204">
        <f>SUM(X5:X13)</f>
        <v>3094366.4655669103</v>
      </c>
      <c r="Y4" s="204">
        <f>SUM(Y5:Y13)</f>
        <v>3071995.4155208347</v>
      </c>
      <c r="Z4" s="204">
        <f>SUM(Z5:Z13)</f>
        <v>3049786.0993500887</v>
      </c>
      <c r="AA4" s="204">
        <f>SUM(AA5:AA13)</f>
        <v>3027737.3477824936</v>
      </c>
      <c r="AB4" s="204">
        <f>SUM(AB5:AB13)</f>
        <v>3005847.9999992456</v>
      </c>
      <c r="AC4" s="205">
        <f>AB4</f>
        <v>3005847.9999992456</v>
      </c>
    </row>
    <row r="5" spans="1:29" ht="12.75">
      <c r="A5" s="51" t="s">
        <v>67</v>
      </c>
      <c r="B5" s="27">
        <f>'[1] Existing SphtSysType PNRES'!Q52</f>
        <v>0.46950319222749537</v>
      </c>
      <c r="C5" s="27"/>
      <c r="D5" s="20">
        <f>$B5*'Total Housing Units'!E$11</f>
        <v>1679708.608014771</v>
      </c>
      <c r="E5" s="20">
        <f>$B5*'Total Housing Units'!F$11</f>
        <v>1667564.976757496</v>
      </c>
      <c r="F5" s="20">
        <f>$B5*'Total Housing Units'!G$11</f>
        <v>1655509.1391683663</v>
      </c>
      <c r="G5" s="20">
        <f>$B5*'Total Housing Units'!H$11</f>
        <v>1643540.460533761</v>
      </c>
      <c r="H5" s="20">
        <f>$B5*'Total Housing Units'!I$11</f>
        <v>1631658.3107287881</v>
      </c>
      <c r="I5" s="20">
        <f>$B5*'Total Housing Units'!J$11</f>
        <v>1619862.0641841113</v>
      </c>
      <c r="J5" s="20">
        <f>$B5*'Total Housing Units'!K$11</f>
        <v>1608151.099853013</v>
      </c>
      <c r="K5" s="20">
        <f>$B5*'Total Housing Units'!L$11</f>
        <v>1596524.801178699</v>
      </c>
      <c r="L5" s="20">
        <f>$B5*'Total Housing Units'!M$11</f>
        <v>1584982.5560618376</v>
      </c>
      <c r="M5" s="20">
        <f>$B5*'Total Housing Units'!N$11</f>
        <v>1573523.7568283349</v>
      </c>
      <c r="N5" s="20">
        <f>$B5*'Total Housing Units'!O$11</f>
        <v>1562147.8001973398</v>
      </c>
      <c r="O5" s="20">
        <f>$B5*'Total Housing Units'!P$11</f>
        <v>1550854.087249485</v>
      </c>
      <c r="P5" s="20">
        <f>$B5*'Total Housing Units'!Q$11</f>
        <v>1539642.023395354</v>
      </c>
      <c r="Q5" s="20">
        <f>$B5*'Total Housing Units'!R$11</f>
        <v>1528511.0183441772</v>
      </c>
      <c r="R5" s="20">
        <f>$B5*'Total Housing Units'!S$11</f>
        <v>1517460.4860727545</v>
      </c>
      <c r="S5" s="20">
        <f>$B5*'Total Housing Units'!T$11</f>
        <v>1506489.8447946035</v>
      </c>
      <c r="T5" s="20">
        <f>$B5*'Total Housing Units'!U$11</f>
        <v>1495598.5169293275</v>
      </c>
      <c r="U5" s="20">
        <f>$B5*'Total Housing Units'!V$11</f>
        <v>1484785.9290722096</v>
      </c>
      <c r="V5" s="20">
        <f>$B5*'Total Housing Units'!W$11</f>
        <v>1474051.5119640222</v>
      </c>
      <c r="W5" s="20">
        <f>$B5*'Total Housing Units'!X$11</f>
        <v>1463394.7004610582</v>
      </c>
      <c r="X5" s="20">
        <f>$B5*'Total Housing Units'!Y$11</f>
        <v>1452814.9335053763</v>
      </c>
      <c r="Y5" s="20">
        <f>$B5*'Total Housing Units'!Z$11</f>
        <v>1442311.654095263</v>
      </c>
      <c r="Z5" s="20">
        <f>$B5*'Total Housing Units'!AA$11</f>
        <v>1431884.309255908</v>
      </c>
      <c r="AA5" s="20">
        <f>$B5*'Total Housing Units'!AB$11</f>
        <v>1421532.3500102907</v>
      </c>
      <c r="AB5" s="20">
        <f>$B5*'Total Housing Units'!AC$11</f>
        <v>1411255.231350278</v>
      </c>
      <c r="AC5" s="200">
        <f aca="true" t="shared" si="1" ref="AC5:AC15">AB5</f>
        <v>1411255.231350278</v>
      </c>
    </row>
    <row r="6" spans="1:29" ht="12.75">
      <c r="A6" s="51" t="s">
        <v>68</v>
      </c>
      <c r="B6" s="27">
        <f>'[1] Existing SphtSysType PNRES'!Q53</f>
        <v>0.0704968077725047</v>
      </c>
      <c r="C6" s="27"/>
      <c r="D6" s="20">
        <f>$B6*'Total Housing Units'!E$11</f>
        <v>252211.47973720657</v>
      </c>
      <c r="E6" s="20">
        <f>$B6*'Total Housing Units'!F$11</f>
        <v>250388.09013607798</v>
      </c>
      <c r="F6" s="20">
        <f>$B6*'Total Housing Units'!G$11</f>
        <v>248577.88292316173</v>
      </c>
      <c r="G6" s="20">
        <f>$B6*'Total Housing Units'!H$11</f>
        <v>246780.76279498628</v>
      </c>
      <c r="H6" s="20">
        <f>$B6*'Total Housing Units'!I$11</f>
        <v>244996.63513708662</v>
      </c>
      <c r="I6" s="20">
        <f>$B6*'Total Housing Units'!J$11</f>
        <v>243225.40601902298</v>
      </c>
      <c r="J6" s="20">
        <f>$B6*'Total Housing Units'!K$11</f>
        <v>241466.98218943574</v>
      </c>
      <c r="K6" s="20">
        <f>$B6*'Total Housing Units'!L$11</f>
        <v>239721.27107113582</v>
      </c>
      <c r="L6" s="20">
        <f>$B6*'Total Housing Units'!M$11</f>
        <v>237988.18075623072</v>
      </c>
      <c r="M6" s="20">
        <f>$B6*'Total Housing Units'!N$11</f>
        <v>236267.62000128586</v>
      </c>
      <c r="N6" s="20">
        <f>$B6*'Total Housing Units'!O$11</f>
        <v>234559.49822252057</v>
      </c>
      <c r="O6" s="20">
        <f>$B6*'Total Housing Units'!P$11</f>
        <v>232863.72549103937</v>
      </c>
      <c r="P6" s="20">
        <f>$B6*'Total Housing Units'!Q$11</f>
        <v>231180.21252809718</v>
      </c>
      <c r="Q6" s="20">
        <f>$B6*'Total Housing Units'!R$11</f>
        <v>229508.87070039907</v>
      </c>
      <c r="R6" s="20">
        <f>$B6*'Total Housing Units'!S$11</f>
        <v>227849.61201543393</v>
      </c>
      <c r="S6" s="20">
        <f>$B6*'Total Housing Units'!T$11</f>
        <v>226202.3491168418</v>
      </c>
      <c r="T6" s="20">
        <f>$B6*'Total Housing Units'!U$11</f>
        <v>224566.99527981476</v>
      </c>
      <c r="U6" s="20">
        <f>$B6*'Total Housing Units'!V$11</f>
        <v>222943.4644065311</v>
      </c>
      <c r="V6" s="20">
        <f>$B6*'Total Housing Units'!W$11</f>
        <v>221331.67102162246</v>
      </c>
      <c r="W6" s="20">
        <f>$B6*'Total Housing Units'!X$11</f>
        <v>219731.53026767366</v>
      </c>
      <c r="X6" s="20">
        <f>$B6*'Total Housing Units'!Y$11</f>
        <v>218142.95790075522</v>
      </c>
      <c r="Y6" s="20">
        <f>$B6*'Total Housing Units'!Z$11</f>
        <v>216565.87028598797</v>
      </c>
      <c r="Z6" s="20">
        <f>$B6*'Total Housing Units'!AA$11</f>
        <v>215000.1843931401</v>
      </c>
      <c r="AA6" s="20">
        <f>$B6*'Total Housing Units'!AB$11</f>
        <v>213445.81779225558</v>
      </c>
      <c r="AB6" s="20">
        <f>$B6*'Total Housing Units'!AC$11</f>
        <v>211902.68864931448</v>
      </c>
      <c r="AC6" s="200">
        <f t="shared" si="1"/>
        <v>211902.68864931448</v>
      </c>
    </row>
    <row r="7" spans="1:29" ht="12.75">
      <c r="A7" s="51" t="s">
        <v>69</v>
      </c>
      <c r="B7" s="27">
        <f>'[1] Existing SphtSysType PNRES'!Q54</f>
        <v>0.060861524918379026</v>
      </c>
      <c r="C7" s="27"/>
      <c r="D7" s="20">
        <f>$B7*'Total Housing Units'!E$11</f>
        <v>217740.00474265547</v>
      </c>
      <c r="E7" s="20">
        <f>$B7*'Total Housing Units'!F$11</f>
        <v>216165.83032041613</v>
      </c>
      <c r="F7" s="20">
        <f>$B7*'Total Housing Units'!G$11</f>
        <v>214603.03655886228</v>
      </c>
      <c r="G7" s="20">
        <f>$B7*'Total Housing Units'!H$11</f>
        <v>213051.54118030233</v>
      </c>
      <c r="H7" s="20">
        <f>$B7*'Total Housing Units'!I$11</f>
        <v>211511.26250187994</v>
      </c>
      <c r="I7" s="20">
        <f>$B7*'Total Housing Units'!J$11</f>
        <v>209982.11943127366</v>
      </c>
      <c r="J7" s="20">
        <f>$B7*'Total Housing Units'!K$11</f>
        <v>208464.03146242758</v>
      </c>
      <c r="K7" s="20">
        <f>$B7*'Total Housing Units'!L$11</f>
        <v>206956.9186713128</v>
      </c>
      <c r="L7" s="20">
        <f>$B7*'Total Housing Units'!M$11</f>
        <v>205460.70171171968</v>
      </c>
      <c r="M7" s="20">
        <f>$B7*'Total Housing Units'!N$11</f>
        <v>203975.30181108043</v>
      </c>
      <c r="N7" s="20">
        <f>$B7*'Total Housing Units'!O$11</f>
        <v>202500.64076632183</v>
      </c>
      <c r="O7" s="20">
        <f>$B7*'Total Housing Units'!P$11</f>
        <v>201036.64093974806</v>
      </c>
      <c r="P7" s="20">
        <f>$B7*'Total Housing Units'!Q$11</f>
        <v>199583.2252549533</v>
      </c>
      <c r="Q7" s="20">
        <f>$B7*'Total Housing Units'!R$11</f>
        <v>198140.3171927637</v>
      </c>
      <c r="R7" s="20">
        <f>$B7*'Total Housing Units'!S$11</f>
        <v>196707.8407872089</v>
      </c>
      <c r="S7" s="20">
        <f>$B7*'Total Housing Units'!T$11</f>
        <v>195285.72062152266</v>
      </c>
      <c r="T7" s="20">
        <f>$B7*'Total Housing Units'!U$11</f>
        <v>193873.88182417207</v>
      </c>
      <c r="U7" s="20">
        <f>$B7*'Total Housing Units'!V$11</f>
        <v>192472.25006491604</v>
      </c>
      <c r="V7" s="20">
        <f>$B7*'Total Housing Units'!W$11</f>
        <v>191080.75155089176</v>
      </c>
      <c r="W7" s="20">
        <f>$B7*'Total Housing Units'!X$11</f>
        <v>189699.31302272977</v>
      </c>
      <c r="X7" s="20">
        <f>$B7*'Total Housing Units'!Y$11</f>
        <v>188327.86175069693</v>
      </c>
      <c r="Y7" s="20">
        <f>$B7*'Total Housing Units'!Z$11</f>
        <v>186966.3255308674</v>
      </c>
      <c r="Z7" s="20">
        <f>$B7*'Total Housing Units'!AA$11</f>
        <v>185614.6326813214</v>
      </c>
      <c r="AA7" s="20">
        <f>$B7*'Total Housing Units'!AB$11</f>
        <v>184272.71203837098</v>
      </c>
      <c r="AB7" s="20">
        <f>$B7*'Total Housing Units'!AC$11</f>
        <v>182940.49295281383</v>
      </c>
      <c r="AC7" s="200">
        <f t="shared" si="1"/>
        <v>182940.49295281383</v>
      </c>
    </row>
    <row r="8" spans="1:29" ht="12.75">
      <c r="A8" s="51" t="s">
        <v>70</v>
      </c>
      <c r="B8" s="27">
        <f>'[1] Existing SphtSysType PNRES'!Q55</f>
        <v>0.00913847508162098</v>
      </c>
      <c r="C8" s="27"/>
      <c r="D8" s="20">
        <f>$B8*'Total Housing Units'!E$11</f>
        <v>32694.080706674926</v>
      </c>
      <c r="E8" s="20">
        <f>$B8*'Total Housing Units'!F$11</f>
        <v>32457.71538801011</v>
      </c>
      <c r="F8" s="20">
        <f>$B8*'Total Housing Units'!G$11</f>
        <v>32223.058897446892</v>
      </c>
      <c r="G8" s="20">
        <f>$B8*'Total Housing Units'!H$11</f>
        <v>31990.098880831556</v>
      </c>
      <c r="H8" s="20">
        <f>$B8*'Total Housing Units'!I$11</f>
        <v>31758.823073326043</v>
      </c>
      <c r="I8" s="20">
        <f>$B8*'Total Housing Units'!J$11</f>
        <v>31529.219298762237</v>
      </c>
      <c r="J8" s="20">
        <f>$B8*'Total Housing Units'!K$11</f>
        <v>31301.27546900093</v>
      </c>
      <c r="K8" s="20">
        <f>$B8*'Total Housing Units'!L$11</f>
        <v>31074.979583295386</v>
      </c>
      <c r="L8" s="20">
        <f>$B8*'Total Housing Units'!M$11</f>
        <v>30850.319727659542</v>
      </c>
      <c r="M8" s="20">
        <f>$B8*'Total Housing Units'!N$11</f>
        <v>30627.28407424076</v>
      </c>
      <c r="N8" s="20">
        <f>$B8*'Total Housing Units'!O$11</f>
        <v>30405.860880697113</v>
      </c>
      <c r="O8" s="20">
        <f>$B8*'Total Housing Units'!P$11</f>
        <v>30186.03848957918</v>
      </c>
      <c r="P8" s="20">
        <f>$B8*'Total Housing Units'!Q$11</f>
        <v>29967.805327716305</v>
      </c>
      <c r="Q8" s="20">
        <f>$B8*'Total Housing Units'!R$11</f>
        <v>29751.14990560729</v>
      </c>
      <c r="R8" s="20">
        <f>$B8*'Total Housing Units'!S$11</f>
        <v>29536.06081681551</v>
      </c>
      <c r="S8" s="20">
        <f>$B8*'Total Housing Units'!T$11</f>
        <v>29322.526737368382</v>
      </c>
      <c r="T8" s="20">
        <f>$B8*'Total Housing Units'!U$11</f>
        <v>29110.53642516117</v>
      </c>
      <c r="U8" s="20">
        <f>$B8*'Total Housing Units'!V$11</f>
        <v>28900.078719365145</v>
      </c>
      <c r="V8" s="20">
        <f>$B8*'Total Housing Units'!W$11</f>
        <v>28691.14253983995</v>
      </c>
      <c r="W8" s="20">
        <f>$B8*'Total Housing Units'!X$11</f>
        <v>28483.71688655029</v>
      </c>
      <c r="X8" s="20">
        <f>$B8*'Total Housing Units'!Y$11</f>
        <v>28277.790838986788</v>
      </c>
      <c r="Y8" s="20">
        <f>$B8*'Total Housing Units'!Z$11</f>
        <v>28073.353555591035</v>
      </c>
      <c r="Z8" s="20">
        <f>$B8*'Total Housing Units'!AA$11</f>
        <v>27870.39427318483</v>
      </c>
      <c r="AA8" s="20">
        <f>$B8*'Total Housing Units'!AB$11</f>
        <v>27668.902306403503</v>
      </c>
      <c r="AB8" s="20">
        <f>$B8*'Total Housing Units'!AC$11</f>
        <v>27468.867047133357</v>
      </c>
      <c r="AC8" s="200">
        <f t="shared" si="1"/>
        <v>27468.867047133357</v>
      </c>
    </row>
    <row r="9" spans="1:29" ht="12.75">
      <c r="A9" s="51" t="s">
        <v>71</v>
      </c>
      <c r="B9" s="27">
        <f>'[1] Existing SphtSysType PNRES'!Q56</f>
        <v>0.08723237480448418</v>
      </c>
      <c r="C9" s="27">
        <f>B9/(SUM(B$9:B$11))</f>
        <v>0.2722258675881002</v>
      </c>
      <c r="D9" s="20">
        <f>$B9*'Total Housing Units'!E$11</f>
        <v>312085.14293906005</v>
      </c>
      <c r="E9" s="20">
        <f>$B9*'Total Housing Units'!F$11</f>
        <v>309828.8903493891</v>
      </c>
      <c r="F9" s="20">
        <f>$B9*'Total Housing Units'!G$11</f>
        <v>307588.949576745</v>
      </c>
      <c r="G9" s="20">
        <f>$B9*'Total Housing Units'!H$11</f>
        <v>305365.20269311906</v>
      </c>
      <c r="H9" s="20">
        <f>$B9*'Total Housing Units'!I$11</f>
        <v>303157.5326230758</v>
      </c>
      <c r="I9" s="20">
        <f>$B9*'Total Housing Units'!J$11</f>
        <v>300965.8231375889</v>
      </c>
      <c r="J9" s="20">
        <f>$B9*'Total Housing Units'!K$11</f>
        <v>298789.9588479223</v>
      </c>
      <c r="K9" s="20">
        <f>$B9*'Total Housing Units'!L$11</f>
        <v>296629.8251995546</v>
      </c>
      <c r="L9" s="20">
        <f>$B9*'Total Housing Units'!M$11</f>
        <v>294485.3084661489</v>
      </c>
      <c r="M9" s="20">
        <f>$B9*'Total Housing Units'!N$11</f>
        <v>292356.29574356467</v>
      </c>
      <c r="N9" s="20">
        <f>$B9*'Total Housing Units'!O$11</f>
        <v>290242.67494391376</v>
      </c>
      <c r="O9" s="20">
        <f>$B9*'Total Housing Units'!P$11</f>
        <v>288144.3347896595</v>
      </c>
      <c r="P9" s="20">
        <f>$B9*'Total Housing Units'!Q$11</f>
        <v>286061.16480775777</v>
      </c>
      <c r="Q9" s="20">
        <f>$B9*'Total Housing Units'!R$11</f>
        <v>283993.055323841</v>
      </c>
      <c r="R9" s="20">
        <f>$B9*'Total Housing Units'!S$11</f>
        <v>281939.8974564442</v>
      </c>
      <c r="S9" s="20">
        <f>$B9*'Total Housing Units'!T$11</f>
        <v>279901.5831112725</v>
      </c>
      <c r="T9" s="20">
        <f>$B9*'Total Housing Units'!U$11</f>
        <v>277878.00497550995</v>
      </c>
      <c r="U9" s="20">
        <f>$B9*'Total Housing Units'!V$11</f>
        <v>275869.05651217024</v>
      </c>
      <c r="V9" s="20">
        <f>$B9*'Total Housing Units'!W$11</f>
        <v>273874.6319544873</v>
      </c>
      <c r="W9" s="20">
        <f>$B9*'Total Housing Units'!X$11</f>
        <v>271894.6263003471</v>
      </c>
      <c r="X9" s="20">
        <f>$B9*'Total Housing Units'!Y$11</f>
        <v>269928.93530675967</v>
      </c>
      <c r="Y9" s="20">
        <f>$B9*'Total Housing Units'!Z$11</f>
        <v>267977.4554843706</v>
      </c>
      <c r="Z9" s="20">
        <f>$B9*'Total Housing Units'!AA$11</f>
        <v>266040.0840920128</v>
      </c>
      <c r="AA9" s="20">
        <f>$B9*'Total Housing Units'!AB$11</f>
        <v>264116.71913129726</v>
      </c>
      <c r="AB9" s="20">
        <f>$B9*'Total Housing Units'!AC$11</f>
        <v>262207.2593412433</v>
      </c>
      <c r="AC9" s="200">
        <f t="shared" si="1"/>
        <v>262207.2593412433</v>
      </c>
    </row>
    <row r="10" spans="1:29" ht="12.75">
      <c r="A10" s="51" t="s">
        <v>9</v>
      </c>
      <c r="B10" s="27">
        <f>'[1] Existing SphtSysType PNRES'!Q57</f>
        <v>0.051781901119998336</v>
      </c>
      <c r="C10" s="27">
        <f>B10/(SUM(B$9:B$11))</f>
        <v>0.16159565745340845</v>
      </c>
      <c r="D10" s="20">
        <f>$B10*'Total Housing Units'!E$11</f>
        <v>185256.4721402063</v>
      </c>
      <c r="E10" s="20">
        <f>$B10*'Total Housing Units'!F$11</f>
        <v>183917.1408568159</v>
      </c>
      <c r="F10" s="20">
        <f>$B10*'Total Housing Units'!G$11</f>
        <v>182587.4924107696</v>
      </c>
      <c r="G10" s="20">
        <f>$B10*'Total Housing Units'!H$11</f>
        <v>181267.4567989694</v>
      </c>
      <c r="H10" s="20">
        <f>$B10*'Total Housing Units'!I$11</f>
        <v>179956.96452441212</v>
      </c>
      <c r="I10" s="20">
        <f>$B10*'Total Housing Units'!J$11</f>
        <v>178655.9465925306</v>
      </c>
      <c r="J10" s="20">
        <f>$B10*'Total Housing Units'!K$11</f>
        <v>177364.33450756117</v>
      </c>
      <c r="K10" s="20">
        <f>$B10*'Total Housing Units'!L$11</f>
        <v>176082.0602689375</v>
      </c>
      <c r="L10" s="20">
        <f>$B10*'Total Housing Units'!M$11</f>
        <v>174809.05636771058</v>
      </c>
      <c r="M10" s="20">
        <f>$B10*'Total Housing Units'!N$11</f>
        <v>173545.25578299456</v>
      </c>
      <c r="N10" s="20">
        <f>$B10*'Total Housing Units'!O$11</f>
        <v>172290.59197843805</v>
      </c>
      <c r="O10" s="20">
        <f>$B10*'Total Housing Units'!P$11</f>
        <v>171044.99889872136</v>
      </c>
      <c r="P10" s="20">
        <f>$B10*'Total Housing Units'!Q$11</f>
        <v>169808.41096607872</v>
      </c>
      <c r="Q10" s="20">
        <f>$B10*'Total Housing Units'!R$11</f>
        <v>168580.7630768457</v>
      </c>
      <c r="R10" s="20">
        <f>$B10*'Total Housing Units'!S$11</f>
        <v>167361.99059803179</v>
      </c>
      <c r="S10" s="20">
        <f>$B10*'Total Housing Units'!T$11</f>
        <v>166152.02936391745</v>
      </c>
      <c r="T10" s="20">
        <f>$B10*'Total Housing Units'!U$11</f>
        <v>164950.81567267608</v>
      </c>
      <c r="U10" s="20">
        <f>$B10*'Total Housing Units'!V$11</f>
        <v>163758.28628302013</v>
      </c>
      <c r="V10" s="20">
        <f>$B10*'Total Housing Units'!W$11</f>
        <v>162574.37841087166</v>
      </c>
      <c r="W10" s="20">
        <f>$B10*'Total Housing Units'!X$11</f>
        <v>161399.02972605682</v>
      </c>
      <c r="X10" s="20">
        <f>$B10*'Total Housing Units'!Y$11</f>
        <v>160232.17834902447</v>
      </c>
      <c r="Y10" s="20">
        <f>$B10*'Total Housing Units'!Z$11</f>
        <v>159073.76284758808</v>
      </c>
      <c r="Z10" s="20">
        <f>$B10*'Total Housing Units'!AA$11</f>
        <v>157923.72223369172</v>
      </c>
      <c r="AA10" s="20">
        <f>$B10*'Total Housing Units'!AB$11</f>
        <v>156781.99596019904</v>
      </c>
      <c r="AB10" s="20">
        <f>$B10*'Total Housing Units'!AC$11</f>
        <v>155648.52391770566</v>
      </c>
      <c r="AC10" s="200">
        <f t="shared" si="1"/>
        <v>155648.52391770566</v>
      </c>
    </row>
    <row r="11" spans="1:29" ht="12.75">
      <c r="A11" s="51" t="s">
        <v>73</v>
      </c>
      <c r="B11" s="27">
        <f>'[1] Existing SphtSysType PNRES'!Q58</f>
        <v>0.1814268914684481</v>
      </c>
      <c r="C11" s="27">
        <f>B11/(SUM(B$9:B$11))</f>
        <v>0.5661784749584914</v>
      </c>
      <c r="D11" s="20">
        <f>$B11*'Total Housing Units'!E$11</f>
        <v>649078.2520116532</v>
      </c>
      <c r="E11" s="20">
        <f>$B11*'Total Housing Units'!F$11</f>
        <v>644385.672053477</v>
      </c>
      <c r="F11" s="20">
        <f>$B11*'Total Housing Units'!G$11</f>
        <v>639727.0175990373</v>
      </c>
      <c r="G11" s="20">
        <f>$B11*'Total Housing Units'!H$11</f>
        <v>635102.0433803123</v>
      </c>
      <c r="H11" s="20">
        <f>$B11*'Total Housing Units'!I$11</f>
        <v>630510.505902471</v>
      </c>
      <c r="I11" s="20">
        <f>$B11*'Total Housing Units'!J$11</f>
        <v>625952.1634310547</v>
      </c>
      <c r="J11" s="20">
        <f>$B11*'Total Housing Units'!K$11</f>
        <v>621426.7759792489</v>
      </c>
      <c r="K11" s="20">
        <f>$B11*'Total Housing Units'!L$11</f>
        <v>616934.1052952496</v>
      </c>
      <c r="L11" s="20">
        <f>$B11*'Total Housing Units'!M$11</f>
        <v>612473.9148497195</v>
      </c>
      <c r="M11" s="20">
        <f>$B11*'Total Housing Units'!N$11</f>
        <v>608045.9698233348</v>
      </c>
      <c r="N11" s="20">
        <f>$B11*'Total Housing Units'!O$11</f>
        <v>603650.0370944232</v>
      </c>
      <c r="O11" s="20">
        <f>$B11*'Total Housing Units'!P$11</f>
        <v>599285.8852266902</v>
      </c>
      <c r="P11" s="20">
        <f>$B11*'Total Housing Units'!Q$11</f>
        <v>594953.2844570343</v>
      </c>
      <c r="Q11" s="20">
        <f>$B11*'Total Housing Units'!R$11</f>
        <v>590652.0066834508</v>
      </c>
      <c r="R11" s="20">
        <f>$B11*'Total Housing Units'!S$11</f>
        <v>586381.8254530226</v>
      </c>
      <c r="S11" s="20">
        <f>$B11*'Total Housing Units'!T$11</f>
        <v>582142.515949998</v>
      </c>
      <c r="T11" s="20">
        <f>$B11*'Total Housing Units'!U$11</f>
        <v>577933.8549839546</v>
      </c>
      <c r="U11" s="20">
        <f>$B11*'Total Housing Units'!V$11</f>
        <v>573755.6209780484</v>
      </c>
      <c r="V11" s="20">
        <f>$B11*'Total Housing Units'!W$11</f>
        <v>569607.5939573493</v>
      </c>
      <c r="W11" s="20">
        <f>$B11*'Total Housing Units'!X$11</f>
        <v>565489.5555372587</v>
      </c>
      <c r="X11" s="20">
        <f>$B11*'Total Housing Units'!Y$11</f>
        <v>561401.288912013</v>
      </c>
      <c r="Y11" s="20">
        <f>$B11*'Total Housing Units'!Z$11</f>
        <v>557342.5788432686</v>
      </c>
      <c r="Z11" s="20">
        <f>$B11*'Total Housing Units'!AA$11</f>
        <v>553313.2116487703</v>
      </c>
      <c r="AA11" s="20">
        <f>$B11*'Total Housing Units'!AB$11</f>
        <v>549312.9751911012</v>
      </c>
      <c r="AB11" s="20">
        <f>$B11*'Total Housing Units'!AC$11</f>
        <v>545341.6588665148</v>
      </c>
      <c r="AC11" s="200">
        <f t="shared" si="1"/>
        <v>545341.6588665148</v>
      </c>
    </row>
    <row r="12" spans="1:29" ht="12.75">
      <c r="A12" s="51" t="s">
        <v>72</v>
      </c>
      <c r="B12" s="27">
        <f>'[1] Existing SphtSysType PNRES'!Q59</f>
        <v>0.00955883260706941</v>
      </c>
      <c r="C12" s="27"/>
      <c r="D12" s="20">
        <f>$B12*'Total Housing Units'!E$11</f>
        <v>34197.96431306666</v>
      </c>
      <c r="E12" s="20">
        <f>$B12*'Total Housing Units'!F$11</f>
        <v>33950.726508613094</v>
      </c>
      <c r="F12" s="20">
        <f>$B12*'Total Housing Units'!G$11</f>
        <v>33705.276136048495</v>
      </c>
      <c r="G12" s="20">
        <f>$B12*'Total Housing Units'!H$11</f>
        <v>33461.60027294474</v>
      </c>
      <c r="H12" s="20">
        <f>$B12*'Total Housing Units'!I$11</f>
        <v>33219.68609029778</v>
      </c>
      <c r="I12" s="20">
        <f>$B12*'Total Housing Units'!J$11</f>
        <v>32979.520851852176</v>
      </c>
      <c r="J12" s="20">
        <f>$B12*'Total Housing Units'!K$11</f>
        <v>32741.091913430628</v>
      </c>
      <c r="K12" s="20">
        <f>$B12*'Total Housing Units'!L$11</f>
        <v>32504.38672226824</v>
      </c>
      <c r="L12" s="20">
        <f>$B12*'Total Housing Units'!M$11</f>
        <v>32269.392816351665</v>
      </c>
      <c r="M12" s="20">
        <f>$B12*'Total Housing Units'!N$11</f>
        <v>32036.097823762997</v>
      </c>
      <c r="N12" s="20">
        <f>$B12*'Total Housing Units'!O$11</f>
        <v>31804.489462028425</v>
      </c>
      <c r="O12" s="20">
        <f>$B12*'Total Housing Units'!P$11</f>
        <v>31574.555537471577</v>
      </c>
      <c r="P12" s="20">
        <f>$B12*'Total Housing Units'!Q$11</f>
        <v>31346.28394457156</v>
      </c>
      <c r="Q12" s="20">
        <f>$B12*'Total Housing Units'!R$11</f>
        <v>31119.662665325628</v>
      </c>
      <c r="R12" s="20">
        <f>$B12*'Total Housing Units'!S$11</f>
        <v>30894.679768616454</v>
      </c>
      <c r="S12" s="20">
        <f>$B12*'Total Housing Units'!T$11</f>
        <v>30671.323409583987</v>
      </c>
      <c r="T12" s="20">
        <f>$B12*'Total Housing Units'!U$11</f>
        <v>30449.581829001854</v>
      </c>
      <c r="U12" s="20">
        <f>$B12*'Total Housing Units'!V$11</f>
        <v>30229.443352658243</v>
      </c>
      <c r="V12" s="20">
        <f>$B12*'Total Housing Units'!W$11</f>
        <v>30010.8963907413</v>
      </c>
      <c r="W12" s="20">
        <f>$B12*'Total Housing Units'!X$11</f>
        <v>29793.929437228948</v>
      </c>
      <c r="X12" s="20">
        <f>$B12*'Total Housing Units'!Y$11</f>
        <v>29578.5310692831</v>
      </c>
      <c r="Y12" s="20">
        <f>$B12*'Total Housing Units'!Z$11</f>
        <v>29364.689946648297</v>
      </c>
      <c r="Z12" s="20">
        <f>$B12*'Total Housing Units'!AA$11</f>
        <v>29152.394811054655</v>
      </c>
      <c r="AA12" s="20">
        <f>$B12*'Total Housing Units'!AB$11</f>
        <v>28941.634485625145</v>
      </c>
      <c r="AB12" s="20">
        <f>$B12*'Total Housing Units'!AC$11</f>
        <v>28732.39787428716</v>
      </c>
      <c r="AC12" s="200">
        <f t="shared" si="1"/>
        <v>28732.39787428716</v>
      </c>
    </row>
    <row r="13" spans="1:29" ht="12.75">
      <c r="A13" s="51" t="s">
        <v>10</v>
      </c>
      <c r="B13" s="27">
        <f>'[1] Existing SphtSysType PNRES'!Q60</f>
        <v>0.06</v>
      </c>
      <c r="C13" s="27"/>
      <c r="D13" s="20">
        <f>$B13*'Total Housing Units'!E$11</f>
        <v>214657.78752799745</v>
      </c>
      <c r="E13" s="20">
        <f>$B13*'Total Housing Units'!F$11</f>
        <v>213105.8963215082</v>
      </c>
      <c r="F13" s="20">
        <f>$B13*'Total Housing Units'!G$11</f>
        <v>211565.22467683643</v>
      </c>
      <c r="G13" s="20">
        <f>$B13*'Total Housing Units'!H$11</f>
        <v>210035.69148097187</v>
      </c>
      <c r="H13" s="20">
        <f>$B13*'Total Housing Units'!I$11</f>
        <v>208517.2162073194</v>
      </c>
      <c r="I13" s="20">
        <f>$B13*'Total Housing Units'!J$11</f>
        <v>207009.71891145932</v>
      </c>
      <c r="J13" s="20">
        <f>$B13*'Total Housing Units'!K$11</f>
        <v>205513.12022693868</v>
      </c>
      <c r="K13" s="20">
        <f>$B13*'Total Housing Units'!L$11</f>
        <v>204027.3413610927</v>
      </c>
      <c r="L13" s="20">
        <f>$B13*'Total Housing Units'!M$11</f>
        <v>202552.30409089645</v>
      </c>
      <c r="M13" s="20">
        <f>$B13*'Total Housing Units'!N$11</f>
        <v>201087.93075884672</v>
      </c>
      <c r="N13" s="20">
        <f>$B13*'Total Housing Units'!O$11</f>
        <v>199634.14426887335</v>
      </c>
      <c r="O13" s="20">
        <f>$B13*'Total Housing Units'!P$11</f>
        <v>198190.86808228047</v>
      </c>
      <c r="P13" s="20">
        <f>$B13*'Total Housing Units'!Q$11</f>
        <v>196758.02621371677</v>
      </c>
      <c r="Q13" s="20">
        <f>$B13*'Total Housing Units'!R$11</f>
        <v>195335.5432271751</v>
      </c>
      <c r="R13" s="20">
        <f>$B13*'Total Housing Units'!S$11</f>
        <v>193923.3442320209</v>
      </c>
      <c r="S13" s="20">
        <f>$B13*'Total Housing Units'!T$11</f>
        <v>192521.35487904944</v>
      </c>
      <c r="T13" s="20">
        <f>$B13*'Total Housing Units'!U$11</f>
        <v>191129.50135657133</v>
      </c>
      <c r="U13" s="20">
        <f>$B13*'Total Housing Units'!V$11</f>
        <v>189747.7103865267</v>
      </c>
      <c r="V13" s="20">
        <f>$B13*'Total Housing Units'!W$11</f>
        <v>188375.90922062716</v>
      </c>
      <c r="W13" s="20">
        <f>$B13*'Total Housing Units'!X$11</f>
        <v>187014.02563652574</v>
      </c>
      <c r="X13" s="20">
        <f>$B13*'Total Housing Units'!Y$11</f>
        <v>185661.98793401459</v>
      </c>
      <c r="Y13" s="20">
        <f>$B13*'Total Housing Units'!Z$11</f>
        <v>184319.72493125006</v>
      </c>
      <c r="Z13" s="20">
        <f>$B13*'Total Housing Units'!AA$11</f>
        <v>182987.16596100532</v>
      </c>
      <c r="AA13" s="20">
        <f>$B13*'Total Housing Units'!AB$11</f>
        <v>181664.24086694955</v>
      </c>
      <c r="AB13" s="20">
        <f>$B13*'Total Housing Units'!AC$11</f>
        <v>180350.8799999547</v>
      </c>
      <c r="AC13" s="200">
        <f t="shared" si="1"/>
        <v>180350.8799999547</v>
      </c>
    </row>
    <row r="14" spans="1:29" ht="12.75">
      <c r="A14" s="193"/>
      <c r="B14" s="174"/>
      <c r="C14" s="174"/>
      <c r="D14" s="20"/>
      <c r="E14" s="20"/>
      <c r="F14" s="20"/>
      <c r="G14" s="20"/>
      <c r="H14" s="20"/>
      <c r="I14" s="20"/>
      <c r="J14" s="20"/>
      <c r="K14" s="20"/>
      <c r="L14" s="20"/>
      <c r="M14" s="20"/>
      <c r="N14" s="20"/>
      <c r="O14" s="20"/>
      <c r="P14" s="20"/>
      <c r="Q14" s="20"/>
      <c r="R14" s="20"/>
      <c r="S14" s="20"/>
      <c r="T14" s="20"/>
      <c r="U14" s="20"/>
      <c r="V14" s="20"/>
      <c r="W14" s="20"/>
      <c r="X14" s="1"/>
      <c r="Y14" s="157"/>
      <c r="Z14" s="157"/>
      <c r="AA14" s="157"/>
      <c r="AB14" s="157"/>
      <c r="AC14" s="200"/>
    </row>
    <row r="15" spans="1:29" ht="12.75">
      <c r="A15" s="52" t="s">
        <v>26</v>
      </c>
      <c r="B15" s="160">
        <f>B10+'[1]PNW Existing Characteristics'!$F$19</f>
        <v>0.22611176020100568</v>
      </c>
      <c r="C15" s="160"/>
      <c r="D15" s="20">
        <f>$B15*'Total Housing Units'!E$11</f>
        <v>808944.1696468166</v>
      </c>
      <c r="E15" s="20">
        <f>$B15*'Total Housing Units'!F$11</f>
        <v>803095.8221078207</v>
      </c>
      <c r="F15" s="20">
        <f>$B15*'Total Housing Units'!G$11</f>
        <v>797289.7558166787</v>
      </c>
      <c r="G15" s="20">
        <f>$B15*'Total Housing Units'!H$11</f>
        <v>791525.6650966321</v>
      </c>
      <c r="H15" s="20">
        <f>$B15*'Total Housing Units'!I$11</f>
        <v>785803.2464808443</v>
      </c>
      <c r="I15" s="20">
        <f>$B15*'Total Housing Units'!J$11</f>
        <v>780122.1986964247</v>
      </c>
      <c r="J15" s="20">
        <f>$B15*'Total Housing Units'!K$11</f>
        <v>774482.2226485669</v>
      </c>
      <c r="K15" s="20">
        <f>$B15*'Total Housing Units'!L$11</f>
        <v>768883.0214048021</v>
      </c>
      <c r="L15" s="20">
        <f>$B15*'Total Housing Units'!M$11</f>
        <v>763324.300179366</v>
      </c>
      <c r="M15" s="20">
        <f>$B15*'Total Housing Units'!N$11</f>
        <v>757805.7663176798</v>
      </c>
      <c r="N15" s="20">
        <f>$B15*'Total Housing Units'!O$11</f>
        <v>752327.1292809411</v>
      </c>
      <c r="O15" s="20">
        <f>$B15*'Total Housing Units'!P$11</f>
        <v>746888.1006308292</v>
      </c>
      <c r="P15" s="20">
        <f>$B15*'Total Housing Units'!Q$11</f>
        <v>741488.3940143186</v>
      </c>
      <c r="Q15" s="20">
        <f>$B15*'Total Housing Units'!R$11</f>
        <v>736127.7251486033</v>
      </c>
      <c r="R15" s="20">
        <f>$B15*'Total Housing Units'!S$11</f>
        <v>730805.8118061299</v>
      </c>
      <c r="S15" s="20">
        <f>$B15*'Total Housing Units'!T$11</f>
        <v>725522.373799739</v>
      </c>
      <c r="T15" s="20">
        <f>$B15*'Total Housing Units'!U$11</f>
        <v>720277.1329679141</v>
      </c>
      <c r="U15" s="20">
        <f>$B15*'Total Housing Units'!V$11</f>
        <v>715069.8131601368</v>
      </c>
      <c r="V15" s="20">
        <f>$B15*'Total Housing Units'!W$11</f>
        <v>709900.1402223478</v>
      </c>
      <c r="W15" s="20">
        <f>$B15*'Total Housing Units'!X$11</f>
        <v>704767.8419825139</v>
      </c>
      <c r="X15" s="20">
        <f>$B15*'Total Housing Units'!Y$11</f>
        <v>699672.6482362986</v>
      </c>
      <c r="Y15" s="20">
        <f>$B15*'Total Housing Units'!Z$11</f>
        <v>694614.2907328358</v>
      </c>
      <c r="Z15" s="20">
        <f>$B15*'Total Housing Units'!AA$11</f>
        <v>689592.5031606078</v>
      </c>
      <c r="AA15" s="20">
        <f>$B15*'Total Housing Units'!AB$11</f>
        <v>684607.0211334239</v>
      </c>
      <c r="AB15" s="20">
        <f>$B15*'Total Housing Units'!AC$11</f>
        <v>679657.5821765019</v>
      </c>
      <c r="AC15" s="200">
        <f t="shared" si="1"/>
        <v>679657.5821765019</v>
      </c>
    </row>
    <row r="16" spans="1:29" ht="12.75">
      <c r="A16" s="194"/>
      <c r="B16" s="26"/>
      <c r="C16" s="26"/>
      <c r="D16" s="26"/>
      <c r="E16" s="26"/>
      <c r="F16" s="26"/>
      <c r="G16" s="26"/>
      <c r="H16" s="26"/>
      <c r="I16" s="26"/>
      <c r="J16" s="26"/>
      <c r="K16" s="26"/>
      <c r="L16" s="26"/>
      <c r="M16" s="26"/>
      <c r="N16" s="26"/>
      <c r="O16" s="26"/>
      <c r="P16" s="26"/>
      <c r="Q16" s="26"/>
      <c r="R16" s="26"/>
      <c r="S16" s="26"/>
      <c r="T16" s="26"/>
      <c r="U16" s="26"/>
      <c r="V16" s="26"/>
      <c r="W16" s="26"/>
      <c r="X16" s="1"/>
      <c r="Y16" s="157"/>
      <c r="Z16" s="157"/>
      <c r="AA16" s="157"/>
      <c r="AB16" s="157"/>
      <c r="AC16" s="200"/>
    </row>
    <row r="17" spans="1:29" ht="12.75">
      <c r="A17" s="53" t="s">
        <v>65</v>
      </c>
      <c r="B17" s="26"/>
      <c r="C17" s="26"/>
      <c r="D17" s="66">
        <f>SUM(D18:D26)</f>
        <v>763182.2913770817</v>
      </c>
      <c r="E17" s="66">
        <f aca="true" t="shared" si="2" ref="E17:AB17">SUM(E18:E26)</f>
        <v>757664.7629518077</v>
      </c>
      <c r="F17" s="66">
        <f t="shared" si="2"/>
        <v>752187.1242360667</v>
      </c>
      <c r="G17" s="66">
        <f t="shared" si="2"/>
        <v>746749.0868418696</v>
      </c>
      <c r="H17" s="66">
        <f t="shared" si="2"/>
        <v>741350.3644661672</v>
      </c>
      <c r="I17" s="66">
        <f t="shared" si="2"/>
        <v>735990.6728757758</v>
      </c>
      <c r="J17" s="66">
        <f t="shared" si="2"/>
        <v>730669.7298924145</v>
      </c>
      <c r="K17" s="66">
        <f t="shared" si="2"/>
        <v>725387.2553778471</v>
      </c>
      <c r="L17" s="66">
        <f t="shared" si="2"/>
        <v>720142.9712191347</v>
      </c>
      <c r="M17" s="66">
        <f t="shared" si="2"/>
        <v>714936.6013139929</v>
      </c>
      <c r="N17" s="66">
        <f t="shared" si="2"/>
        <v>709767.8715562559</v>
      </c>
      <c r="O17" s="66">
        <f t="shared" si="2"/>
        <v>704636.5098214449</v>
      </c>
      <c r="P17" s="66">
        <f t="shared" si="2"/>
        <v>699542.2459524412</v>
      </c>
      <c r="Q17" s="66">
        <f t="shared" si="2"/>
        <v>694484.8117452639</v>
      </c>
      <c r="R17" s="66">
        <f t="shared" si="2"/>
        <v>689463.9409349475</v>
      </c>
      <c r="S17" s="66">
        <f t="shared" si="2"/>
        <v>684479.3691815257</v>
      </c>
      <c r="T17" s="66">
        <f t="shared" si="2"/>
        <v>679530.8340561127</v>
      </c>
      <c r="U17" s="66">
        <f t="shared" si="2"/>
        <v>674618.0750270878</v>
      </c>
      <c r="V17" s="66">
        <f t="shared" si="2"/>
        <v>669740.8334463782</v>
      </c>
      <c r="W17" s="66">
        <f t="shared" si="2"/>
        <v>664898.852535842</v>
      </c>
      <c r="X17" s="66">
        <f t="shared" si="2"/>
        <v>660091.8773737494</v>
      </c>
      <c r="Y17" s="66">
        <f t="shared" si="2"/>
        <v>655319.654881361</v>
      </c>
      <c r="Z17" s="66">
        <f t="shared" si="2"/>
        <v>650581.9338096047</v>
      </c>
      <c r="AA17" s="66">
        <f t="shared" si="2"/>
        <v>645878.4647258461</v>
      </c>
      <c r="AB17" s="66">
        <f t="shared" si="2"/>
        <v>641209.0000007581</v>
      </c>
      <c r="AC17" s="200">
        <f>AB17</f>
        <v>641209.0000007581</v>
      </c>
    </row>
    <row r="18" spans="1:29" ht="12.75">
      <c r="A18" s="51" t="s">
        <v>67</v>
      </c>
      <c r="B18" s="27">
        <f>'[1] Existing SphtSysType PNRES'!Q63</f>
        <v>0.05642394453305556</v>
      </c>
      <c r="C18" s="27"/>
      <c r="D18" s="20">
        <f>$B18*'Total Housing Units'!E$12</f>
        <v>43061.755277270706</v>
      </c>
      <c r="E18" s="20">
        <f>$B18*'Total Housing Units'!F$12</f>
        <v>42750.434559443485</v>
      </c>
      <c r="F18" s="20">
        <f>$B18*'Total Housing Units'!G$12</f>
        <v>42441.3645763744</v>
      </c>
      <c r="G18" s="20">
        <f>$B18*'Total Housing Units'!H$12</f>
        <v>42134.529056075546</v>
      </c>
      <c r="H18" s="20">
        <f>$B18*'Total Housing Units'!I$12</f>
        <v>41829.91184419954</v>
      </c>
      <c r="I18" s="20">
        <f>$B18*'Total Housing Units'!J$12</f>
        <v>41527.49690318902</v>
      </c>
      <c r="J18" s="20">
        <f>$B18*'Total Housing Units'!K$12</f>
        <v>41227.268311432286</v>
      </c>
      <c r="K18" s="20">
        <f>$B18*'Total Housing Units'!L$12</f>
        <v>40929.210262425055</v>
      </c>
      <c r="L18" s="20">
        <f>$B18*'Total Housing Units'!M$12</f>
        <v>40633.30706393828</v>
      </c>
      <c r="M18" s="20">
        <f>$B18*'Total Housing Units'!N$12</f>
        <v>40339.54313719199</v>
      </c>
      <c r="N18" s="20">
        <f>$B18*'Total Housing Units'!O$12</f>
        <v>40047.90301603508</v>
      </c>
      <c r="O18" s="20">
        <f>$B18*'Total Housing Units'!P$12</f>
        <v>39758.37134613106</v>
      </c>
      <c r="P18" s="20">
        <f>$B18*'Total Housing Units'!Q$12</f>
        <v>39470.93288414965</v>
      </c>
      <c r="Q18" s="20">
        <f>$B18*'Total Housing Units'!R$12</f>
        <v>39185.5724969643</v>
      </c>
      <c r="R18" s="20">
        <f>$B18*'Total Housing Units'!S$12</f>
        <v>38902.27516085537</v>
      </c>
      <c r="S18" s="20">
        <f>$B18*'Total Housing Units'!T$12</f>
        <v>38621.025960719264</v>
      </c>
      <c r="T18" s="20">
        <f>$B18*'Total Housing Units'!U$12</f>
        <v>38341.810089283084</v>
      </c>
      <c r="U18" s="20">
        <f>$B18*'Total Housing Units'!V$12</f>
        <v>38064.612846325115</v>
      </c>
      <c r="V18" s="20">
        <f>$B18*'Total Housing Units'!W$12</f>
        <v>37789.41963790084</v>
      </c>
      <c r="W18" s="20">
        <f>$B18*'Total Housing Units'!X$12</f>
        <v>37516.21597557464</v>
      </c>
      <c r="X18" s="20">
        <f>$B18*'Total Housing Units'!Y$12</f>
        <v>37244.98747565695</v>
      </c>
      <c r="Y18" s="20">
        <f>$B18*'Total Housing Units'!Z$12</f>
        <v>36975.71985844704</v>
      </c>
      <c r="Z18" s="20">
        <f>$B18*'Total Housing Units'!AA$12</f>
        <v>36708.39894748116</v>
      </c>
      <c r="AA18" s="20">
        <f>$B18*'Total Housing Units'!AB$12</f>
        <v>36443.01066878622</v>
      </c>
      <c r="AB18" s="20">
        <f>$B18*'Total Housing Units'!AC$12</f>
        <v>36179.541050138796</v>
      </c>
      <c r="AC18" s="200">
        <f aca="true" t="shared" si="3" ref="AC18:AC28">AB18</f>
        <v>36179.541050138796</v>
      </c>
    </row>
    <row r="19" spans="1:29" ht="12.75">
      <c r="A19" s="51" t="s">
        <v>68</v>
      </c>
      <c r="B19" s="27">
        <f>'[1] Existing SphtSysType PNRES'!Q64</f>
        <v>0.033576055466944435</v>
      </c>
      <c r="C19" s="27"/>
      <c r="D19" s="20">
        <f>$B19*'Total Housing Units'!E$12</f>
        <v>25624.650946666643</v>
      </c>
      <c r="E19" s="20">
        <f>$B19*'Total Housing Units'!F$12</f>
        <v>25439.394106219203</v>
      </c>
      <c r="F19" s="20">
        <f>$B19*'Total Housing Units'!G$12</f>
        <v>25255.4766048716</v>
      </c>
      <c r="G19" s="20">
        <f>$B19*'Total Housing Units'!H$12</f>
        <v>25072.88875969272</v>
      </c>
      <c r="H19" s="20">
        <f>$B19*'Total Housing Units'!I$12</f>
        <v>24891.620957755502</v>
      </c>
      <c r="I19" s="20">
        <f>$B19*'Total Housing Units'!J$12</f>
        <v>24711.66365563081</v>
      </c>
      <c r="J19" s="20">
        <f>$B19*'Total Housing Units'!K$12</f>
        <v>24533.007378885017</v>
      </c>
      <c r="K19" s="20">
        <f>$B19*'Total Housing Units'!L$12</f>
        <v>24355.642721581182</v>
      </c>
      <c r="L19" s="20">
        <f>$B19*'Total Housing Units'!M$12</f>
        <v>24179.560345783833</v>
      </c>
      <c r="M19" s="20">
        <f>$B19*'Total Housing Units'!N$12</f>
        <v>24004.750981067366</v>
      </c>
      <c r="N19" s="20">
        <f>$B19*'Total Housing Units'!O$12</f>
        <v>23831.20542402794</v>
      </c>
      <c r="O19" s="20">
        <f>$B19*'Total Housing Units'!P$12</f>
        <v>23658.914537798966</v>
      </c>
      <c r="P19" s="20">
        <f>$B19*'Total Housing Units'!Q$12</f>
        <v>23487.869251570053</v>
      </c>
      <c r="Q19" s="20">
        <f>$B19*'Total Housing Units'!R$12</f>
        <v>23318.06056010944</v>
      </c>
      <c r="R19" s="20">
        <f>$B19*'Total Housing Units'!S$12</f>
        <v>23149.479523289898</v>
      </c>
      <c r="S19" s="20">
        <f>$B19*'Total Housing Units'!T$12</f>
        <v>22982.117265618042</v>
      </c>
      <c r="T19" s="20">
        <f>$B19*'Total Housing Units'!U$12</f>
        <v>22815.964975767052</v>
      </c>
      <c r="U19" s="20">
        <f>$B19*'Total Housing Units'!V$12</f>
        <v>22651.013906112777</v>
      </c>
      <c r="V19" s="20">
        <f>$B19*'Total Housing Units'!W$12</f>
        <v>22487.255372273186</v>
      </c>
      <c r="W19" s="20">
        <f>$B19*'Total Housing Units'!X$12</f>
        <v>22324.68075265114</v>
      </c>
      <c r="X19" s="20">
        <f>$B19*'Total Housing Units'!Y$12</f>
        <v>22163.281487980494</v>
      </c>
      <c r="Y19" s="20">
        <f>$B19*'Total Housing Units'!Z$12</f>
        <v>22003.049080875466</v>
      </c>
      <c r="Z19" s="20">
        <f>$B19*'Total Housing Units'!AA$12</f>
        <v>21843.975095383263</v>
      </c>
      <c r="AA19" s="20">
        <f>$B19*'Total Housing Units'!AB$12</f>
        <v>21686.05115653992</v>
      </c>
      <c r="AB19" s="20">
        <f>$B19*'Total Housing Units'!AC$12</f>
        <v>21529.26894992943</v>
      </c>
      <c r="AC19" s="200">
        <f t="shared" si="3"/>
        <v>21529.26894992943</v>
      </c>
    </row>
    <row r="20" spans="1:29" ht="12.75">
      <c r="A20" s="51" t="s">
        <v>69</v>
      </c>
      <c r="B20" s="27">
        <f>'[1] Existing SphtSysType PNRES'!Q65</f>
        <v>0.06896259887373458</v>
      </c>
      <c r="C20" s="27"/>
      <c r="D20" s="20">
        <f>$B20*'Total Housing Units'!E$12</f>
        <v>52631.03422777531</v>
      </c>
      <c r="E20" s="20">
        <f>$B20*'Total Housing Units'!F$12</f>
        <v>52250.53112820871</v>
      </c>
      <c r="F20" s="20">
        <f>$B20*'Total Housing Units'!G$12</f>
        <v>51872.77892667983</v>
      </c>
      <c r="G20" s="20">
        <f>$B20*'Total Housing Units'!H$12</f>
        <v>51497.75773520345</v>
      </c>
      <c r="H20" s="20">
        <f>$B20*'Total Housing Units'!I$12</f>
        <v>51125.44780957722</v>
      </c>
      <c r="I20" s="20">
        <f>$B20*'Total Housing Units'!J$12</f>
        <v>50755.829548342146</v>
      </c>
      <c r="J20" s="20">
        <f>$B20*'Total Housing Units'!K$12</f>
        <v>50388.88349175058</v>
      </c>
      <c r="K20" s="20">
        <f>$B20*'Total Housing Units'!L$12</f>
        <v>50024.59032074174</v>
      </c>
      <c r="L20" s="20">
        <f>$B20*'Total Housing Units'!M$12</f>
        <v>49662.93085592457</v>
      </c>
      <c r="M20" s="20">
        <f>$B20*'Total Housing Units'!N$12</f>
        <v>49303.88605656799</v>
      </c>
      <c r="N20" s="20">
        <f>$B20*'Total Housing Units'!O$12</f>
        <v>48947.437019598445</v>
      </c>
      <c r="O20" s="20">
        <f>$B20*'Total Housing Units'!P$12</f>
        <v>48593.564978604634</v>
      </c>
      <c r="P20" s="20">
        <f>$B20*'Total Housing Units'!Q$12</f>
        <v>48242.25130284959</v>
      </c>
      <c r="Q20" s="20">
        <f>$B20*'Total Housing Units'!R$12</f>
        <v>47893.4774962897</v>
      </c>
      <c r="R20" s="20">
        <f>$B20*'Total Housing Units'!S$12</f>
        <v>47547.225196601015</v>
      </c>
      <c r="S20" s="20">
        <f>$B20*'Total Housing Units'!T$12</f>
        <v>47203.47617421244</v>
      </c>
      <c r="T20" s="20">
        <f>$B20*'Total Housing Units'!U$12</f>
        <v>46862.212331345996</v>
      </c>
      <c r="U20" s="20">
        <f>$B20*'Total Housing Units'!V$12</f>
        <v>46523.415701064034</v>
      </c>
      <c r="V20" s="20">
        <f>$B20*'Total Housing Units'!W$12</f>
        <v>46187.06844632326</v>
      </c>
      <c r="W20" s="20">
        <f>$B20*'Total Housing Units'!X$12</f>
        <v>45853.152859035676</v>
      </c>
      <c r="X20" s="20">
        <f>$B20*'Total Housing Units'!Y$12</f>
        <v>45521.651359136275</v>
      </c>
      <c r="Y20" s="20">
        <f>$B20*'Total Housing Units'!Z$12</f>
        <v>45192.54649365749</v>
      </c>
      <c r="Z20" s="20">
        <f>$B20*'Total Housing Units'!AA$12</f>
        <v>44865.82093581031</v>
      </c>
      <c r="AA20" s="20">
        <f>$B20*'Total Housing Units'!AB$12</f>
        <v>44541.45748407205</v>
      </c>
      <c r="AB20" s="20">
        <f>$B20*'Total Housing Units'!AC$12</f>
        <v>44219.43906128076</v>
      </c>
      <c r="AC20" s="200">
        <f t="shared" si="3"/>
        <v>44219.43906128076</v>
      </c>
    </row>
    <row r="21" spans="1:29" ht="12.75">
      <c r="A21" s="51" t="s">
        <v>70</v>
      </c>
      <c r="B21" s="27">
        <f>'[1] Existing SphtSysType PNRES'!Q66</f>
        <v>0.04103740112626542</v>
      </c>
      <c r="C21" s="27"/>
      <c r="D21" s="20">
        <f>$B21*'Total Housing Units'!E$12</f>
        <v>31319.017823703678</v>
      </c>
      <c r="E21" s="20">
        <f>$B21*'Total Housing Units'!F$12</f>
        <v>31092.59279649014</v>
      </c>
      <c r="F21" s="20">
        <f>$B21*'Total Housing Units'!G$12</f>
        <v>30867.804739287512</v>
      </c>
      <c r="G21" s="20">
        <f>$B21*'Total Housing Units'!H$12</f>
        <v>30644.64181740222</v>
      </c>
      <c r="H21" s="20">
        <f>$B21*'Total Housing Units'!I$12</f>
        <v>30423.09228170117</v>
      </c>
      <c r="I21" s="20">
        <f>$B21*'Total Housing Units'!J$12</f>
        <v>30203.144467993214</v>
      </c>
      <c r="J21" s="20">
        <f>$B21*'Total Housing Units'!K$12</f>
        <v>29984.786796415025</v>
      </c>
      <c r="K21" s="20">
        <f>$B21*'Total Housing Units'!L$12</f>
        <v>29768.00777082145</v>
      </c>
      <c r="L21" s="20">
        <f>$B21*'Total Housing Units'!M$12</f>
        <v>29552.795978180242</v>
      </c>
      <c r="M21" s="20">
        <f>$B21*'Total Housing Units'!N$12</f>
        <v>29339.140087971224</v>
      </c>
      <c r="N21" s="20">
        <f>$B21*'Total Housing Units'!O$12</f>
        <v>29127.028851589705</v>
      </c>
      <c r="O21" s="20">
        <f>$B21*'Total Housing Units'!P$12</f>
        <v>28916.451101754294</v>
      </c>
      <c r="P21" s="20">
        <f>$B21*'Total Housing Units'!Q$12</f>
        <v>28707.395751918957</v>
      </c>
      <c r="Q21" s="20">
        <f>$B21*'Total Housing Units'!R$12</f>
        <v>28499.851795689316</v>
      </c>
      <c r="R21" s="20">
        <f>$B21*'Total Housing Units'!S$12</f>
        <v>28293.80830624321</v>
      </c>
      <c r="S21" s="20">
        <f>$B21*'Total Housing Units'!T$12</f>
        <v>28089.25443575539</v>
      </c>
      <c r="T21" s="20">
        <f>$B21*'Total Housing Units'!U$12</f>
        <v>27886.1794148264</v>
      </c>
      <c r="U21" s="20">
        <f>$B21*'Total Housing Units'!V$12</f>
        <v>27684.572551915622</v>
      </c>
      <c r="V21" s="20">
        <f>$B21*'Total Housing Units'!W$12</f>
        <v>27484.42323277834</v>
      </c>
      <c r="W21" s="20">
        <f>$B21*'Total Housing Units'!X$12</f>
        <v>27285.720919906948</v>
      </c>
      <c r="X21" s="20">
        <f>$B21*'Total Housing Units'!Y$12</f>
        <v>27088.45515197616</v>
      </c>
      <c r="Y21" s="20">
        <f>$B21*'Total Housing Units'!Z$12</f>
        <v>26892.61554329224</v>
      </c>
      <c r="Z21" s="20">
        <f>$B21*'Total Housing Units'!AA$12</f>
        <v>26698.19178324621</v>
      </c>
      <c r="AA21" s="20">
        <f>$B21*'Total Housing Units'!AB$12</f>
        <v>26505.173635771018</v>
      </c>
      <c r="AB21" s="20">
        <f>$B21*'Total Housing Units'!AC$12</f>
        <v>26313.550938802637</v>
      </c>
      <c r="AC21" s="200">
        <f t="shared" si="3"/>
        <v>26313.550938802637</v>
      </c>
    </row>
    <row r="22" spans="1:29" ht="12.75">
      <c r="A22" s="51" t="s">
        <v>71</v>
      </c>
      <c r="B22" s="27">
        <f>'[1] Existing SphtSysType PNRES'!Q67</f>
        <v>0.0761208275428062</v>
      </c>
      <c r="C22" s="27">
        <f>B22/(SUM(B$22:B$24))</f>
        <v>0.10673000274782828</v>
      </c>
      <c r="D22" s="20">
        <f>$B22*'Total Housing Units'!E$12</f>
        <v>58094.067585638506</v>
      </c>
      <c r="E22" s="20">
        <f>$B22*'Total Housing Units'!F$12</f>
        <v>57674.0687559157</v>
      </c>
      <c r="F22" s="20">
        <f>$B22*'Total Housing Units'!G$12</f>
        <v>57257.10636389298</v>
      </c>
      <c r="G22" s="20">
        <f>$B22*'Total Housing Units'!H$12</f>
        <v>56843.15845723797</v>
      </c>
      <c r="H22" s="20">
        <f>$B22*'Total Housing Units'!I$12</f>
        <v>56432.20324232564</v>
      </c>
      <c r="I22" s="20">
        <f>$B22*'Total Housing Units'!J$12</f>
        <v>56024.21908309084</v>
      </c>
      <c r="J22" s="20">
        <f>$B22*'Total Housing Units'!K$12</f>
        <v>55619.18449988928</v>
      </c>
      <c r="K22" s="20">
        <f>$B22*'Total Housing Units'!L$12</f>
        <v>55217.07816836662</v>
      </c>
      <c r="L22" s="20">
        <f>$B22*'Total Housing Units'!M$12</f>
        <v>54817.8789183358</v>
      </c>
      <c r="M22" s="20">
        <f>$B22*'Total Housing Units'!N$12</f>
        <v>54421.56573266245</v>
      </c>
      <c r="N22" s="20">
        <f>$B22*'Total Housing Units'!O$12</f>
        <v>54028.11774615838</v>
      </c>
      <c r="O22" s="20">
        <f>$B22*'Total Housing Units'!P$12</f>
        <v>53637.51424448306</v>
      </c>
      <c r="P22" s="20">
        <f>$B22*'Total Housing Units'!Q$12</f>
        <v>53249.7346630531</v>
      </c>
      <c r="Q22" s="20">
        <f>$B22*'Total Housing Units'!R$12</f>
        <v>52864.758585959455</v>
      </c>
      <c r="R22" s="20">
        <f>$B22*'Total Housing Units'!S$12</f>
        <v>52482.56574489266</v>
      </c>
      <c r="S22" s="20">
        <f>$B22*'Total Housing Units'!T$12</f>
        <v>52103.1360180757</v>
      </c>
      <c r="T22" s="20">
        <f>$B22*'Total Housing Units'!U$12</f>
        <v>51726.449429204615</v>
      </c>
      <c r="U22" s="20">
        <f>$B22*'Total Housing Units'!V$12</f>
        <v>51352.48614639684</v>
      </c>
      <c r="V22" s="20">
        <f>$B22*'Total Housing Units'!W$12</f>
        <v>50981.226481147045</v>
      </c>
      <c r="W22" s="20">
        <f>$B22*'Total Housing Units'!X$12</f>
        <v>50612.65088729056</v>
      </c>
      <c r="X22" s="20">
        <f>$B22*'Total Housing Units'!Y$12</f>
        <v>50246.73995997436</v>
      </c>
      <c r="Y22" s="20">
        <f>$B22*'Total Housing Units'!Z$12</f>
        <v>49883.47443463538</v>
      </c>
      <c r="Z22" s="20">
        <f>$B22*'Total Housing Units'!AA$12</f>
        <v>49522.83518598628</v>
      </c>
      <c r="AA22" s="20">
        <f>$B22*'Total Housing Units'!AB$12</f>
        <v>49164.80322700857</v>
      </c>
      <c r="AB22" s="20">
        <f>$B22*'Total Housing Units'!AC$12</f>
        <v>48809.35970795293</v>
      </c>
      <c r="AC22" s="200">
        <f t="shared" si="3"/>
        <v>48809.35970795293</v>
      </c>
    </row>
    <row r="23" spans="1:29" ht="12.75">
      <c r="A23" s="51" t="s">
        <v>9</v>
      </c>
      <c r="B23" s="27">
        <f>'[1] Existing SphtSysType PNRES'!Q68</f>
        <v>0.012913181424862995</v>
      </c>
      <c r="C23" s="27">
        <f>B23/(SUM(B$22:B$24))</f>
        <v>0.01810573969632417</v>
      </c>
      <c r="D23" s="20">
        <f>$B23*'Total Housing Units'!E$12</f>
        <v>9855.111388794909</v>
      </c>
      <c r="E23" s="20">
        <f>$B23*'Total Housing Units'!F$12</f>
        <v>9783.862543222507</v>
      </c>
      <c r="F23" s="20">
        <f>$B23*'Total Housing Units'!G$12</f>
        <v>9713.12880070629</v>
      </c>
      <c r="G23" s="20">
        <f>$B23*'Total Housing Units'!H$12</f>
        <v>9642.906437239835</v>
      </c>
      <c r="H23" s="20">
        <f>$B23*'Total Housing Units'!I$12</f>
        <v>9573.191755739921</v>
      </c>
      <c r="I23" s="20">
        <f>$B23*'Total Housing Units'!J$12</f>
        <v>9503.981085851887</v>
      </c>
      <c r="J23" s="20">
        <f>$B23*'Total Housing Units'!K$12</f>
        <v>9435.270783756388</v>
      </c>
      <c r="K23" s="20">
        <f>$B23*'Total Housing Units'!L$12</f>
        <v>9367.057231977566</v>
      </c>
      <c r="L23" s="20">
        <f>$B23*'Total Housing Units'!M$12</f>
        <v>9299.336839192576</v>
      </c>
      <c r="M23" s="20">
        <f>$B23*'Total Housing Units'!N$12</f>
        <v>9232.106040042534</v>
      </c>
      <c r="N23" s="20">
        <f>$B23*'Total Housing Units'!O$12</f>
        <v>9165.361294944787</v>
      </c>
      <c r="O23" s="20">
        <f>$B23*'Total Housing Units'!P$12</f>
        <v>9099.099089906571</v>
      </c>
      <c r="P23" s="20">
        <f>$B23*'Total Housing Units'!Q$12</f>
        <v>9033.315936340005</v>
      </c>
      <c r="Q23" s="20">
        <f>$B23*'Total Housing Units'!R$12</f>
        <v>8968.008370878413</v>
      </c>
      <c r="R23" s="20">
        <f>$B23*'Total Housing Units'!S$12</f>
        <v>8903.172955194</v>
      </c>
      <c r="S23" s="20">
        <f>$B23*'Total Housing Units'!T$12</f>
        <v>8838.806275816818</v>
      </c>
      <c r="T23" s="20">
        <f>$B23*'Total Housing Units'!U$12</f>
        <v>8774.904943955053</v>
      </c>
      <c r="U23" s="20">
        <f>$B23*'Total Housing Units'!V$12</f>
        <v>8711.465595316618</v>
      </c>
      <c r="V23" s="20">
        <f>$B23*'Total Housing Units'!W$12</f>
        <v>8648.484889932031</v>
      </c>
      <c r="W23" s="20">
        <f>$B23*'Total Housing Units'!X$12</f>
        <v>8585.959511978554</v>
      </c>
      <c r="X23" s="20">
        <f>$B23*'Total Housing Units'!Y$12</f>
        <v>8523.886169605643</v>
      </c>
      <c r="Y23" s="20">
        <f>$B23*'Total Housing Units'!Z$12</f>
        <v>8462.261594761621</v>
      </c>
      <c r="Z23" s="20">
        <f>$B23*'Total Housing Units'!AA$12</f>
        <v>8401.082543021634</v>
      </c>
      <c r="AA23" s="20">
        <f>$B23*'Total Housing Units'!AB$12</f>
        <v>8340.345793416824</v>
      </c>
      <c r="AB23" s="20">
        <f>$B23*'Total Housing Units'!AC$12</f>
        <v>8280.048148264765</v>
      </c>
      <c r="AC23" s="200">
        <f t="shared" si="3"/>
        <v>8280.048148264765</v>
      </c>
    </row>
    <row r="24" spans="1:29" ht="12.75">
      <c r="A24" s="51" t="s">
        <v>73</v>
      </c>
      <c r="B24" s="27">
        <f>'[1] Existing SphtSysType PNRES'!Q69</f>
        <v>0.6241752628680808</v>
      </c>
      <c r="C24" s="27">
        <f>B24/(SUM(B$22:B$24))</f>
        <v>0.8751642575558475</v>
      </c>
      <c r="D24" s="20">
        <f>$B24*'Total Housing Units'!E$12</f>
        <v>476359.5073365542</v>
      </c>
      <c r="E24" s="20">
        <f>$B24*'Total Housing Units'!F$12</f>
        <v>472915.6025813267</v>
      </c>
      <c r="F24" s="20">
        <f>$B24*'Total Housing Units'!G$12</f>
        <v>469496.5959960327</v>
      </c>
      <c r="G24" s="20">
        <f>$B24*'Total Housing Units'!H$12</f>
        <v>466102.3075760233</v>
      </c>
      <c r="H24" s="20">
        <f>$B24*'Total Housing Units'!I$12</f>
        <v>462732.5586180174</v>
      </c>
      <c r="I24" s="20">
        <f>$B24*'Total Housing Units'!J$12</f>
        <v>459387.1717106931</v>
      </c>
      <c r="J24" s="20">
        <f>$B24*'Total Housing Units'!K$12</f>
        <v>456065.9707253474</v>
      </c>
      <c r="K24" s="20">
        <f>$B24*'Total Housing Units'!L$12</f>
        <v>452768.7808066234</v>
      </c>
      <c r="L24" s="20">
        <f>$B24*'Total Housing Units'!M$12</f>
        <v>449495.4283633041</v>
      </c>
      <c r="M24" s="20">
        <f>$B24*'Total Housing Units'!N$12</f>
        <v>446245.7410591738</v>
      </c>
      <c r="N24" s="20">
        <f>$B24*'Total Housing Units'!O$12</f>
        <v>443019.5478039442</v>
      </c>
      <c r="O24" s="20">
        <f>$B24*'Total Housing Units'!P$12</f>
        <v>439816.67874424724</v>
      </c>
      <c r="P24" s="20">
        <f>$B24*'Total Housing Units'!Q$12</f>
        <v>436636.96525469265</v>
      </c>
      <c r="Q24" s="20">
        <f>$B24*'Total Housing Units'!R$12</f>
        <v>433480.2399289896</v>
      </c>
      <c r="R24" s="20">
        <f>$B24*'Total Housing Units'!S$12</f>
        <v>430346.33657113375</v>
      </c>
      <c r="S24" s="20">
        <f>$B24*'Total Housing Units'!T$12</f>
        <v>427235.0901866569</v>
      </c>
      <c r="T24" s="20">
        <f>$B24*'Total Housing Units'!U$12</f>
        <v>424146.3369739403</v>
      </c>
      <c r="U24" s="20">
        <f>$B24*'Total Housing Units'!V$12</f>
        <v>421079.9143155911</v>
      </c>
      <c r="V24" s="20">
        <f>$B24*'Total Housing Units'!W$12</f>
        <v>418035.6607698806</v>
      </c>
      <c r="W24" s="20">
        <f>$B24*'Total Housing Units'!X$12</f>
        <v>415013.41606224445</v>
      </c>
      <c r="X24" s="20">
        <f>$B24*'Total Housing Units'!Y$12</f>
        <v>412013.02107684495</v>
      </c>
      <c r="Y24" s="20">
        <f>$B24*'Total Housing Units'!Z$12</f>
        <v>409034.3178481936</v>
      </c>
      <c r="Z24" s="20">
        <f>$B24*'Total Housing Units'!AA$12</f>
        <v>406077.14955283434</v>
      </c>
      <c r="AA24" s="20">
        <f>$B24*'Total Housing Units'!AB$12</f>
        <v>403141.3605010874</v>
      </c>
      <c r="AB24" s="20">
        <f>$B24*'Total Housing Units'!AC$12</f>
        <v>400226.7961288524</v>
      </c>
      <c r="AC24" s="200">
        <f t="shared" si="3"/>
        <v>400226.7961288524</v>
      </c>
    </row>
    <row r="25" spans="1:29" ht="12.75">
      <c r="A25" s="51" t="s">
        <v>72</v>
      </c>
      <c r="B25" s="27">
        <f>'[1] Existing SphtSysType PNRES'!Q70</f>
        <v>0.026790728164250027</v>
      </c>
      <c r="C25" s="27"/>
      <c r="D25" s="20">
        <f>$B25*'Total Housing Units'!E$12</f>
        <v>20446.20930805285</v>
      </c>
      <c r="E25" s="20">
        <f>$B25*'Total Housing Units'!F$12</f>
        <v>20298.390703872814</v>
      </c>
      <c r="F25" s="20">
        <f>$B25*'Total Housing Units'!G$12</f>
        <v>20151.640774057425</v>
      </c>
      <c r="G25" s="20">
        <f>$B25*'Total Housing Units'!H$12</f>
        <v>20005.951792482465</v>
      </c>
      <c r="H25" s="20">
        <f>$B25*'Total Housing Units'!I$12</f>
        <v>19861.316088880765</v>
      </c>
      <c r="I25" s="20">
        <f>$B25*'Total Housing Units'!J$12</f>
        <v>19717.72604843838</v>
      </c>
      <c r="J25" s="20">
        <f>$B25*'Total Housing Units'!K$12</f>
        <v>19575.17411139367</v>
      </c>
      <c r="K25" s="20">
        <f>$B25*'Total Housing Units'!L$12</f>
        <v>19433.652772639314</v>
      </c>
      <c r="L25" s="20">
        <f>$B25*'Total Housing Units'!M$12</f>
        <v>19293.154581327166</v>
      </c>
      <c r="M25" s="20">
        <f>$B25*'Total Housing Units'!N$12</f>
        <v>19153.67214047598</v>
      </c>
      <c r="N25" s="20">
        <f>$B25*'Total Housing Units'!O$12</f>
        <v>19015.19810658198</v>
      </c>
      <c r="O25" s="20">
        <f>$B25*'Total Housing Units'!P$12</f>
        <v>18877.72518923222</v>
      </c>
      <c r="P25" s="20">
        <f>$B25*'Total Housing Units'!Q$12</f>
        <v>18741.246150720788</v>
      </c>
      <c r="Q25" s="20">
        <f>$B25*'Total Housing Units'!R$12</f>
        <v>18605.753805667715</v>
      </c>
      <c r="R25" s="20">
        <f>$B25*'Total Housing Units'!S$12</f>
        <v>18471.241020640715</v>
      </c>
      <c r="S25" s="20">
        <f>$B25*'Total Housing Units'!T$12</f>
        <v>18337.70071377959</v>
      </c>
      <c r="T25" s="20">
        <f>$B25*'Total Housing Units'!U$12</f>
        <v>18205.125854423408</v>
      </c>
      <c r="U25" s="20">
        <f>$B25*'Total Housing Units'!V$12</f>
        <v>18073.509462740338</v>
      </c>
      <c r="V25" s="20">
        <f>$B25*'Total Housing Units'!W$12</f>
        <v>17942.844609360167</v>
      </c>
      <c r="W25" s="20">
        <f>$B25*'Total Housing Units'!X$12</f>
        <v>17813.124415009508</v>
      </c>
      <c r="X25" s="20">
        <f>$B25*'Total Housing Units'!Y$12</f>
        <v>17684.342050149582</v>
      </c>
      <c r="Y25" s="20">
        <f>$B25*'Total Housing Units'!Z$12</f>
        <v>17556.49073461669</v>
      </c>
      <c r="Z25" s="20">
        <f>$B25*'Total Housing Units'!AA$12</f>
        <v>17429.563737265224</v>
      </c>
      <c r="AA25" s="20">
        <f>$B25*'Total Housing Units'!AB$12</f>
        <v>17303.55437561329</v>
      </c>
      <c r="AB25" s="20">
        <f>$B25*'Total Housing Units'!AC$12</f>
        <v>17178.456015490905</v>
      </c>
      <c r="AC25" s="200">
        <f t="shared" si="3"/>
        <v>17178.456015490905</v>
      </c>
    </row>
    <row r="26" spans="1:29" ht="12.75">
      <c r="A26" s="51" t="s">
        <v>10</v>
      </c>
      <c r="B26" s="27">
        <f>'[1] Existing SphtSysType PNRES'!Q71</f>
        <v>0.06</v>
      </c>
      <c r="C26" s="27"/>
      <c r="D26" s="20">
        <f>$B26*'Total Housing Units'!E$12</f>
        <v>45790.9374826249</v>
      </c>
      <c r="E26" s="20">
        <f>$B26*'Total Housing Units'!F$12</f>
        <v>45459.88577710846</v>
      </c>
      <c r="F26" s="20">
        <f>$B26*'Total Housing Units'!G$12</f>
        <v>45131.227454164</v>
      </c>
      <c r="G26" s="20">
        <f>$B26*'Total Housing Units'!H$12</f>
        <v>44804.945210512175</v>
      </c>
      <c r="H26" s="20">
        <f>$B26*'Total Housing Units'!I$12</f>
        <v>44481.02186797003</v>
      </c>
      <c r="I26" s="20">
        <f>$B26*'Total Housing Units'!J$12</f>
        <v>44159.44037254655</v>
      </c>
      <c r="J26" s="20">
        <f>$B26*'Total Housing Units'!K$12</f>
        <v>43840.18379354487</v>
      </c>
      <c r="K26" s="20">
        <f>$B26*'Total Housing Units'!L$12</f>
        <v>43523.23532267082</v>
      </c>
      <c r="L26" s="20">
        <f>$B26*'Total Housing Units'!M$12</f>
        <v>43208.57827314808</v>
      </c>
      <c r="M26" s="20">
        <f>$B26*'Total Housing Units'!N$12</f>
        <v>42896.19607883957</v>
      </c>
      <c r="N26" s="20">
        <f>$B26*'Total Housing Units'!O$12</f>
        <v>42586.07229337535</v>
      </c>
      <c r="O26" s="20">
        <f>$B26*'Total Housing Units'!P$12</f>
        <v>42278.190589286685</v>
      </c>
      <c r="P26" s="20">
        <f>$B26*'Total Housing Units'!Q$12</f>
        <v>41972.53475714647</v>
      </c>
      <c r="Q26" s="20">
        <f>$B26*'Total Housing Units'!R$12</f>
        <v>41669.088704715825</v>
      </c>
      <c r="R26" s="20">
        <f>$B26*'Total Housing Units'!S$12</f>
        <v>41367.83645609685</v>
      </c>
      <c r="S26" s="20">
        <f>$B26*'Total Housing Units'!T$12</f>
        <v>41068.76215089154</v>
      </c>
      <c r="T26" s="20">
        <f>$B26*'Total Housing Units'!U$12</f>
        <v>40771.85004336676</v>
      </c>
      <c r="U26" s="20">
        <f>$B26*'Total Housing Units'!V$12</f>
        <v>40477.084501625264</v>
      </c>
      <c r="V26" s="20">
        <f>$B26*'Total Housing Units'!W$12</f>
        <v>40184.45000678269</v>
      </c>
      <c r="W26" s="20">
        <f>$B26*'Total Housing Units'!X$12</f>
        <v>39893.931152150515</v>
      </c>
      <c r="X26" s="20">
        <f>$B26*'Total Housing Units'!Y$12</f>
        <v>39605.51264242496</v>
      </c>
      <c r="Y26" s="20">
        <f>$B26*'Total Housing Units'!Z$12</f>
        <v>39319.17929288167</v>
      </c>
      <c r="Z26" s="20">
        <f>$B26*'Total Housing Units'!AA$12</f>
        <v>39034.916028576285</v>
      </c>
      <c r="AA26" s="20">
        <f>$B26*'Total Housing Units'!AB$12</f>
        <v>38752.707883550764</v>
      </c>
      <c r="AB26" s="20">
        <f>$B26*'Total Housing Units'!AC$12</f>
        <v>38472.54000004548</v>
      </c>
      <c r="AC26" s="200">
        <f t="shared" si="3"/>
        <v>38472.54000004548</v>
      </c>
    </row>
    <row r="27" spans="1:29" ht="12.75">
      <c r="A27" s="193"/>
      <c r="B27" s="157"/>
      <c r="C27" s="157"/>
      <c r="D27" s="20"/>
      <c r="E27" s="20"/>
      <c r="F27" s="20"/>
      <c r="G27" s="20"/>
      <c r="H27" s="20"/>
      <c r="I27" s="20"/>
      <c r="J27" s="20"/>
      <c r="K27" s="20"/>
      <c r="L27" s="20"/>
      <c r="M27" s="20"/>
      <c r="N27" s="20"/>
      <c r="O27" s="20"/>
      <c r="P27" s="20"/>
      <c r="Q27" s="20"/>
      <c r="R27" s="20"/>
      <c r="S27" s="20"/>
      <c r="T27" s="20"/>
      <c r="U27" s="20"/>
      <c r="V27" s="20"/>
      <c r="W27" s="20"/>
      <c r="X27" s="1"/>
      <c r="Y27" s="157"/>
      <c r="Z27" s="157"/>
      <c r="AA27" s="157"/>
      <c r="AB27" s="157"/>
      <c r="AC27" s="200"/>
    </row>
    <row r="28" spans="1:29" ht="12.75">
      <c r="A28" s="52" t="s">
        <v>26</v>
      </c>
      <c r="B28" s="160">
        <v>0.1</v>
      </c>
      <c r="C28" s="160"/>
      <c r="D28" s="20">
        <f>$B28*'Total Housing Units'!E$12</f>
        <v>76318.22913770817</v>
      </c>
      <c r="E28" s="20">
        <f>$B28*'Total Housing Units'!F$12</f>
        <v>75766.47629518078</v>
      </c>
      <c r="F28" s="20">
        <f>$B28*'Total Housing Units'!G$12</f>
        <v>75218.71242360667</v>
      </c>
      <c r="G28" s="20">
        <f>$B28*'Total Housing Units'!H$12</f>
        <v>74674.90868418697</v>
      </c>
      <c r="H28" s="20">
        <f>$B28*'Total Housing Units'!I$12</f>
        <v>74135.03644661672</v>
      </c>
      <c r="I28" s="20">
        <f>$B28*'Total Housing Units'!J$12</f>
        <v>73599.06728757759</v>
      </c>
      <c r="J28" s="20">
        <f>$B28*'Total Housing Units'!K$12</f>
        <v>73066.97298924146</v>
      </c>
      <c r="K28" s="20">
        <f>$B28*'Total Housing Units'!L$12</f>
        <v>72538.72553778472</v>
      </c>
      <c r="L28" s="20">
        <f>$B28*'Total Housing Units'!M$12</f>
        <v>72014.29712191346</v>
      </c>
      <c r="M28" s="20">
        <f>$B28*'Total Housing Units'!N$12</f>
        <v>71493.66013139929</v>
      </c>
      <c r="N28" s="20">
        <f>$B28*'Total Housing Units'!O$12</f>
        <v>70976.78715562559</v>
      </c>
      <c r="O28" s="20">
        <f>$B28*'Total Housing Units'!P$12</f>
        <v>70463.65098214448</v>
      </c>
      <c r="P28" s="20">
        <f>$B28*'Total Housing Units'!Q$12</f>
        <v>69954.22459524413</v>
      </c>
      <c r="Q28" s="20">
        <f>$B28*'Total Housing Units'!R$12</f>
        <v>69448.48117452637</v>
      </c>
      <c r="R28" s="20">
        <f>$B28*'Total Housing Units'!S$12</f>
        <v>68946.39409349475</v>
      </c>
      <c r="S28" s="20">
        <f>$B28*'Total Housing Units'!T$12</f>
        <v>68447.93691815257</v>
      </c>
      <c r="T28" s="20">
        <f>$B28*'Total Housing Units'!U$12</f>
        <v>67953.08340561127</v>
      </c>
      <c r="U28" s="20">
        <f>$B28*'Total Housing Units'!V$12</f>
        <v>67461.80750270878</v>
      </c>
      <c r="V28" s="20">
        <f>$B28*'Total Housing Units'!W$12</f>
        <v>66974.08334463781</v>
      </c>
      <c r="W28" s="20">
        <f>$B28*'Total Housing Units'!X$12</f>
        <v>66489.8852535842</v>
      </c>
      <c r="X28" s="20">
        <f>$B28*'Total Housing Units'!Y$12</f>
        <v>66009.18773737494</v>
      </c>
      <c r="Y28" s="20">
        <f>$B28*'Total Housing Units'!Z$12</f>
        <v>65531.96548813612</v>
      </c>
      <c r="Z28" s="20">
        <f>$B28*'Total Housing Units'!AA$12</f>
        <v>65058.193380960474</v>
      </c>
      <c r="AA28" s="20">
        <f>$B28*'Total Housing Units'!AB$12</f>
        <v>64587.84647258461</v>
      </c>
      <c r="AB28" s="20">
        <f>$B28*'Total Housing Units'!AC$12</f>
        <v>64120.90000007581</v>
      </c>
      <c r="AC28" s="200">
        <f t="shared" si="3"/>
        <v>64120.90000007581</v>
      </c>
    </row>
    <row r="29" spans="1:29" ht="12.75">
      <c r="A29" s="51"/>
      <c r="B29" s="26"/>
      <c r="C29" s="26"/>
      <c r="D29" s="26"/>
      <c r="E29" s="26"/>
      <c r="F29" s="26"/>
      <c r="G29" s="26"/>
      <c r="H29" s="26"/>
      <c r="I29" s="26"/>
      <c r="J29" s="26"/>
      <c r="K29" s="26"/>
      <c r="L29" s="26"/>
      <c r="M29" s="26"/>
      <c r="N29" s="26"/>
      <c r="O29" s="26"/>
      <c r="P29" s="26"/>
      <c r="Q29" s="26"/>
      <c r="R29" s="26"/>
      <c r="S29" s="26"/>
      <c r="T29" s="26"/>
      <c r="U29" s="26"/>
      <c r="V29" s="26"/>
      <c r="W29" s="26"/>
      <c r="X29" s="1"/>
      <c r="Y29" s="157"/>
      <c r="Z29" s="157"/>
      <c r="AA29" s="157"/>
      <c r="AB29" s="157"/>
      <c r="AC29" s="200"/>
    </row>
    <row r="30" spans="1:29" ht="12.75">
      <c r="A30" s="53" t="s">
        <v>11</v>
      </c>
      <c r="B30" s="26"/>
      <c r="C30" s="26"/>
      <c r="D30" s="66">
        <f>SUM(D31:D39)</f>
        <v>454694.5755388308</v>
      </c>
      <c r="E30" s="66">
        <f aca="true" t="shared" si="4" ref="E30:W30">SUM(E31:E39)</f>
        <v>447599.61425678513</v>
      </c>
      <c r="F30" s="66">
        <f t="shared" si="4"/>
        <v>440615.36130138714</v>
      </c>
      <c r="G30" s="66">
        <f t="shared" si="4"/>
        <v>433740.08920252084</v>
      </c>
      <c r="H30" s="66">
        <f t="shared" si="4"/>
        <v>426972.09744516114</v>
      </c>
      <c r="I30" s="66">
        <f t="shared" si="4"/>
        <v>420309.712048772</v>
      </c>
      <c r="J30" s="66">
        <f t="shared" si="4"/>
        <v>413751.28515326756</v>
      </c>
      <c r="K30" s="66">
        <f t="shared" si="4"/>
        <v>407295.19461143436</v>
      </c>
      <c r="L30" s="66">
        <f t="shared" si="4"/>
        <v>400939.8435877126</v>
      </c>
      <c r="M30" s="66">
        <f t="shared" si="4"/>
        <v>394683.6601632386</v>
      </c>
      <c r="N30" s="66">
        <f t="shared" si="4"/>
        <v>388525.0969470492</v>
      </c>
      <c r="O30" s="66">
        <f t="shared" si="4"/>
        <v>382462.630693354</v>
      </c>
      <c r="P30" s="66">
        <f t="shared" si="4"/>
        <v>376494.7619247789</v>
      </c>
      <c r="Q30" s="66">
        <f t="shared" si="4"/>
        <v>370620.0145614882</v>
      </c>
      <c r="R30" s="66">
        <f t="shared" si="4"/>
        <v>364836.9355560945</v>
      </c>
      <c r="S30" s="66">
        <f t="shared" si="4"/>
        <v>359144.09453426517</v>
      </c>
      <c r="T30" s="66">
        <f t="shared" si="4"/>
        <v>353540.08344093646</v>
      </c>
      <c r="U30" s="66">
        <f t="shared" si="4"/>
        <v>348023.5161920482</v>
      </c>
      <c r="V30" s="66">
        <f t="shared" si="4"/>
        <v>342593.02833171276</v>
      </c>
      <c r="W30" s="66">
        <f t="shared" si="4"/>
        <v>337247.2766947334</v>
      </c>
      <c r="X30" s="66">
        <f>SUM(X31:X39)</f>
        <v>331984.9390743891</v>
      </c>
      <c r="Y30" s="66">
        <f>SUM(Y31:Y39)</f>
        <v>326804.713895402</v>
      </c>
      <c r="Z30" s="66">
        <f>SUM(Z31:Z39)</f>
        <v>321705.31989200925</v>
      </c>
      <c r="AA30" s="66">
        <f>SUM(AA31:AA39)</f>
        <v>316685.4957910573</v>
      </c>
      <c r="AB30" s="66">
        <f>SUM(AB31:AB39)</f>
        <v>311744.00000004104</v>
      </c>
      <c r="AC30" s="200">
        <f>AB30</f>
        <v>311744.00000004104</v>
      </c>
    </row>
    <row r="31" spans="1:29" ht="12.75">
      <c r="A31" s="51" t="s">
        <v>67</v>
      </c>
      <c r="B31" s="28">
        <f>'[1] Existing SphtSysType PNRES'!Q74</f>
        <v>0.07705595698201982</v>
      </c>
      <c r="C31" s="28"/>
      <c r="D31" s="20">
        <f>$B31*'Total Housing Units'!E$13</f>
        <v>35036.92565267791</v>
      </c>
      <c r="E31" s="20">
        <f>$B31*'Total Housing Units'!F$13</f>
        <v>34490.216621339496</v>
      </c>
      <c r="F31" s="20">
        <f>$B31*'Total Housing Units'!G$13</f>
        <v>33952.038326056805</v>
      </c>
      <c r="G31" s="20">
        <f>$B31*'Total Housing Units'!H$13</f>
        <v>33422.25765496689</v>
      </c>
      <c r="H31" s="20">
        <f>$B31*'Total Housing Units'!I$13</f>
        <v>32900.74357325712</v>
      </c>
      <c r="I31" s="20">
        <f>$B31*'Total Housing Units'!J$13</f>
        <v>32387.367090755317</v>
      </c>
      <c r="J31" s="20">
        <f>$B31*'Total Housing Units'!K$13</f>
        <v>31882.001230025606</v>
      </c>
      <c r="K31" s="20">
        <f>$B31*'Total Housing Units'!L$13</f>
        <v>31384.52099496208</v>
      </c>
      <c r="L31" s="20">
        <f>$B31*'Total Housing Units'!M$13</f>
        <v>30894.803339872542</v>
      </c>
      <c r="M31" s="20">
        <f>$B31*'Total Housing Units'!N$13</f>
        <v>30412.727139044644</v>
      </c>
      <c r="N31" s="20">
        <f>$B31*'Total Housing Units'!O$13</f>
        <v>29938.173156786903</v>
      </c>
      <c r="O31" s="20">
        <f>$B31*'Total Housing Units'!P$13</f>
        <v>29471.024017937223</v>
      </c>
      <c r="P31" s="20">
        <f>$B31*'Total Housing Units'!Q$13</f>
        <v>29011.164178831557</v>
      </c>
      <c r="Q31" s="20">
        <f>$B31*'Total Housing Units'!R$13</f>
        <v>28558.479898725593</v>
      </c>
      <c r="R31" s="20">
        <f>$B31*'Total Housing Units'!S$13</f>
        <v>28112.859211662355</v>
      </c>
      <c r="S31" s="20">
        <f>$B31*'Total Housing Units'!T$13</f>
        <v>27674.1918987788</v>
      </c>
      <c r="T31" s="20">
        <f>$B31*'Total Housing Units'!U$13</f>
        <v>27242.3694610445</v>
      </c>
      <c r="U31" s="20">
        <f>$B31*'Total Housing Units'!V$13</f>
        <v>26817.285092425744</v>
      </c>
      <c r="V31" s="20">
        <f>$B31*'Total Housing Units'!W$13</f>
        <v>26398.833653468355</v>
      </c>
      <c r="W31" s="20">
        <f>$B31*'Total Housing Units'!X$13</f>
        <v>25986.91164529272</v>
      </c>
      <c r="X31" s="20">
        <f>$B31*'Total Housing Units'!Y$13</f>
        <v>25581.4171839946</v>
      </c>
      <c r="Y31" s="20">
        <f>$B31*'Total Housing Units'!Z$13</f>
        <v>25182.24997544539</v>
      </c>
      <c r="Z31" s="20">
        <f>$B31*'Total Housing Units'!AA$13</f>
        <v>24789.31129048559</v>
      </c>
      <c r="AA31" s="20">
        <f>$B31*'Total Housing Units'!AB$13</f>
        <v>24402.503940505332</v>
      </c>
      <c r="AB31" s="20">
        <f>$B31*'Total Housing Units'!AC$13</f>
        <v>24021.732253405953</v>
      </c>
      <c r="AC31" s="200">
        <f aca="true" t="shared" si="5" ref="AC31:AC39">AB31</f>
        <v>24021.732253405953</v>
      </c>
    </row>
    <row r="32" spans="1:29" ht="12.75">
      <c r="A32" s="51" t="s">
        <v>68</v>
      </c>
      <c r="B32" s="28">
        <f>'[1] Existing SphtSysType PNRES'!Q75</f>
        <v>0.012944043017980173</v>
      </c>
      <c r="C32" s="28"/>
      <c r="D32" s="20">
        <f>$B32*'Total Housing Units'!E$13</f>
        <v>5885.586145816862</v>
      </c>
      <c r="E32" s="20">
        <f>$B32*'Total Housing Units'!F$13</f>
        <v>5793.7486617711575</v>
      </c>
      <c r="F32" s="20">
        <f>$B32*'Total Housing Units'!G$13</f>
        <v>5703.344191068031</v>
      </c>
      <c r="G32" s="20">
        <f>$B32*'Total Housing Units'!H$13</f>
        <v>5614.3503732599875</v>
      </c>
      <c r="H32" s="20">
        <f>$B32*'Total Housing Units'!I$13</f>
        <v>5526.745196807389</v>
      </c>
      <c r="I32" s="20">
        <f>$B32*'Total Housing Units'!J$13</f>
        <v>5440.506993634165</v>
      </c>
      <c r="J32" s="20">
        <f>$B32*'Total Housing Units'!K$13</f>
        <v>5355.614433768477</v>
      </c>
      <c r="K32" s="20">
        <f>$B32*'Total Housing Units'!L$13</f>
        <v>5272.046520067013</v>
      </c>
      <c r="L32" s="20">
        <f>$B32*'Total Housing Units'!M$13</f>
        <v>5189.782583021595</v>
      </c>
      <c r="M32" s="20">
        <f>$B32*'Total Housing Units'!N$13</f>
        <v>5108.802275646828</v>
      </c>
      <c r="N32" s="20">
        <f>$B32*'Total Housing Units'!O$13</f>
        <v>5029.085568447522</v>
      </c>
      <c r="O32" s="20">
        <f>$B32*'Total Housing Units'!P$13</f>
        <v>4950.612744464639</v>
      </c>
      <c r="P32" s="20">
        <f>$B32*'Total Housing Units'!Q$13</f>
        <v>4873.364394398543</v>
      </c>
      <c r="Q32" s="20">
        <f>$B32*'Total Housing Units'!R$13</f>
        <v>4797.3214118083415</v>
      </c>
      <c r="R32" s="20">
        <f>$B32*'Total Housing Units'!S$13</f>
        <v>4722.4649883861475</v>
      </c>
      <c r="S32" s="20">
        <f>$B32*'Total Housing Units'!T$13</f>
        <v>4648.776609305067</v>
      </c>
      <c r="T32" s="20">
        <f>$B32*'Total Housing Units'!U$13</f>
        <v>4576.238048639782</v>
      </c>
      <c r="U32" s="20">
        <f>$B32*'Total Housing Units'!V$13</f>
        <v>4504.831364858592</v>
      </c>
      <c r="V32" s="20">
        <f>$B32*'Total Housing Units'!W$13</f>
        <v>4434.53889638579</v>
      </c>
      <c r="W32" s="20">
        <f>$B32*'Total Housing Units'!X$13</f>
        <v>4365.343257233292</v>
      </c>
      <c r="X32" s="20">
        <f>$B32*'Total Housing Units'!Y$13</f>
        <v>4297.2273327004195</v>
      </c>
      <c r="Y32" s="20">
        <f>$B32*'Total Housing Units'!Z$13</f>
        <v>4230.174275140786</v>
      </c>
      <c r="Z32" s="20">
        <f>$B32*'Total Housing Units'!AA$13</f>
        <v>4164.1674997952405</v>
      </c>
      <c r="AA32" s="20">
        <f>$B32*'Total Housing Units'!AB$13</f>
        <v>4099.190680689825</v>
      </c>
      <c r="AB32" s="20">
        <f>$B32*'Total Housing Units'!AC$13</f>
        <v>4035.227746597743</v>
      </c>
      <c r="AC32" s="200">
        <f t="shared" si="5"/>
        <v>4035.227746597743</v>
      </c>
    </row>
    <row r="33" spans="1:29" ht="12.75">
      <c r="A33" s="51" t="s">
        <v>69</v>
      </c>
      <c r="B33" s="28">
        <f>'[1] Existing SphtSysType PNRES'!Q76</f>
        <v>0.008561772998002202</v>
      </c>
      <c r="C33" s="28"/>
      <c r="D33" s="20">
        <f>$B33*'Total Housing Units'!E$13</f>
        <v>3892.9917391864346</v>
      </c>
      <c r="E33" s="20">
        <f>$B33*'Total Housing Units'!F$13</f>
        <v>3832.246291259944</v>
      </c>
      <c r="F33" s="20">
        <f>$B33*'Total Housing Units'!G$13</f>
        <v>3772.4487028952003</v>
      </c>
      <c r="G33" s="20">
        <f>$B33*'Total Housing Units'!H$13</f>
        <v>3713.5841838852093</v>
      </c>
      <c r="H33" s="20">
        <f>$B33*'Total Housing Units'!I$13</f>
        <v>3655.6381748063463</v>
      </c>
      <c r="I33" s="20">
        <f>$B33*'Total Housing Units'!J$13</f>
        <v>3598.5963434172572</v>
      </c>
      <c r="J33" s="20">
        <f>$B33*'Total Housing Units'!K$13</f>
        <v>3542.4445811139562</v>
      </c>
      <c r="K33" s="20">
        <f>$B33*'Total Housing Units'!L$13</f>
        <v>3487.1689994402313</v>
      </c>
      <c r="L33" s="20">
        <f>$B33*'Total Housing Units'!M$13</f>
        <v>3432.755926652505</v>
      </c>
      <c r="M33" s="20">
        <f>$B33*'Total Housing Units'!N$13</f>
        <v>3379.1919043382936</v>
      </c>
      <c r="N33" s="20">
        <f>$B33*'Total Housing Units'!O$13</f>
        <v>3326.4636840874336</v>
      </c>
      <c r="O33" s="20">
        <f>$B33*'Total Housing Units'!P$13</f>
        <v>3274.5582242152473</v>
      </c>
      <c r="P33" s="20">
        <f>$B33*'Total Housing Units'!Q$13</f>
        <v>3223.46268653684</v>
      </c>
      <c r="Q33" s="20">
        <f>$B33*'Total Housing Units'!R$13</f>
        <v>3173.1644331917323</v>
      </c>
      <c r="R33" s="20">
        <f>$B33*'Total Housing Units'!S$13</f>
        <v>3123.6510235180394</v>
      </c>
      <c r="S33" s="20">
        <f>$B33*'Total Housing Units'!T$13</f>
        <v>3074.910210975422</v>
      </c>
      <c r="T33" s="20">
        <f>$B33*'Total Housing Units'!U$13</f>
        <v>3026.9299401160556</v>
      </c>
      <c r="U33" s="20">
        <f>$B33*'Total Housing Units'!V$13</f>
        <v>2979.6983436028604</v>
      </c>
      <c r="V33" s="20">
        <f>$B33*'Total Housing Units'!W$13</f>
        <v>2933.203739274262</v>
      </c>
      <c r="W33" s="20">
        <f>$B33*'Total Housing Units'!X$13</f>
        <v>2887.4346272547464</v>
      </c>
      <c r="X33" s="20">
        <f>$B33*'Total Housing Units'!Y$13</f>
        <v>2842.379687110511</v>
      </c>
      <c r="Y33" s="20">
        <f>$B33*'Total Housing Units'!Z$13</f>
        <v>2798.027775049488</v>
      </c>
      <c r="Z33" s="20">
        <f>$B33*'Total Housing Units'!AA$13</f>
        <v>2754.3679211650656</v>
      </c>
      <c r="AA33" s="20">
        <f>$B33*'Total Housing Units'!AB$13</f>
        <v>2711.3893267228145</v>
      </c>
      <c r="AB33" s="20">
        <f>$B33*'Total Housing Units'!AC$13</f>
        <v>2669.0813614895505</v>
      </c>
      <c r="AC33" s="200">
        <f t="shared" si="5"/>
        <v>2669.0813614895505</v>
      </c>
    </row>
    <row r="34" spans="1:29" ht="12.75">
      <c r="A34" s="51" t="s">
        <v>70</v>
      </c>
      <c r="B34" s="28">
        <f>'[1] Existing SphtSysType PNRES'!Q77</f>
        <v>0.0014382270019977971</v>
      </c>
      <c r="C34" s="28"/>
      <c r="D34" s="20">
        <f>$B34*'Total Housing Units'!E$13</f>
        <v>653.9540162018736</v>
      </c>
      <c r="E34" s="20">
        <f>$B34*'Total Housing Units'!F$13</f>
        <v>643.7498513079065</v>
      </c>
      <c r="F34" s="20">
        <f>$B34*'Total Housing Units'!G$13</f>
        <v>633.7049101186701</v>
      </c>
      <c r="G34" s="20">
        <f>$B34*'Total Housing Units'!H$13</f>
        <v>623.8167081399987</v>
      </c>
      <c r="H34" s="20">
        <f>$B34*'Total Housing Units'!I$13</f>
        <v>614.0827996452655</v>
      </c>
      <c r="I34" s="20">
        <f>$B34*'Total Housing Units'!J$13</f>
        <v>604.5007770704627</v>
      </c>
      <c r="J34" s="20">
        <f>$B34*'Total Housing Units'!K$13</f>
        <v>595.0682704187197</v>
      </c>
      <c r="K34" s="20">
        <f>$B34*'Total Housing Units'!L$13</f>
        <v>585.7829466741126</v>
      </c>
      <c r="L34" s="20">
        <f>$B34*'Total Housing Units'!M$13</f>
        <v>576.6425092246217</v>
      </c>
      <c r="M34" s="20">
        <f>$B34*'Total Housing Units'!N$13</f>
        <v>567.644697294092</v>
      </c>
      <c r="N34" s="20">
        <f>$B34*'Total Housing Units'!O$13</f>
        <v>558.787285383058</v>
      </c>
      <c r="O34" s="20">
        <f>$B34*'Total Housing Units'!P$13</f>
        <v>550.0680827182933</v>
      </c>
      <c r="P34" s="20">
        <f>$B34*'Total Housing Units'!Q$13</f>
        <v>541.4849327109492</v>
      </c>
      <c r="Q34" s="20">
        <f>$B34*'Total Housing Units'!R$13</f>
        <v>533.0357124231491</v>
      </c>
      <c r="R34" s="20">
        <f>$B34*'Total Housing Units'!S$13</f>
        <v>524.7183320429053</v>
      </c>
      <c r="S34" s="20">
        <f>$B34*'Total Housing Units'!T$13</f>
        <v>516.5307343672297</v>
      </c>
      <c r="T34" s="20">
        <f>$B34*'Total Housing Units'!U$13</f>
        <v>508.4708942933092</v>
      </c>
      <c r="U34" s="20">
        <f>$B34*'Total Housing Units'!V$13</f>
        <v>500.5368183176213</v>
      </c>
      <c r="V34" s="20">
        <f>$B34*'Total Housing Units'!W$13</f>
        <v>492.7265440428656</v>
      </c>
      <c r="W34" s="20">
        <f>$B34*'Total Housing Units'!X$13</f>
        <v>485.03813969258806</v>
      </c>
      <c r="X34" s="20">
        <f>$B34*'Total Housing Units'!Y$13</f>
        <v>477.46970363338</v>
      </c>
      <c r="Y34" s="20">
        <f>$B34*'Total Housing Units'!Z$13</f>
        <v>470.0193639045318</v>
      </c>
      <c r="Z34" s="20">
        <f>$B34*'Total Housing Units'!AA$13</f>
        <v>462.6852777550268</v>
      </c>
      <c r="AA34" s="20">
        <f>$B34*'Total Housing Units'!AB$13</f>
        <v>455.46563118775833</v>
      </c>
      <c r="AB34" s="20">
        <f>$B34*'Total Housing Units'!AC$13</f>
        <v>448.3586385108604</v>
      </c>
      <c r="AC34" s="200">
        <f t="shared" si="5"/>
        <v>448.3586385108604</v>
      </c>
    </row>
    <row r="35" spans="1:29" ht="12.75">
      <c r="A35" s="51" t="s">
        <v>71</v>
      </c>
      <c r="B35" s="28">
        <f>'[1] Existing SphtSysType PNRES'!Q78</f>
        <v>0.6383351808928751</v>
      </c>
      <c r="C35" s="27">
        <f>B35/(SUM(B$35:B$37))</f>
        <v>0.7800037681341455</v>
      </c>
      <c r="D35" s="20">
        <f>$B35*'Total Housing Units'!E$13</f>
        <v>290247.5441275886</v>
      </c>
      <c r="E35" s="20">
        <f>$B35*'Total Housing Units'!F$13</f>
        <v>285718.58073418605</v>
      </c>
      <c r="F35" s="20">
        <f>$B35*'Total Housing Units'!G$13</f>
        <v>281260.28636050044</v>
      </c>
      <c r="G35" s="20">
        <f>$B35*'Total Housing Units'!H$13</f>
        <v>276871.55830158293</v>
      </c>
      <c r="H35" s="20">
        <f>$B35*'Total Housing Units'!I$13</f>
        <v>272551.31105886726</v>
      </c>
      <c r="I35" s="20">
        <f>$B35*'Total Housing Units'!J$13</f>
        <v>268298.47607168515</v>
      </c>
      <c r="J35" s="20">
        <f>$B35*'Total Housing Units'!K$13</f>
        <v>264112.0014529706</v>
      </c>
      <c r="K35" s="20">
        <f>$B35*'Total Housing Units'!L$13</f>
        <v>259990.85172908875</v>
      </c>
      <c r="L35" s="20">
        <f>$B35*'Total Housing Units'!M$13</f>
        <v>255934.00758372364</v>
      </c>
      <c r="M35" s="20">
        <f>$B35*'Total Housing Units'!N$13</f>
        <v>251940.46560576296</v>
      </c>
      <c r="N35" s="20">
        <f>$B35*'Total Housing Units'!O$13</f>
        <v>248009.23804111648</v>
      </c>
      <c r="O35" s="20">
        <f>$B35*'Total Housing Units'!P$13</f>
        <v>244139.35254840704</v>
      </c>
      <c r="P35" s="20">
        <f>$B35*'Total Housing Units'!Q$13</f>
        <v>240329.8519584737</v>
      </c>
      <c r="Q35" s="20">
        <f>$B35*'Total Housing Units'!R$13</f>
        <v>236579.79403762755</v>
      </c>
      <c r="R35" s="20">
        <f>$B35*'Total Housing Units'!S$13</f>
        <v>232888.2512546018</v>
      </c>
      <c r="S35" s="20">
        <f>$B35*'Total Housing Units'!T$13</f>
        <v>229254.31055113804</v>
      </c>
      <c r="T35" s="20">
        <f>$B35*'Total Housing Units'!U$13</f>
        <v>225677.07311615237</v>
      </c>
      <c r="U35" s="20">
        <f>$B35*'Total Housing Units'!V$13</f>
        <v>222155.65416342556</v>
      </c>
      <c r="V35" s="20">
        <f>$B35*'Total Housing Units'!W$13</f>
        <v>218689.18271276174</v>
      </c>
      <c r="W35" s="20">
        <f>$B35*'Total Housing Units'!X$13</f>
        <v>215276.8013745622</v>
      </c>
      <c r="X35" s="20">
        <f>$B35*'Total Housing Units'!Y$13</f>
        <v>211917.6661377603</v>
      </c>
      <c r="Y35" s="20">
        <f>$B35*'Total Housing Units'!Z$13</f>
        <v>208610.94616106572</v>
      </c>
      <c r="Z35" s="20">
        <f>$B35*'Total Housing Units'!AA$13</f>
        <v>205355.82356746597</v>
      </c>
      <c r="AA35" s="20">
        <f>$B35*'Total Housing Units'!AB$13</f>
        <v>202151.4932419344</v>
      </c>
      <c r="AB35" s="20">
        <f>$B35*'Total Housing Units'!AC$13</f>
        <v>198997.1626322947</v>
      </c>
      <c r="AC35" s="200">
        <f t="shared" si="5"/>
        <v>198997.1626322947</v>
      </c>
    </row>
    <row r="36" spans="1:29" ht="12.75">
      <c r="A36" s="51" t="s">
        <v>9</v>
      </c>
      <c r="B36" s="28">
        <f>'[1] Existing SphtSysType PNRES'!Q79</f>
        <v>0.07519197823238939</v>
      </c>
      <c r="C36" s="27">
        <f>B36/(SUM(B$35:B$37))</f>
        <v>0.0918796709162846</v>
      </c>
      <c r="D36" s="20">
        <f>$B36*'Total Housing Units'!E$13</f>
        <v>34189.384626301304</v>
      </c>
      <c r="E36" s="20">
        <f>$B36*'Total Housing Units'!F$13</f>
        <v>33655.90045202207</v>
      </c>
      <c r="F36" s="20">
        <f>$B36*'Total Housing Units'!G$13</f>
        <v>33130.74065583028</v>
      </c>
      <c r="G36" s="20">
        <f>$B36*'Total Housing Units'!H$13</f>
        <v>32613.77534583058</v>
      </c>
      <c r="H36" s="20">
        <f>$B36*'Total Housing Units'!I$13</f>
        <v>32104.876656934204</v>
      </c>
      <c r="I36" s="20">
        <f>$B36*'Total Housing Units'!J$13</f>
        <v>31603.91871923312</v>
      </c>
      <c r="J36" s="20">
        <f>$B36*'Total Housing Units'!K$13</f>
        <v>31110.777626867635</v>
      </c>
      <c r="K36" s="20">
        <f>$B36*'Total Housing Units'!L$13</f>
        <v>30625.331407379777</v>
      </c>
      <c r="L36" s="20">
        <f>$B36*'Total Housing Units'!M$13</f>
        <v>30147.4599915449</v>
      </c>
      <c r="M36" s="20">
        <f>$B36*'Total Housing Units'!N$13</f>
        <v>29677.045183674007</v>
      </c>
      <c r="N36" s="20">
        <f>$B36*'Total Housing Units'!O$13</f>
        <v>29213.9706323795</v>
      </c>
      <c r="O36" s="20">
        <f>$B36*'Total Housing Units'!P$13</f>
        <v>28758.12180179706</v>
      </c>
      <c r="P36" s="20">
        <f>$B36*'Total Housing Units'!Q$13</f>
        <v>28309.385943256602</v>
      </c>
      <c r="Q36" s="20">
        <f>$B36*'Total Housing Units'!R$13</f>
        <v>27867.65206739526</v>
      </c>
      <c r="R36" s="20">
        <f>$B36*'Total Housing Units'!S$13</f>
        <v>27432.810916705508</v>
      </c>
      <c r="S36" s="20">
        <f>$B36*'Total Housing Units'!T$13</f>
        <v>27004.75493851167</v>
      </c>
      <c r="T36" s="20">
        <f>$B36*'Total Housing Units'!U$13</f>
        <v>26583.37825836803</v>
      </c>
      <c r="U36" s="20">
        <f>$B36*'Total Housing Units'!V$13</f>
        <v>26168.576653872107</v>
      </c>
      <c r="V36" s="20">
        <f>$B36*'Total Housing Units'!W$13</f>
        <v>25760.24752888651</v>
      </c>
      <c r="W36" s="20">
        <f>$B36*'Total Housing Units'!X$13</f>
        <v>25358.289888163003</v>
      </c>
      <c r="X36" s="20">
        <f>$B36*'Total Housing Units'!Y$13</f>
        <v>24962.604312362586</v>
      </c>
      <c r="Y36" s="20">
        <f>$B36*'Total Housing Units'!Z$13</f>
        <v>24573.09293346531</v>
      </c>
      <c r="Z36" s="20">
        <f>$B36*'Total Housing Units'!AA$13</f>
        <v>24189.659410563825</v>
      </c>
      <c r="AA36" s="20">
        <f>$B36*'Total Housing Units'!AB$13</f>
        <v>23812.208906034622</v>
      </c>
      <c r="AB36" s="20">
        <f>$B36*'Total Housing Units'!AC$13</f>
        <v>23440.648062081087</v>
      </c>
      <c r="AC36" s="200">
        <f t="shared" si="5"/>
        <v>23440.648062081087</v>
      </c>
    </row>
    <row r="37" spans="1:29" ht="12.75">
      <c r="A37" s="51" t="s">
        <v>73</v>
      </c>
      <c r="B37" s="28">
        <f>'[1] Existing SphtSysType PNRES'!Q80</f>
        <v>0.10484732439786355</v>
      </c>
      <c r="C37" s="27">
        <f>B37/(SUM(B$35:B$37))</f>
        <v>0.1281165609495698</v>
      </c>
      <c r="D37" s="20">
        <f>$B37*'Total Housing Units'!E$13</f>
        <v>47673.50966346867</v>
      </c>
      <c r="E37" s="20">
        <f>$B37*'Total Housing Units'!F$13</f>
        <v>46929.62195633974</v>
      </c>
      <c r="F37" s="20">
        <f>$B37*'Total Housing Units'!G$13</f>
        <v>46197.34172104839</v>
      </c>
      <c r="G37" s="20">
        <f>$B37*'Total Housing Units'!H$13</f>
        <v>45476.48783697498</v>
      </c>
      <c r="H37" s="20">
        <f>$B37*'Total Housing Units'!I$13</f>
        <v>44766.882009669025</v>
      </c>
      <c r="I37" s="20">
        <f>$B37*'Total Housing Units'!J$13</f>
        <v>44068.34872675022</v>
      </c>
      <c r="J37" s="20">
        <f>$B37*'Total Housing Units'!K$13</f>
        <v>43380.7152144976</v>
      </c>
      <c r="K37" s="20">
        <f>$B37*'Total Housing Units'!L$13</f>
        <v>42703.811395116034</v>
      </c>
      <c r="L37" s="20">
        <f>$B37*'Total Housing Units'!M$13</f>
        <v>42037.469844669584</v>
      </c>
      <c r="M37" s="20">
        <f>$B37*'Total Housing Units'!N$13</f>
        <v>41381.525751671215</v>
      </c>
      <c r="N37" s="20">
        <f>$B37*'Total Housing Units'!O$13</f>
        <v>40735.816876318655</v>
      </c>
      <c r="O37" s="20">
        <f>$B37*'Total Housing Units'!P$13</f>
        <v>40100.183510366376</v>
      </c>
      <c r="P37" s="20">
        <f>$B37*'Total Housing Units'!Q$13</f>
        <v>39474.468437623706</v>
      </c>
      <c r="Q37" s="20">
        <f>$B37*'Total Housing Units'!R$13</f>
        <v>38858.51689506927</v>
      </c>
      <c r="R37" s="20">
        <f>$B37*'Total Housing Units'!S$13</f>
        <v>38252.17653457228</v>
      </c>
      <c r="S37" s="20">
        <f>$B37*'Total Housing Units'!T$13</f>
        <v>37655.29738521108</v>
      </c>
      <c r="T37" s="20">
        <f>$B37*'Total Housing Units'!U$13</f>
        <v>37067.73181617962</v>
      </c>
      <c r="U37" s="20">
        <f>$B37*'Total Housing Units'!V$13</f>
        <v>36489.334500272795</v>
      </c>
      <c r="V37" s="20">
        <f>$B37*'Total Housing Units'!W$13</f>
        <v>35919.96237794155</v>
      </c>
      <c r="W37" s="20">
        <f>$B37*'Total Housing Units'!X$13</f>
        <v>35359.47462190877</v>
      </c>
      <c r="X37" s="20">
        <f>$B37*'Total Housing Units'!Y$13</f>
        <v>34807.73260233744</v>
      </c>
      <c r="Y37" s="20">
        <f>$B37*'Total Housing Units'!Z$13</f>
        <v>34264.5998525422</v>
      </c>
      <c r="Z37" s="20">
        <f>$B37*'Total Housing Units'!AA$13</f>
        <v>33729.94203523596</v>
      </c>
      <c r="AA37" s="20">
        <f>$B37*'Total Housing Units'!AB$13</f>
        <v>33203.62690930324</v>
      </c>
      <c r="AB37" s="20">
        <f>$B37*'Total Housing Units'!AC$13</f>
        <v>32685.524297091884</v>
      </c>
      <c r="AC37" s="200">
        <f t="shared" si="5"/>
        <v>32685.524297091884</v>
      </c>
    </row>
    <row r="38" spans="1:29" ht="12.75">
      <c r="A38" s="51" t="s">
        <v>72</v>
      </c>
      <c r="B38" s="28">
        <f>'[1] Existing SphtSysType PNRES'!Q81</f>
        <v>0.021625516476871894</v>
      </c>
      <c r="C38" s="27"/>
      <c r="D38" s="20">
        <f>$B38*'Total Housing Units'!E$13</f>
        <v>9833.005035259259</v>
      </c>
      <c r="E38" s="20">
        <f>$B38*'Total Housing Units'!F$13</f>
        <v>9679.57283315161</v>
      </c>
      <c r="F38" s="20">
        <f>$B38*'Total Housing Units'!G$13</f>
        <v>9528.53475578601</v>
      </c>
      <c r="G38" s="20">
        <f>$B38*'Total Housing Units'!H$13</f>
        <v>9379.853445728999</v>
      </c>
      <c r="H38" s="20">
        <f>$B38*'Total Housing Units'!I$13</f>
        <v>9233.492128464884</v>
      </c>
      <c r="I38" s="20">
        <f>$B38*'Total Housing Units'!J$13</f>
        <v>9089.4146033</v>
      </c>
      <c r="J38" s="20">
        <f>$B38*'Total Housing Units'!K$13</f>
        <v>8947.58523440891</v>
      </c>
      <c r="K38" s="20">
        <f>$B38*'Total Housing Units'!L$13</f>
        <v>8807.96894202032</v>
      </c>
      <c r="L38" s="20">
        <f>$B38*'Total Housing Units'!M$13</f>
        <v>8670.53119374052</v>
      </c>
      <c r="M38" s="20">
        <f>$B38*'Total Housing Units'!N$13</f>
        <v>8535.237996012223</v>
      </c>
      <c r="N38" s="20">
        <f>$B38*'Total Housing Units'!O$13</f>
        <v>8402.055885706663</v>
      </c>
      <c r="O38" s="20">
        <f>$B38*'Total Housing Units'!P$13</f>
        <v>8270.951921846898</v>
      </c>
      <c r="P38" s="20">
        <f>$B38*'Total Housing Units'!Q$13</f>
        <v>8141.893677460267</v>
      </c>
      <c r="Q38" s="20">
        <f>$B38*'Total Housing Units'!R$13</f>
        <v>8014.849231557963</v>
      </c>
      <c r="R38" s="20">
        <f>$B38*'Total Housing Units'!S$13</f>
        <v>7889.787161239771</v>
      </c>
      <c r="S38" s="20">
        <f>$B38*'Total Housing Units'!T$13</f>
        <v>7766.676533921989</v>
      </c>
      <c r="T38" s="20">
        <f>$B38*'Total Housing Units'!U$13</f>
        <v>7645.486899686637</v>
      </c>
      <c r="U38" s="20">
        <f>$B38*'Total Housing Units'!V$13</f>
        <v>7526.188283750031</v>
      </c>
      <c r="V38" s="20">
        <f>$B38*'Total Housing Units'!W$13</f>
        <v>7408.751179048893</v>
      </c>
      <c r="W38" s="20">
        <f>$B38*'Total Housing Units'!X$13</f>
        <v>7293.146538942134</v>
      </c>
      <c r="X38" s="20">
        <f>$B38*'Total Housing Units'!Y$13</f>
        <v>7179.3457700265135</v>
      </c>
      <c r="Y38" s="20">
        <f>$B38*'Total Housing Units'!Z$13</f>
        <v>7067.320725064421</v>
      </c>
      <c r="Z38" s="20">
        <f>$B38*'Total Housing Units'!AA$13</f>
        <v>6957.0436960219895</v>
      </c>
      <c r="AA38" s="20">
        <f>$B38*'Total Housing Units'!AB$13</f>
        <v>6848.487407215855</v>
      </c>
      <c r="AB38" s="20">
        <f>$B38*'Total Housing Units'!AC$13</f>
        <v>6741.62500856684</v>
      </c>
      <c r="AC38" s="200">
        <f t="shared" si="5"/>
        <v>6741.62500856684</v>
      </c>
    </row>
    <row r="39" spans="1:29" ht="12.75">
      <c r="A39" s="51" t="s">
        <v>10</v>
      </c>
      <c r="B39" s="28">
        <f>'[1] Existing SphtSysType PNRES'!Q82</f>
        <v>0.06</v>
      </c>
      <c r="C39" s="28"/>
      <c r="D39" s="20">
        <f>$B39*'Total Housing Units'!E$13</f>
        <v>27281.67453232985</v>
      </c>
      <c r="E39" s="20">
        <f>$B39*'Total Housing Units'!F$13</f>
        <v>26855.976855407105</v>
      </c>
      <c r="F39" s="20">
        <f>$B39*'Total Housing Units'!G$13</f>
        <v>26436.921678083225</v>
      </c>
      <c r="G39" s="20">
        <f>$B39*'Total Housing Units'!H$13</f>
        <v>26024.40535215125</v>
      </c>
      <c r="H39" s="20">
        <f>$B39*'Total Housing Units'!I$13</f>
        <v>25618.32584670967</v>
      </c>
      <c r="I39" s="20">
        <f>$B39*'Total Housing Units'!J$13</f>
        <v>25218.58272292632</v>
      </c>
      <c r="J39" s="20">
        <f>$B39*'Total Housing Units'!K$13</f>
        <v>24825.077109196056</v>
      </c>
      <c r="K39" s="20">
        <f>$B39*'Total Housing Units'!L$13</f>
        <v>24437.711676686064</v>
      </c>
      <c r="L39" s="20">
        <f>$B39*'Total Housing Units'!M$13</f>
        <v>24056.39061526276</v>
      </c>
      <c r="M39" s="20">
        <f>$B39*'Total Housing Units'!N$13</f>
        <v>23681.019609794315</v>
      </c>
      <c r="N39" s="20">
        <f>$B39*'Total Housing Units'!O$13</f>
        <v>23311.50581682295</v>
      </c>
      <c r="O39" s="20">
        <f>$B39*'Total Housing Units'!P$13</f>
        <v>22947.757841601244</v>
      </c>
      <c r="P39" s="20">
        <f>$B39*'Total Housing Units'!Q$13</f>
        <v>22589.685715486736</v>
      </c>
      <c r="Q39" s="20">
        <f>$B39*'Total Housing Units'!R$13</f>
        <v>22237.20087368929</v>
      </c>
      <c r="R39" s="20">
        <f>$B39*'Total Housing Units'!S$13</f>
        <v>21890.21613336567</v>
      </c>
      <c r="S39" s="20">
        <f>$B39*'Total Housing Units'!T$13</f>
        <v>21548.645672055914</v>
      </c>
      <c r="T39" s="20">
        <f>$B39*'Total Housing Units'!U$13</f>
        <v>21212.40500645619</v>
      </c>
      <c r="U39" s="20">
        <f>$B39*'Total Housing Units'!V$13</f>
        <v>20881.41097152289</v>
      </c>
      <c r="V39" s="20">
        <f>$B39*'Total Housing Units'!W$13</f>
        <v>20555.581699902767</v>
      </c>
      <c r="W39" s="20">
        <f>$B39*'Total Housing Units'!X$13</f>
        <v>20234.83660168401</v>
      </c>
      <c r="X39" s="20">
        <f>$B39*'Total Housing Units'!Y$13</f>
        <v>19919.096344463345</v>
      </c>
      <c r="Y39" s="20">
        <f>$B39*'Total Housing Units'!Z$13</f>
        <v>19608.28283372412</v>
      </c>
      <c r="Z39" s="20">
        <f>$B39*'Total Housing Units'!AA$13</f>
        <v>19302.319193520554</v>
      </c>
      <c r="AA39" s="20">
        <f>$B39*'Total Housing Units'!AB$13</f>
        <v>19001.129747463438</v>
      </c>
      <c r="AB39" s="20">
        <f>$B39*'Total Housing Units'!AC$13</f>
        <v>18704.640000002466</v>
      </c>
      <c r="AC39" s="200">
        <f t="shared" si="5"/>
        <v>18704.640000002466</v>
      </c>
    </row>
    <row r="40" spans="1:29" ht="12.75">
      <c r="A40" s="195"/>
      <c r="B40" s="157"/>
      <c r="C40" s="157"/>
      <c r="D40" s="157"/>
      <c r="E40" s="157"/>
      <c r="F40" s="157"/>
      <c r="G40" s="157"/>
      <c r="H40" s="157"/>
      <c r="I40" s="157"/>
      <c r="J40" s="157"/>
      <c r="K40" s="157"/>
      <c r="L40" s="157"/>
      <c r="M40" s="157"/>
      <c r="N40" s="157"/>
      <c r="O40" s="157"/>
      <c r="P40" s="157"/>
      <c r="Q40" s="157"/>
      <c r="R40" s="157"/>
      <c r="S40" s="157"/>
      <c r="T40" s="157"/>
      <c r="U40" s="157"/>
      <c r="V40" s="157"/>
      <c r="W40" s="157"/>
      <c r="X40" s="1"/>
      <c r="Y40" s="157"/>
      <c r="Z40" s="157"/>
      <c r="AA40" s="157"/>
      <c r="AB40" s="157"/>
      <c r="AC40" s="201"/>
    </row>
    <row r="41" spans="1:29" ht="13.5" thickBot="1">
      <c r="A41" s="55" t="s">
        <v>26</v>
      </c>
      <c r="B41" s="202">
        <f>B36+'[1]PNW Existing Characteristics'!$F$19</f>
        <v>0.24952183731339672</v>
      </c>
      <c r="C41" s="202"/>
      <c r="D41" s="116">
        <f>$B41*'Total Housing Units'!E$13</f>
        <v>113456.22590488412</v>
      </c>
      <c r="E41" s="116">
        <f>$B41*'Total Housing Units'!F$13</f>
        <v>111685.87813012065</v>
      </c>
      <c r="F41" s="116">
        <f>$B41*'Total Housing Units'!G$13</f>
        <v>109943.15450042822</v>
      </c>
      <c r="G41" s="116">
        <f>$B41*'Total Housing Units'!H$13</f>
        <v>108227.62397428959</v>
      </c>
      <c r="H41" s="116">
        <f>$B41*'Total Housing Units'!I$13</f>
        <v>106538.86223607129</v>
      </c>
      <c r="I41" s="116">
        <f>$B41*'Total Housing Units'!J$13</f>
        <v>104876.45159107432</v>
      </c>
      <c r="J41" s="116">
        <f>$B41*'Total Housing Units'!K$13</f>
        <v>103239.98086222245</v>
      </c>
      <c r="K41" s="116">
        <f>$B41*'Total Housing Units'!L$13</f>
        <v>101629.0452883626</v>
      </c>
      <c r="L41" s="116">
        <f>$B41*'Total Housing Units'!M$13</f>
        <v>100043.24642415196</v>
      </c>
      <c r="M41" s="116">
        <f>$B41*'Total Housing Units'!N$13</f>
        <v>98482.19204150757</v>
      </c>
      <c r="N41" s="116">
        <f>$B41*'Total Housing Units'!O$13</f>
        <v>96945.4960325933</v>
      </c>
      <c r="O41" s="116">
        <f>$B41*'Total Housing Units'!P$13</f>
        <v>95432.77831432082</v>
      </c>
      <c r="P41" s="116">
        <f>$B41*'Total Housing Units'!Q$13</f>
        <v>93943.66473434072</v>
      </c>
      <c r="Q41" s="116">
        <f>$B41*'Total Housing Units'!R$13</f>
        <v>92477.78697850037</v>
      </c>
      <c r="R41" s="116">
        <f>$B41*'Total Housing Units'!S$13</f>
        <v>91034.78247974602</v>
      </c>
      <c r="S41" s="116">
        <f>$B41*'Total Housing Units'!T$13</f>
        <v>89614.2943284461</v>
      </c>
      <c r="T41" s="116">
        <f>$B41*'Total Housing Units'!U$13</f>
        <v>88215.97118411407</v>
      </c>
      <c r="U41" s="116">
        <f>$B41*'Total Housing Units'!V$13</f>
        <v>86839.46718850854</v>
      </c>
      <c r="V41" s="116">
        <f>$B41*'Total Housing Units'!W$13</f>
        <v>85484.44188008955</v>
      </c>
      <c r="W41" s="116">
        <f>$B41*'Total Housing Units'!X$13</f>
        <v>84150.56010980938</v>
      </c>
      <c r="X41" s="116">
        <f>$B41*'Total Housing Units'!Y$13</f>
        <v>82837.49195821764</v>
      </c>
      <c r="Y41" s="116">
        <f>$B41*'Total Housing Units'!Z$13</f>
        <v>81544.91265385965</v>
      </c>
      <c r="Z41" s="116">
        <f>$B41*'Total Housing Units'!AA$13</f>
        <v>80272.50249294819</v>
      </c>
      <c r="AA41" s="116">
        <f>$B41*'Total Housing Units'!AB$13</f>
        <v>79019.94676028859</v>
      </c>
      <c r="AB41" s="116">
        <f>$B41*'Total Housing Units'!AC$13</f>
        <v>77786.9356514378</v>
      </c>
      <c r="AC41" s="203">
        <f>AB41</f>
        <v>77786.9356514378</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AE41"/>
  <sheetViews>
    <sheetView workbookViewId="0" topLeftCell="A13">
      <pane xSplit="2" topLeftCell="AC1" activePane="topRight" state="frozen"/>
      <selection pane="topLeft" activeCell="A1" sqref="A1"/>
      <selection pane="topRight" activeCell="AF3" sqref="AF3"/>
    </sheetView>
  </sheetViews>
  <sheetFormatPr defaultColWidth="9.140625" defaultRowHeight="12.75"/>
  <cols>
    <col min="1" max="1" width="39.7109375" style="24" customWidth="1"/>
    <col min="2" max="2" width="7.57421875" style="24" customWidth="1"/>
    <col min="3" max="22" width="10.28125" style="24" bestFit="1" customWidth="1"/>
    <col min="23" max="23" width="10.28125" style="0" bestFit="1" customWidth="1"/>
    <col min="24" max="27" width="10.28125" style="24" bestFit="1" customWidth="1"/>
    <col min="28" max="28" width="11.140625" style="24" customWidth="1"/>
    <col min="29" max="29" width="11.421875" style="24" customWidth="1"/>
    <col min="30" max="30" width="11.00390625" style="24" customWidth="1"/>
    <col min="31" max="31" width="10.57421875" style="24" customWidth="1"/>
    <col min="32" max="16384" width="9.140625" style="24" customWidth="1"/>
  </cols>
  <sheetData>
    <row r="1" spans="1:4" ht="13.5" thickBot="1">
      <c r="A1" s="206" t="s">
        <v>88</v>
      </c>
      <c r="C1" s="158" t="s">
        <v>76</v>
      </c>
      <c r="D1" s="159"/>
    </row>
    <row r="2" ht="13.5" thickBot="1">
      <c r="G2" s="24" t="s">
        <v>43</v>
      </c>
    </row>
    <row r="3" spans="1:30" s="25" customFormat="1" ht="51.75" thickBot="1">
      <c r="A3" s="57" t="s">
        <v>27</v>
      </c>
      <c r="B3" s="58" t="s">
        <v>12</v>
      </c>
      <c r="C3" s="58">
        <v>2001</v>
      </c>
      <c r="D3" s="58">
        <v>2002</v>
      </c>
      <c r="E3" s="58">
        <v>2003</v>
      </c>
      <c r="F3" s="58">
        <v>2004</v>
      </c>
      <c r="G3" s="58">
        <v>2005</v>
      </c>
      <c r="H3" s="58">
        <v>2006</v>
      </c>
      <c r="I3" s="58">
        <v>2007</v>
      </c>
      <c r="J3" s="58">
        <v>2008</v>
      </c>
      <c r="K3" s="58">
        <v>2009</v>
      </c>
      <c r="L3" s="58">
        <v>2010</v>
      </c>
      <c r="M3" s="58">
        <v>2011</v>
      </c>
      <c r="N3" s="58">
        <v>2012</v>
      </c>
      <c r="O3" s="58">
        <v>2013</v>
      </c>
      <c r="P3" s="58">
        <v>2014</v>
      </c>
      <c r="Q3" s="58">
        <v>2015</v>
      </c>
      <c r="R3" s="58">
        <v>2016</v>
      </c>
      <c r="S3" s="58">
        <v>2017</v>
      </c>
      <c r="T3" s="58">
        <v>2018</v>
      </c>
      <c r="U3" s="58">
        <v>2019</v>
      </c>
      <c r="V3" s="58">
        <v>2020</v>
      </c>
      <c r="W3" s="58">
        <v>2021</v>
      </c>
      <c r="X3" s="58">
        <v>2022</v>
      </c>
      <c r="Y3" s="58">
        <v>2023</v>
      </c>
      <c r="Z3" s="58">
        <v>2024</v>
      </c>
      <c r="AA3" s="58">
        <v>2025</v>
      </c>
      <c r="AB3" s="59" t="s">
        <v>63</v>
      </c>
      <c r="AC3" s="320" t="s">
        <v>131</v>
      </c>
      <c r="AD3" s="101" t="s">
        <v>132</v>
      </c>
    </row>
    <row r="4" spans="1:29" ht="12.75">
      <c r="A4" s="53" t="s">
        <v>0</v>
      </c>
      <c r="B4" s="26"/>
      <c r="C4" s="66">
        <f>'Total Housing Units'!E72</f>
        <v>46427.49901453213</v>
      </c>
      <c r="D4" s="66">
        <f>'Total Housing Units'!F72</f>
        <v>47508.483486582496</v>
      </c>
      <c r="E4" s="66">
        <f>'Total Housing Units'!G72</f>
        <v>48614.63682306918</v>
      </c>
      <c r="F4" s="66">
        <f>'Total Housing Units'!H72</f>
        <v>49746.54503771708</v>
      </c>
      <c r="G4" s="66">
        <f>'Total Housing Units'!I72</f>
        <v>50904.80778857286</v>
      </c>
      <c r="H4" s="66">
        <f>'Total Housing Units'!J72</f>
        <v>52090.03869568961</v>
      </c>
      <c r="I4" s="66">
        <f>'Total Housing Units'!K72</f>
        <v>53302.86566620806</v>
      </c>
      <c r="J4" s="66">
        <f>'Total Housing Units'!L72</f>
        <v>54543.9312270069</v>
      </c>
      <c r="K4" s="66">
        <f>'Total Housing Units'!M72</f>
        <v>55813.892865098205</v>
      </c>
      <c r="L4" s="66">
        <f>'Total Housing Units'!N72</f>
        <v>57113.42337594845</v>
      </c>
      <c r="M4" s="66">
        <f>'Total Housing Units'!O72</f>
        <v>58443.21121990951</v>
      </c>
      <c r="N4" s="66">
        <f>'Total Housing Units'!P72</f>
        <v>59803.960886948604</v>
      </c>
      <c r="O4" s="66">
        <f>'Total Housing Units'!Q72</f>
        <v>61196.393269870285</v>
      </c>
      <c r="P4" s="66">
        <f>'Total Housing Units'!R72</f>
        <v>62621.24604622835</v>
      </c>
      <c r="Q4" s="66">
        <f>'Total Housing Units'!S72</f>
        <v>64079.274069129824</v>
      </c>
      <c r="R4" s="66">
        <f>'Total Housing Units'!T72</f>
        <v>65571.24976713819</v>
      </c>
      <c r="S4" s="66">
        <f>'Total Housing Units'!U72</f>
        <v>67097.96355348766</v>
      </c>
      <c r="T4" s="66">
        <f>'Total Housing Units'!V72</f>
        <v>68660.22424482532</v>
      </c>
      <c r="U4" s="66">
        <f>'Total Housing Units'!W72</f>
        <v>70258.85948970295</v>
      </c>
      <c r="V4" s="66">
        <f>'Total Housing Units'!X72</f>
        <v>71894.71620704554</v>
      </c>
      <c r="W4" s="66">
        <f>'Total Housing Units'!Y72</f>
        <v>73568.6610348287</v>
      </c>
      <c r="X4" s="66">
        <f>'Total Housing Units'!Z72</f>
        <v>75281.58078920303</v>
      </c>
      <c r="Y4" s="66">
        <f>'Total Housing Units'!AA72</f>
        <v>77034.38293430807</v>
      </c>
      <c r="Z4" s="66">
        <f>'Total Housing Units'!AB72</f>
        <v>78827.99606302526</v>
      </c>
      <c r="AA4" s="66">
        <f>'Total Housing Units'!AC72</f>
        <v>80663.37038892436</v>
      </c>
      <c r="AB4" s="331">
        <f>SUM(C4:AA4)</f>
        <v>1551069.213945001</v>
      </c>
      <c r="AC4" s="333">
        <f>SUM(G4:AA4)</f>
        <v>1358772.0495830998</v>
      </c>
    </row>
    <row r="5" spans="1:29" ht="12.75">
      <c r="A5" s="51" t="str">
        <f>'[1] Existing SphtSysType PNRES'!AG95</f>
        <v>Natural Gas FAF</v>
      </c>
      <c r="B5" s="160">
        <f>'[1]New Home Characteristics'!$B$50</f>
        <v>0.8388102203122795</v>
      </c>
      <c r="C5" s="20">
        <f aca="true" t="shared" si="0" ref="C5:C13">$B5*C$4</f>
        <v>38943.860676927834</v>
      </c>
      <c r="D5" s="20">
        <f aca="true" t="shared" si="1" ref="D5:AA15">$B5*D$4</f>
        <v>39850.60150008256</v>
      </c>
      <c r="E5" s="20">
        <f t="shared" si="1"/>
        <v>40778.454223960114</v>
      </c>
      <c r="F5" s="20">
        <f t="shared" si="1"/>
        <v>41727.910402862195</v>
      </c>
      <c r="G5" s="20">
        <f t="shared" si="1"/>
        <v>42699.473036087045</v>
      </c>
      <c r="H5" s="20">
        <f t="shared" si="1"/>
        <v>43693.65683440657</v>
      </c>
      <c r="I5" s="20">
        <f t="shared" si="1"/>
        <v>44710.98849274782</v>
      </c>
      <c r="J5" s="20">
        <f t="shared" si="1"/>
        <v>45752.006969223476</v>
      </c>
      <c r="K5" s="20">
        <f t="shared" si="1"/>
        <v>46817.26377065899</v>
      </c>
      <c r="L5" s="20">
        <f t="shared" si="1"/>
        <v>47907.32324476781</v>
      </c>
      <c r="M5" s="20">
        <f t="shared" si="1"/>
        <v>49022.76287912938</v>
      </c>
      <c r="N5" s="20">
        <f t="shared" si="1"/>
        <v>50164.1736071283</v>
      </c>
      <c r="O5" s="20">
        <f t="shared" si="1"/>
        <v>51332.160121016794</v>
      </c>
      <c r="P5" s="20">
        <f t="shared" si="1"/>
        <v>52527.34119226626</v>
      </c>
      <c r="Q5" s="20">
        <f t="shared" si="1"/>
        <v>53750.34999937772</v>
      </c>
      <c r="R5" s="20">
        <f t="shared" si="1"/>
        <v>55001.83446332469</v>
      </c>
      <c r="S5" s="20">
        <f t="shared" si="1"/>
        <v>56282.45759080628</v>
      </c>
      <c r="T5" s="20">
        <f t="shared" si="1"/>
        <v>57592.897825492444</v>
      </c>
      <c r="U5" s="20">
        <f t="shared" si="1"/>
        <v>58933.849407447226</v>
      </c>
      <c r="V5" s="20">
        <f t="shared" si="1"/>
        <v>60306.02274092068</v>
      </c>
      <c r="W5" s="20">
        <f t="shared" si="1"/>
        <v>61710.14477070408</v>
      </c>
      <c r="X5" s="20">
        <f t="shared" si="1"/>
        <v>63146.959367248055</v>
      </c>
      <c r="Y5" s="20">
        <f t="shared" si="1"/>
        <v>64617.227720747454</v>
      </c>
      <c r="Z5" s="20">
        <f t="shared" si="1"/>
        <v>66121.72874440171</v>
      </c>
      <c r="AA5" s="20">
        <f t="shared" si="1"/>
        <v>67661.25948706464</v>
      </c>
      <c r="AB5" s="331">
        <f aca="true" t="shared" si="2" ref="AB5:AB15">SUM(C5:AA5)</f>
        <v>1301052.7090688003</v>
      </c>
      <c r="AC5" s="334">
        <f>SUM(G5:AA5)</f>
        <v>1139751.8822649675</v>
      </c>
    </row>
    <row r="6" spans="1:29" ht="12.75">
      <c r="A6" s="51" t="str">
        <f>'[1] Existing SphtSysType PNRES'!AG96</f>
        <v>Natural Gas Other</v>
      </c>
      <c r="B6" s="160">
        <v>0</v>
      </c>
      <c r="C6" s="20">
        <f t="shared" si="0"/>
        <v>0</v>
      </c>
      <c r="D6" s="20">
        <f aca="true" t="shared" si="3" ref="D6:R6">$B6*D$4</f>
        <v>0</v>
      </c>
      <c r="E6" s="20">
        <f t="shared" si="3"/>
        <v>0</v>
      </c>
      <c r="F6" s="20">
        <f t="shared" si="3"/>
        <v>0</v>
      </c>
      <c r="G6" s="20">
        <f t="shared" si="3"/>
        <v>0</v>
      </c>
      <c r="H6" s="20">
        <f t="shared" si="3"/>
        <v>0</v>
      </c>
      <c r="I6" s="20">
        <f t="shared" si="3"/>
        <v>0</v>
      </c>
      <c r="J6" s="20">
        <f t="shared" si="3"/>
        <v>0</v>
      </c>
      <c r="K6" s="20">
        <f t="shared" si="3"/>
        <v>0</v>
      </c>
      <c r="L6" s="20">
        <f t="shared" si="3"/>
        <v>0</v>
      </c>
      <c r="M6" s="20">
        <f t="shared" si="3"/>
        <v>0</v>
      </c>
      <c r="N6" s="20">
        <f t="shared" si="3"/>
        <v>0</v>
      </c>
      <c r="O6" s="20">
        <f t="shared" si="3"/>
        <v>0</v>
      </c>
      <c r="P6" s="20">
        <f t="shared" si="3"/>
        <v>0</v>
      </c>
      <c r="Q6" s="20">
        <f t="shared" si="3"/>
        <v>0</v>
      </c>
      <c r="R6" s="20">
        <f t="shared" si="3"/>
        <v>0</v>
      </c>
      <c r="S6" s="20">
        <f t="shared" si="1"/>
        <v>0</v>
      </c>
      <c r="T6" s="20">
        <f t="shared" si="1"/>
        <v>0</v>
      </c>
      <c r="U6" s="20">
        <f t="shared" si="1"/>
        <v>0</v>
      </c>
      <c r="V6" s="20">
        <f t="shared" si="1"/>
        <v>0</v>
      </c>
      <c r="W6" s="20">
        <f t="shared" si="1"/>
        <v>0</v>
      </c>
      <c r="X6" s="20">
        <f t="shared" si="1"/>
        <v>0</v>
      </c>
      <c r="Y6" s="20">
        <f t="shared" si="1"/>
        <v>0</v>
      </c>
      <c r="Z6" s="20">
        <f t="shared" si="1"/>
        <v>0</v>
      </c>
      <c r="AA6" s="20">
        <f t="shared" si="1"/>
        <v>0</v>
      </c>
      <c r="AB6" s="331">
        <f t="shared" si="2"/>
        <v>0</v>
      </c>
      <c r="AC6" s="334">
        <f aca="true" t="shared" si="4" ref="AC6:AC41">SUM(G6:AA6)</f>
        <v>0</v>
      </c>
    </row>
    <row r="7" spans="1:29" ht="12.75">
      <c r="A7" s="51" t="str">
        <f>'[1] Existing SphtSysType PNRES'!AG97</f>
        <v>Oil FAF</v>
      </c>
      <c r="B7" s="160">
        <v>0</v>
      </c>
      <c r="C7" s="20">
        <f t="shared" si="0"/>
        <v>0</v>
      </c>
      <c r="D7" s="20">
        <f t="shared" si="1"/>
        <v>0</v>
      </c>
      <c r="E7" s="20">
        <f t="shared" si="1"/>
        <v>0</v>
      </c>
      <c r="F7" s="20">
        <f t="shared" si="1"/>
        <v>0</v>
      </c>
      <c r="G7" s="20">
        <f t="shared" si="1"/>
        <v>0</v>
      </c>
      <c r="H7" s="20">
        <f t="shared" si="1"/>
        <v>0</v>
      </c>
      <c r="I7" s="20">
        <f t="shared" si="1"/>
        <v>0</v>
      </c>
      <c r="J7" s="20">
        <f t="shared" si="1"/>
        <v>0</v>
      </c>
      <c r="K7" s="20">
        <f t="shared" si="1"/>
        <v>0</v>
      </c>
      <c r="L7" s="20">
        <f t="shared" si="1"/>
        <v>0</v>
      </c>
      <c r="M7" s="20">
        <f t="shared" si="1"/>
        <v>0</v>
      </c>
      <c r="N7" s="20">
        <f t="shared" si="1"/>
        <v>0</v>
      </c>
      <c r="O7" s="20">
        <f t="shared" si="1"/>
        <v>0</v>
      </c>
      <c r="P7" s="20">
        <f t="shared" si="1"/>
        <v>0</v>
      </c>
      <c r="Q7" s="20">
        <f t="shared" si="1"/>
        <v>0</v>
      </c>
      <c r="R7" s="20">
        <f t="shared" si="1"/>
        <v>0</v>
      </c>
      <c r="S7" s="20">
        <f t="shared" si="1"/>
        <v>0</v>
      </c>
      <c r="T7" s="20">
        <f t="shared" si="1"/>
        <v>0</v>
      </c>
      <c r="U7" s="20">
        <f t="shared" si="1"/>
        <v>0</v>
      </c>
      <c r="V7" s="20">
        <f t="shared" si="1"/>
        <v>0</v>
      </c>
      <c r="W7" s="20">
        <f t="shared" si="1"/>
        <v>0</v>
      </c>
      <c r="X7" s="20">
        <f t="shared" si="1"/>
        <v>0</v>
      </c>
      <c r="Y7" s="20">
        <f t="shared" si="1"/>
        <v>0</v>
      </c>
      <c r="Z7" s="20">
        <f t="shared" si="1"/>
        <v>0</v>
      </c>
      <c r="AA7" s="20">
        <f t="shared" si="1"/>
        <v>0</v>
      </c>
      <c r="AB7" s="331">
        <f t="shared" si="2"/>
        <v>0</v>
      </c>
      <c r="AC7" s="334">
        <f t="shared" si="4"/>
        <v>0</v>
      </c>
    </row>
    <row r="8" spans="1:29" ht="13.5" thickBot="1">
      <c r="A8" s="51" t="str">
        <f>'[1] Existing SphtSysType PNRES'!AG98</f>
        <v>Oil Other</v>
      </c>
      <c r="B8" s="160">
        <v>0</v>
      </c>
      <c r="C8" s="20">
        <f t="shared" si="0"/>
        <v>0</v>
      </c>
      <c r="D8" s="20">
        <f t="shared" si="1"/>
        <v>0</v>
      </c>
      <c r="E8" s="20">
        <f t="shared" si="1"/>
        <v>0</v>
      </c>
      <c r="F8" s="20">
        <f t="shared" si="1"/>
        <v>0</v>
      </c>
      <c r="G8" s="20">
        <f t="shared" si="1"/>
        <v>0</v>
      </c>
      <c r="H8" s="20">
        <f t="shared" si="1"/>
        <v>0</v>
      </c>
      <c r="I8" s="20">
        <f t="shared" si="1"/>
        <v>0</v>
      </c>
      <c r="J8" s="20">
        <f t="shared" si="1"/>
        <v>0</v>
      </c>
      <c r="K8" s="20">
        <f t="shared" si="1"/>
        <v>0</v>
      </c>
      <c r="L8" s="20">
        <f t="shared" si="1"/>
        <v>0</v>
      </c>
      <c r="M8" s="20">
        <f t="shared" si="1"/>
        <v>0</v>
      </c>
      <c r="N8" s="20">
        <f t="shared" si="1"/>
        <v>0</v>
      </c>
      <c r="O8" s="20">
        <f t="shared" si="1"/>
        <v>0</v>
      </c>
      <c r="P8" s="20">
        <f t="shared" si="1"/>
        <v>0</v>
      </c>
      <c r="Q8" s="20">
        <f t="shared" si="1"/>
        <v>0</v>
      </c>
      <c r="R8" s="20">
        <f t="shared" si="1"/>
        <v>0</v>
      </c>
      <c r="S8" s="20">
        <f t="shared" si="1"/>
        <v>0</v>
      </c>
      <c r="T8" s="20">
        <f t="shared" si="1"/>
        <v>0</v>
      </c>
      <c r="U8" s="20">
        <f t="shared" si="1"/>
        <v>0</v>
      </c>
      <c r="V8" s="20">
        <f t="shared" si="1"/>
        <v>0</v>
      </c>
      <c r="W8" s="20">
        <f t="shared" si="1"/>
        <v>0</v>
      </c>
      <c r="X8" s="20">
        <f t="shared" si="1"/>
        <v>0</v>
      </c>
      <c r="Y8" s="20">
        <f t="shared" si="1"/>
        <v>0</v>
      </c>
      <c r="Z8" s="20">
        <f t="shared" si="1"/>
        <v>0</v>
      </c>
      <c r="AA8" s="20">
        <f t="shared" si="1"/>
        <v>0</v>
      </c>
      <c r="AB8" s="331">
        <f t="shared" si="2"/>
        <v>0</v>
      </c>
      <c r="AC8" s="334">
        <f t="shared" si="4"/>
        <v>0</v>
      </c>
    </row>
    <row r="9" spans="1:31" ht="12.75">
      <c r="A9" s="51" t="str">
        <f>'[1] Existing SphtSysType PNRES'!AG99</f>
        <v>Electric FAF</v>
      </c>
      <c r="B9" s="160">
        <v>0</v>
      </c>
      <c r="C9" s="20">
        <f t="shared" si="0"/>
        <v>0</v>
      </c>
      <c r="D9" s="20">
        <f t="shared" si="1"/>
        <v>0</v>
      </c>
      <c r="E9" s="20">
        <f t="shared" si="1"/>
        <v>0</v>
      </c>
      <c r="F9" s="20">
        <f t="shared" si="1"/>
        <v>0</v>
      </c>
      <c r="G9" s="20">
        <f t="shared" si="1"/>
        <v>0</v>
      </c>
      <c r="H9" s="20">
        <f t="shared" si="1"/>
        <v>0</v>
      </c>
      <c r="I9" s="20">
        <f t="shared" si="1"/>
        <v>0</v>
      </c>
      <c r="J9" s="20">
        <f t="shared" si="1"/>
        <v>0</v>
      </c>
      <c r="K9" s="20">
        <f t="shared" si="1"/>
        <v>0</v>
      </c>
      <c r="L9" s="20">
        <f t="shared" si="1"/>
        <v>0</v>
      </c>
      <c r="M9" s="20">
        <f t="shared" si="1"/>
        <v>0</v>
      </c>
      <c r="N9" s="20">
        <f t="shared" si="1"/>
        <v>0</v>
      </c>
      <c r="O9" s="20">
        <f t="shared" si="1"/>
        <v>0</v>
      </c>
      <c r="P9" s="20">
        <f t="shared" si="1"/>
        <v>0</v>
      </c>
      <c r="Q9" s="20">
        <f t="shared" si="1"/>
        <v>0</v>
      </c>
      <c r="R9" s="20">
        <f t="shared" si="1"/>
        <v>0</v>
      </c>
      <c r="S9" s="20">
        <f t="shared" si="1"/>
        <v>0</v>
      </c>
      <c r="T9" s="20">
        <f t="shared" si="1"/>
        <v>0</v>
      </c>
      <c r="U9" s="20">
        <f t="shared" si="1"/>
        <v>0</v>
      </c>
      <c r="V9" s="20">
        <f t="shared" si="1"/>
        <v>0</v>
      </c>
      <c r="W9" s="20">
        <f t="shared" si="1"/>
        <v>0</v>
      </c>
      <c r="X9" s="20">
        <f t="shared" si="1"/>
        <v>0</v>
      </c>
      <c r="Y9" s="20">
        <f t="shared" si="1"/>
        <v>0</v>
      </c>
      <c r="Z9" s="20">
        <f t="shared" si="1"/>
        <v>0</v>
      </c>
      <c r="AA9" s="20">
        <f t="shared" si="1"/>
        <v>0</v>
      </c>
      <c r="AB9" s="331">
        <f t="shared" si="2"/>
        <v>0</v>
      </c>
      <c r="AC9" s="396">
        <f t="shared" si="4"/>
        <v>0</v>
      </c>
      <c r="AD9" s="393">
        <v>0</v>
      </c>
      <c r="AE9" s="394">
        <f>AD9*AD$12</f>
        <v>0</v>
      </c>
    </row>
    <row r="10" spans="1:31" ht="12.75">
      <c r="A10" s="51" t="str">
        <f>'[1] Existing SphtSysType PNRES'!AG100</f>
        <v>Heat Pump</v>
      </c>
      <c r="B10" s="160">
        <f>'[1]New Home Characteristics'!$D$50</f>
        <v>0.09489262930357956</v>
      </c>
      <c r="C10" s="20">
        <f t="shared" si="0"/>
        <v>4405.627453478302</v>
      </c>
      <c r="D10" s="20">
        <f t="shared" si="1"/>
        <v>4508.2049122675035</v>
      </c>
      <c r="E10" s="20">
        <f t="shared" si="1"/>
        <v>4613.170710779652</v>
      </c>
      <c r="F10" s="20">
        <f t="shared" si="1"/>
        <v>4720.580457397912</v>
      </c>
      <c r="G10" s="20">
        <f t="shared" si="1"/>
        <v>4830.491055251015</v>
      </c>
      <c r="H10" s="20">
        <f t="shared" si="1"/>
        <v>4942.960732359189</v>
      </c>
      <c r="I10" s="20">
        <f t="shared" si="1"/>
        <v>5058.04907248198</v>
      </c>
      <c r="J10" s="20">
        <f t="shared" si="1"/>
        <v>5175.817046684303</v>
      </c>
      <c r="K10" s="20">
        <f t="shared" si="1"/>
        <v>5296.327045637468</v>
      </c>
      <c r="L10" s="20">
        <f t="shared" si="1"/>
        <v>5419.642912672271</v>
      </c>
      <c r="M10" s="20">
        <f t="shared" si="1"/>
        <v>5545.829977601675</v>
      </c>
      <c r="N10" s="20">
        <f t="shared" si="1"/>
        <v>5674.955091330985</v>
      </c>
      <c r="O10" s="20">
        <f t="shared" si="1"/>
        <v>5807.086661273872</v>
      </c>
      <c r="P10" s="20">
        <f t="shared" si="1"/>
        <v>5942.294687592994</v>
      </c>
      <c r="Q10" s="20">
        <f t="shared" si="1"/>
        <v>6080.650800284415</v>
      </c>
      <c r="R10" s="20">
        <f t="shared" si="1"/>
        <v>6222.228297125471</v>
      </c>
      <c r="S10" s="20">
        <f t="shared" si="1"/>
        <v>6367.102182506196</v>
      </c>
      <c r="T10" s="20">
        <f t="shared" si="1"/>
        <v>6515.349207164855</v>
      </c>
      <c r="U10" s="20">
        <f t="shared" si="1"/>
        <v>6667.047908848665</v>
      </c>
      <c r="V10" s="20">
        <f t="shared" si="1"/>
        <v>6822.278653921226</v>
      </c>
      <c r="W10" s="20">
        <f t="shared" si="1"/>
        <v>6981.123679938698</v>
      </c>
      <c r="X10" s="20">
        <f t="shared" si="1"/>
        <v>7143.667139217319</v>
      </c>
      <c r="Y10" s="20">
        <f t="shared" si="1"/>
        <v>7309.995143415291</v>
      </c>
      <c r="Z10" s="20">
        <f t="shared" si="1"/>
        <v>7480.195809152685</v>
      </c>
      <c r="AA10" s="20">
        <f t="shared" si="1"/>
        <v>7654.359304693536</v>
      </c>
      <c r="AB10" s="331">
        <f t="shared" si="2"/>
        <v>147185.03594307744</v>
      </c>
      <c r="AC10" s="397">
        <f t="shared" si="4"/>
        <v>128937.4524091541</v>
      </c>
      <c r="AD10" s="391">
        <f>AC10/AD$12</f>
        <v>0.6635657272978711</v>
      </c>
      <c r="AE10" s="395">
        <f>AD10*AD$12</f>
        <v>128937.4524091541</v>
      </c>
    </row>
    <row r="11" spans="1:31" ht="12.75">
      <c r="A11" s="51" t="str">
        <f>'[1] Existing SphtSysType PNRES'!AG101</f>
        <v>Baseboard/Wall/Radiant</v>
      </c>
      <c r="B11" s="160">
        <f>'[1]New Home Characteristics'!$C$50</f>
        <v>0.048111485285031126</v>
      </c>
      <c r="C11" s="20">
        <f t="shared" si="0"/>
        <v>2233.69593565846</v>
      </c>
      <c r="D11" s="20">
        <f t="shared" si="1"/>
        <v>2285.703704178858</v>
      </c>
      <c r="E11" s="20">
        <f t="shared" si="1"/>
        <v>2338.9223841502253</v>
      </c>
      <c r="F11" s="20">
        <f t="shared" si="1"/>
        <v>2393.3801695632633</v>
      </c>
      <c r="G11" s="20">
        <f t="shared" si="1"/>
        <v>2449.1059108572613</v>
      </c>
      <c r="H11" s="20">
        <f t="shared" si="1"/>
        <v>2506.129130204373</v>
      </c>
      <c r="I11" s="20">
        <f t="shared" si="1"/>
        <v>2564.48003714976</v>
      </c>
      <c r="J11" s="20">
        <f t="shared" si="1"/>
        <v>2624.189544615892</v>
      </c>
      <c r="K11" s="20">
        <f t="shared" si="1"/>
        <v>2685.289285279476</v>
      </c>
      <c r="L11" s="20">
        <f t="shared" si="1"/>
        <v>2747.8116283296963</v>
      </c>
      <c r="M11" s="20">
        <f t="shared" si="1"/>
        <v>2811.7896966166427</v>
      </c>
      <c r="N11" s="20">
        <f t="shared" si="1"/>
        <v>2877.2573841990047</v>
      </c>
      <c r="O11" s="20">
        <f t="shared" si="1"/>
        <v>2944.249374300342</v>
      </c>
      <c r="P11" s="20">
        <f t="shared" si="1"/>
        <v>3012.8011576834288</v>
      </c>
      <c r="Q11" s="20">
        <f t="shared" si="1"/>
        <v>3082.9490514524164</v>
      </c>
      <c r="R11" s="20">
        <f t="shared" si="1"/>
        <v>3154.7302182927697</v>
      </c>
      <c r="S11" s="20">
        <f t="shared" si="1"/>
        <v>3228.1826861591762</v>
      </c>
      <c r="T11" s="20">
        <f t="shared" si="1"/>
        <v>3303.3453684218507</v>
      </c>
      <c r="U11" s="20">
        <f t="shared" si="1"/>
        <v>3380.258084481913</v>
      </c>
      <c r="V11" s="20">
        <f t="shared" si="1"/>
        <v>3458.9615808667604</v>
      </c>
      <c r="W11" s="20">
        <f t="shared" si="1"/>
        <v>3539.497552816604</v>
      </c>
      <c r="X11" s="20">
        <f t="shared" si="1"/>
        <v>3621.9086663736234</v>
      </c>
      <c r="Y11" s="20">
        <f t="shared" si="1"/>
        <v>3706.238580985416</v>
      </c>
      <c r="Z11" s="20">
        <f t="shared" si="1"/>
        <v>3792.5319726347316</v>
      </c>
      <c r="AA11" s="20">
        <f t="shared" si="1"/>
        <v>3880.83455750775</v>
      </c>
      <c r="AB11" s="331">
        <f t="shared" si="2"/>
        <v>74624.24366277969</v>
      </c>
      <c r="AC11" s="397">
        <f t="shared" si="4"/>
        <v>65372.54146922888</v>
      </c>
      <c r="AD11" s="391">
        <f>AC11/AD$12</f>
        <v>0.33643427270212883</v>
      </c>
      <c r="AE11" s="395">
        <f>AD11*AD$12</f>
        <v>65372.54146922888</v>
      </c>
    </row>
    <row r="12" spans="1:31" ht="13.5" thickBot="1">
      <c r="A12" s="51" t="str">
        <f>'[1] Existing SphtSysType PNRES'!AG102</f>
        <v>Electric Other</v>
      </c>
      <c r="B12" s="160">
        <v>0</v>
      </c>
      <c r="C12" s="20">
        <f t="shared" si="0"/>
        <v>0</v>
      </c>
      <c r="D12" s="20">
        <f t="shared" si="1"/>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20">
        <f t="shared" si="1"/>
        <v>0</v>
      </c>
      <c r="P12" s="20">
        <f t="shared" si="1"/>
        <v>0</v>
      </c>
      <c r="Q12" s="20">
        <f t="shared" si="1"/>
        <v>0</v>
      </c>
      <c r="R12" s="20">
        <f t="shared" si="1"/>
        <v>0</v>
      </c>
      <c r="S12" s="20">
        <f t="shared" si="1"/>
        <v>0</v>
      </c>
      <c r="T12" s="20">
        <f t="shared" si="1"/>
        <v>0</v>
      </c>
      <c r="U12" s="20">
        <f t="shared" si="1"/>
        <v>0</v>
      </c>
      <c r="V12" s="20">
        <f t="shared" si="1"/>
        <v>0</v>
      </c>
      <c r="W12" s="20">
        <f t="shared" si="1"/>
        <v>0</v>
      </c>
      <c r="X12" s="20">
        <f t="shared" si="1"/>
        <v>0</v>
      </c>
      <c r="Y12" s="20">
        <f t="shared" si="1"/>
        <v>0</v>
      </c>
      <c r="Z12" s="20">
        <f t="shared" si="1"/>
        <v>0</v>
      </c>
      <c r="AA12" s="20">
        <f t="shared" si="1"/>
        <v>0</v>
      </c>
      <c r="AB12" s="331">
        <f t="shared" si="2"/>
        <v>0</v>
      </c>
      <c r="AC12" s="398">
        <f t="shared" si="4"/>
        <v>0</v>
      </c>
      <c r="AD12" s="399">
        <f>SUM(AC10:AC11)</f>
        <v>194309.993878383</v>
      </c>
      <c r="AE12" s="400"/>
    </row>
    <row r="13" spans="1:31" ht="13.5" thickBot="1">
      <c r="A13" s="51" t="str">
        <f>'[1] Existing SphtSysType PNRES'!AG103</f>
        <v>Wood</v>
      </c>
      <c r="B13" s="160">
        <f>'[1]New Home Characteristics'!$E$50</f>
        <v>0.018874691803207038</v>
      </c>
      <c r="C13" s="20">
        <f t="shared" si="0"/>
        <v>876.3047350929924</v>
      </c>
      <c r="D13" s="20">
        <f t="shared" si="1"/>
        <v>896.7079838469956</v>
      </c>
      <c r="E13" s="20">
        <f t="shared" si="1"/>
        <v>917.5862871602709</v>
      </c>
      <c r="F13" s="20">
        <f t="shared" si="1"/>
        <v>938.9507058612683</v>
      </c>
      <c r="G13" s="20">
        <f t="shared" si="1"/>
        <v>960.812558310806</v>
      </c>
      <c r="H13" s="20">
        <f t="shared" si="1"/>
        <v>983.1834263982702</v>
      </c>
      <c r="I13" s="20">
        <f t="shared" si="1"/>
        <v>1006.0751616774231</v>
      </c>
      <c r="J13" s="20">
        <f t="shared" si="1"/>
        <v>1029.4998916450754</v>
      </c>
      <c r="K13" s="20">
        <f t="shared" si="1"/>
        <v>1053.4700261659448</v>
      </c>
      <c r="L13" s="20">
        <f t="shared" si="1"/>
        <v>1077.9982640471073</v>
      </c>
      <c r="M13" s="20">
        <f t="shared" si="1"/>
        <v>1103.0975997655237</v>
      </c>
      <c r="N13" s="20">
        <f t="shared" si="1"/>
        <v>1128.7813303522032</v>
      </c>
      <c r="O13" s="20">
        <f t="shared" si="1"/>
        <v>1155.063062436655</v>
      </c>
      <c r="P13" s="20">
        <f t="shared" si="1"/>
        <v>1181.9567194553574</v>
      </c>
      <c r="Q13" s="20">
        <f t="shared" si="1"/>
        <v>1209.476549028062</v>
      </c>
      <c r="R13" s="20">
        <f t="shared" si="1"/>
        <v>1237.6371305058444</v>
      </c>
      <c r="S13" s="20">
        <f t="shared" si="1"/>
        <v>1266.453382694898</v>
      </c>
      <c r="T13" s="20">
        <f t="shared" si="1"/>
        <v>1295.9405717601617</v>
      </c>
      <c r="U13" s="20">
        <f t="shared" si="1"/>
        <v>1326.1143193129715</v>
      </c>
      <c r="V13" s="20">
        <f t="shared" si="1"/>
        <v>1356.9906106870187</v>
      </c>
      <c r="W13" s="20">
        <f t="shared" si="1"/>
        <v>1388.5858034069984</v>
      </c>
      <c r="X13" s="20">
        <f t="shared" si="1"/>
        <v>1420.9166358544387</v>
      </c>
      <c r="Y13" s="20">
        <f t="shared" si="1"/>
        <v>1454.0002361352967</v>
      </c>
      <c r="Z13" s="20">
        <f t="shared" si="1"/>
        <v>1487.8541311540196</v>
      </c>
      <c r="AA13" s="20">
        <f t="shared" si="1"/>
        <v>1522.4962558988839</v>
      </c>
      <c r="AB13" s="331">
        <f t="shared" si="2"/>
        <v>29275.953378654493</v>
      </c>
      <c r="AC13" s="408">
        <f t="shared" si="4"/>
        <v>25646.403666692957</v>
      </c>
      <c r="AD13" s="409"/>
      <c r="AE13" s="410"/>
    </row>
    <row r="14" spans="1:31" ht="12.75">
      <c r="A14" s="193"/>
      <c r="B14" s="174">
        <f>SUM(B5:B13)</f>
        <v>1.0006890267040973</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331"/>
      <c r="AC14" s="411">
        <f t="shared" si="4"/>
        <v>0</v>
      </c>
      <c r="AD14" s="404" t="s">
        <v>176</v>
      </c>
      <c r="AE14" s="405" t="s">
        <v>177</v>
      </c>
    </row>
    <row r="15" spans="1:31" ht="13.5" thickBot="1">
      <c r="A15" s="52" t="s">
        <v>26</v>
      </c>
      <c r="B15" s="160">
        <f>'[1]New Home Characteristics'!$G$33+B10</f>
        <v>0.41653242101122323</v>
      </c>
      <c r="C15" s="20">
        <f>$B15*C$4</f>
        <v>19338.55856601925</v>
      </c>
      <c r="D15" s="20">
        <f t="shared" si="1"/>
        <v>19788.823645237928</v>
      </c>
      <c r="E15" s="20">
        <f t="shared" si="1"/>
        <v>20249.572372494367</v>
      </c>
      <c r="F15" s="20">
        <f t="shared" si="1"/>
        <v>20721.048841504147</v>
      </c>
      <c r="G15" s="20">
        <f t="shared" si="1"/>
        <v>21203.502829285226</v>
      </c>
      <c r="H15" s="20">
        <f t="shared" si="1"/>
        <v>21697.189928483895</v>
      </c>
      <c r="I15" s="20">
        <f t="shared" si="1"/>
        <v>22202.371682781653</v>
      </c>
      <c r="J15" s="20">
        <f t="shared" si="1"/>
        <v>22719.315725454842</v>
      </c>
      <c r="K15" s="20">
        <f t="shared" si="1"/>
        <v>23248.295921160396</v>
      </c>
      <c r="L15" s="20">
        <f t="shared" si="1"/>
        <v>23789.592511022798</v>
      </c>
      <c r="M15" s="20">
        <f t="shared" si="1"/>
        <v>24343.492261099196</v>
      </c>
      <c r="N15" s="20">
        <f t="shared" si="1"/>
        <v>24910.288614301204</v>
      </c>
      <c r="O15" s="20">
        <f t="shared" si="1"/>
        <v>25490.281845854</v>
      </c>
      <c r="P15" s="20">
        <f t="shared" si="1"/>
        <v>26083.779222374986</v>
      </c>
      <c r="Q15" s="20">
        <f t="shared" si="1"/>
        <v>26691.095164656344</v>
      </c>
      <c r="R15" s="20">
        <f t="shared" si="1"/>
        <v>27312.551414237678</v>
      </c>
      <c r="S15" s="20">
        <f t="shared" si="1"/>
        <v>27948.477203857034</v>
      </c>
      <c r="T15" s="20">
        <f t="shared" si="1"/>
        <v>28599.20943187058</v>
      </c>
      <c r="U15" s="20">
        <f t="shared" si="1"/>
        <v>29265.092840733327</v>
      </c>
      <c r="V15" s="20">
        <f t="shared" si="1"/>
        <v>29946.480199635505</v>
      </c>
      <c r="W15" s="20">
        <f t="shared" si="1"/>
        <v>30643.732491391245</v>
      </c>
      <c r="X15" s="20">
        <f t="shared" si="1"/>
        <v>31357.21910367873</v>
      </c>
      <c r="Y15" s="20">
        <f t="shared" si="1"/>
        <v>32087.318024733</v>
      </c>
      <c r="Z15" s="20">
        <f t="shared" si="1"/>
        <v>32834.41604359508</v>
      </c>
      <c r="AA15" s="20">
        <f t="shared" si="1"/>
        <v>33598.90895502368</v>
      </c>
      <c r="AB15" s="331">
        <f t="shared" si="2"/>
        <v>646070.6148404861</v>
      </c>
      <c r="AC15" s="412">
        <f t="shared" si="4"/>
        <v>565972.6114152304</v>
      </c>
      <c r="AD15" s="406">
        <f>B15-B10</f>
        <v>0.3216397917076437</v>
      </c>
      <c r="AE15" s="400">
        <f>AD15*AE9</f>
        <v>0</v>
      </c>
    </row>
    <row r="16" spans="1:29" ht="12.75">
      <c r="A16" s="194"/>
      <c r="B16" s="26"/>
      <c r="C16" s="26"/>
      <c r="D16" s="26"/>
      <c r="E16" s="26"/>
      <c r="F16" s="26"/>
      <c r="G16" s="26"/>
      <c r="H16" s="26"/>
      <c r="I16" s="26"/>
      <c r="J16" s="26"/>
      <c r="K16" s="26"/>
      <c r="L16" s="26"/>
      <c r="M16" s="26"/>
      <c r="N16" s="26"/>
      <c r="O16" s="26"/>
      <c r="P16" s="26"/>
      <c r="Q16" s="26"/>
      <c r="R16" s="26"/>
      <c r="S16" s="26"/>
      <c r="T16" s="26"/>
      <c r="U16" s="26"/>
      <c r="V16" s="26"/>
      <c r="W16" s="1"/>
      <c r="X16" s="157"/>
      <c r="Y16" s="157"/>
      <c r="Z16" s="157"/>
      <c r="AA16" s="157"/>
      <c r="AB16" s="331"/>
      <c r="AC16" s="336">
        <f t="shared" si="4"/>
        <v>0</v>
      </c>
    </row>
    <row r="17" spans="1:29" ht="12.75">
      <c r="A17" s="53" t="s">
        <v>65</v>
      </c>
      <c r="B17" s="26"/>
      <c r="C17" s="66">
        <f>'Total Housing Units'!E73</f>
        <v>18342.378454176785</v>
      </c>
      <c r="D17" s="66">
        <f>'Total Housing Units'!F73</f>
        <v>18769.44919264646</v>
      </c>
      <c r="E17" s="66">
        <f>'Total Housing Units'!G73</f>
        <v>19206.463538817432</v>
      </c>
      <c r="F17" s="66">
        <f>'Total Housing Units'!H73</f>
        <v>19653.653012494757</v>
      </c>
      <c r="G17" s="66">
        <f>'Total Housing Units'!I73</f>
        <v>20111.25452402401</v>
      </c>
      <c r="H17" s="66">
        <f>'Total Housing Units'!J73</f>
        <v>20579.510499800734</v>
      </c>
      <c r="I17" s="66">
        <f>'Total Housing Units'!K73</f>
        <v>21058.669010702193</v>
      </c>
      <c r="J17" s="66">
        <f>'Total Housing Units'!L73</f>
        <v>21548.98390350941</v>
      </c>
      <c r="K17" s="66">
        <f>'Total Housing Units'!M73</f>
        <v>22050.71493538915</v>
      </c>
      <c r="L17" s="66">
        <f>'Total Housing Units'!N73</f>
        <v>22564.12791150712</v>
      </c>
      <c r="M17" s="66">
        <f>'Total Housing Units'!O73</f>
        <v>23089.49482584517</v>
      </c>
      <c r="N17" s="66">
        <f>'Total Housing Units'!P73</f>
        <v>23627.094005297276</v>
      </c>
      <c r="O17" s="66">
        <f>'Total Housing Units'!Q73</f>
        <v>24177.210257120496</v>
      </c>
      <c r="P17" s="66">
        <f>'Total Housing Units'!R73</f>
        <v>24740.135019819078</v>
      </c>
      <c r="Q17" s="66">
        <f>'Total Housing Units'!S73</f>
        <v>25316.166517541646</v>
      </c>
      <c r="R17" s="66">
        <f>'Total Housing Units'!T73</f>
        <v>25905.609918073264</v>
      </c>
      <c r="S17" s="66">
        <f>'Total Housing Units'!U73</f>
        <v>26508.777494506056</v>
      </c>
      <c r="T17" s="66">
        <f>'Total Housing Units'!V73</f>
        <v>27125.988790674088</v>
      </c>
      <c r="U17" s="66">
        <f>'Total Housing Units'!W73</f>
        <v>27757.570790440062</v>
      </c>
      <c r="V17" s="66">
        <f>'Total Housing Units'!X73</f>
        <v>28403.858090923615</v>
      </c>
      <c r="W17" s="66">
        <f>'Total Housing Units'!Y73</f>
        <v>29065.19307976288</v>
      </c>
      <c r="X17" s="66">
        <f>'Total Housing Units'!Z73</f>
        <v>29741.926116503353</v>
      </c>
      <c r="Y17" s="66">
        <f>'Total Housing Units'!AA73</f>
        <v>30434.415718210006</v>
      </c>
      <c r="Z17" s="66">
        <f>'Total Housing Units'!AB73</f>
        <v>31143.028749401135</v>
      </c>
      <c r="AA17" s="66">
        <f>'Total Housing Units'!AC73</f>
        <v>31868.140616404427</v>
      </c>
      <c r="AB17" s="331">
        <f>SUM(C17:AA17)</f>
        <v>612789.8149735907</v>
      </c>
      <c r="AC17" s="334">
        <f t="shared" si="4"/>
        <v>536817.8707754553</v>
      </c>
    </row>
    <row r="18" spans="1:29" ht="12.75">
      <c r="A18" s="51" t="str">
        <f>'[1] Existing SphtSysType PNRES'!K63</f>
        <v>Natural Gas FAF</v>
      </c>
      <c r="B18" s="160">
        <f>'[1]New Home Characteristics'!$G$11*'[1]New Home Characteristics'!$D$16</f>
        <v>0.3774188415266627</v>
      </c>
      <c r="C18" s="20">
        <f aca="true" t="shared" si="5" ref="C18:C26">$B18*C$17</f>
        <v>6922.759227019021</v>
      </c>
      <c r="D18" s="20">
        <f aca="true" t="shared" si="6" ref="D18:AA28">$B18*D$17</f>
        <v>7083.943770382182</v>
      </c>
      <c r="E18" s="20">
        <f t="shared" si="6"/>
        <v>7248.881218644562</v>
      </c>
      <c r="F18" s="20">
        <f t="shared" si="6"/>
        <v>7417.658951742776</v>
      </c>
      <c r="G18" s="20">
        <f t="shared" si="6"/>
        <v>7590.3663841049965</v>
      </c>
      <c r="H18" s="20">
        <f t="shared" si="6"/>
        <v>7767.095012020584</v>
      </c>
      <c r="I18" s="20">
        <f t="shared" si="6"/>
        <v>7947.938462112655</v>
      </c>
      <c r="J18" s="20">
        <f t="shared" si="6"/>
        <v>8132.9925409392235</v>
      </c>
      <c r="K18" s="20">
        <f t="shared" si="6"/>
        <v>8322.355285749252</v>
      </c>
      <c r="L18" s="20">
        <f t="shared" si="6"/>
        <v>8516.127016420452</v>
      </c>
      <c r="M18" s="20">
        <f t="shared" si="6"/>
        <v>8714.410388606357</v>
      </c>
      <c r="N18" s="20">
        <f t="shared" si="6"/>
        <v>8917.310448120856</v>
      </c>
      <c r="O18" s="20">
        <f t="shared" si="6"/>
        <v>9124.934686588966</v>
      </c>
      <c r="P18" s="20">
        <f t="shared" si="6"/>
        <v>9337.393098393335</v>
      </c>
      <c r="Q18" s="20">
        <f t="shared" si="6"/>
        <v>9554.798238946654</v>
      </c>
      <c r="R18" s="20">
        <f t="shared" si="6"/>
        <v>9777.265284320834</v>
      </c>
      <c r="S18" s="20">
        <f t="shared" si="6"/>
        <v>10004.912092264543</v>
      </c>
      <c r="T18" s="20">
        <f t="shared" si="6"/>
        <v>10237.859264641453</v>
      </c>
      <c r="U18" s="20">
        <f t="shared" si="6"/>
        <v>10476.23021132222</v>
      </c>
      <c r="V18" s="20">
        <f t="shared" si="6"/>
        <v>10720.151215564116</v>
      </c>
      <c r="W18" s="20">
        <f t="shared" si="6"/>
        <v>10969.75150091288</v>
      </c>
      <c r="X18" s="20">
        <f t="shared" si="6"/>
        <v>11225.16329966229</v>
      </c>
      <c r="Y18" s="20">
        <f t="shared" si="6"/>
        <v>11486.521922907676</v>
      </c>
      <c r="Z18" s="20">
        <f t="shared" si="6"/>
        <v>11753.965832230528</v>
      </c>
      <c r="AA18" s="20">
        <f t="shared" si="6"/>
        <v>12027.636713052147</v>
      </c>
      <c r="AB18" s="331">
        <f aca="true" t="shared" si="7" ref="AB18:AB28">SUM(C18:AA18)</f>
        <v>231278.42206667052</v>
      </c>
      <c r="AC18" s="334">
        <f t="shared" si="4"/>
        <v>202605.178898882</v>
      </c>
    </row>
    <row r="19" spans="1:29" ht="12.75">
      <c r="A19" s="51" t="str">
        <f>'[1] Existing SphtSysType PNRES'!K64</f>
        <v>Natural Gas Other</v>
      </c>
      <c r="B19" s="160">
        <f>'[1]New Home Characteristics'!$G$11-B18</f>
        <v>0.024998588000165467</v>
      </c>
      <c r="C19" s="20">
        <f t="shared" si="5"/>
        <v>458.5335619190774</v>
      </c>
      <c r="D19" s="20">
        <f aca="true" t="shared" si="8" ref="D19:R19">$B19*D$17</f>
        <v>469.20972735700724</v>
      </c>
      <c r="E19" s="20">
        <f t="shared" si="8"/>
        <v>480.13446894709705</v>
      </c>
      <c r="F19" s="20">
        <f t="shared" si="8"/>
        <v>491.3135743575673</v>
      </c>
      <c r="G19" s="20">
        <f t="shared" si="8"/>
        <v>502.75296601254007</v>
      </c>
      <c r="H19" s="20">
        <f t="shared" si="8"/>
        <v>514.4587042295979</v>
      </c>
      <c r="I19" s="20">
        <f t="shared" si="8"/>
        <v>526.4369904303962</v>
      </c>
      <c r="J19" s="20">
        <f t="shared" si="8"/>
        <v>538.6941704260291</v>
      </c>
      <c r="K19" s="20">
        <f t="shared" si="8"/>
        <v>551.2367377788887</v>
      </c>
      <c r="L19" s="20">
        <f t="shared" si="8"/>
        <v>564.0713372428005</v>
      </c>
      <c r="M19" s="20">
        <f t="shared" si="8"/>
        <v>577.2047682832557</v>
      </c>
      <c r="N19" s="20">
        <f t="shared" si="8"/>
        <v>590.643988679606</v>
      </c>
      <c r="O19" s="20">
        <f t="shared" si="8"/>
        <v>604.3961182111299</v>
      </c>
      <c r="P19" s="20">
        <f t="shared" si="8"/>
        <v>618.4684424289227</v>
      </c>
      <c r="Q19" s="20">
        <f t="shared" si="8"/>
        <v>632.8684165156074</v>
      </c>
      <c r="R19" s="20">
        <f t="shared" si="8"/>
        <v>647.6036692349138</v>
      </c>
      <c r="S19" s="20">
        <f t="shared" si="6"/>
        <v>662.6820069732155</v>
      </c>
      <c r="T19" s="20">
        <f t="shared" si="6"/>
        <v>678.1114178751682</v>
      </c>
      <c r="U19" s="20">
        <f t="shared" si="6"/>
        <v>693.9000760756384</v>
      </c>
      <c r="V19" s="20">
        <f t="shared" si="6"/>
        <v>710.0563460301659</v>
      </c>
      <c r="W19" s="20">
        <f t="shared" si="6"/>
        <v>726.5887869462528</v>
      </c>
      <c r="X19" s="20">
        <f t="shared" si="6"/>
        <v>743.5061573178286</v>
      </c>
      <c r="Y19" s="20">
        <f t="shared" si="6"/>
        <v>760.817419565292</v>
      </c>
      <c r="Z19" s="20">
        <f t="shared" si="6"/>
        <v>778.5317447835873</v>
      </c>
      <c r="AA19" s="20">
        <f t="shared" si="6"/>
        <v>796.6585176008334</v>
      </c>
      <c r="AB19" s="331">
        <f t="shared" si="7"/>
        <v>15318.88011522242</v>
      </c>
      <c r="AC19" s="334">
        <f t="shared" si="4"/>
        <v>13419.68878264167</v>
      </c>
    </row>
    <row r="20" spans="1:29" ht="12.75">
      <c r="A20" s="51" t="str">
        <f>'[1] Existing SphtSysType PNRES'!K65</f>
        <v>Oil FAF</v>
      </c>
      <c r="B20" s="160">
        <v>0</v>
      </c>
      <c r="C20" s="20">
        <f t="shared" si="5"/>
        <v>0</v>
      </c>
      <c r="D20" s="20">
        <f t="shared" si="6"/>
        <v>0</v>
      </c>
      <c r="E20" s="20">
        <f t="shared" si="6"/>
        <v>0</v>
      </c>
      <c r="F20" s="20">
        <f t="shared" si="6"/>
        <v>0</v>
      </c>
      <c r="G20" s="20">
        <f t="shared" si="6"/>
        <v>0</v>
      </c>
      <c r="H20" s="20">
        <f t="shared" si="6"/>
        <v>0</v>
      </c>
      <c r="I20" s="20">
        <f t="shared" si="6"/>
        <v>0</v>
      </c>
      <c r="J20" s="20">
        <f t="shared" si="6"/>
        <v>0</v>
      </c>
      <c r="K20" s="20">
        <f t="shared" si="6"/>
        <v>0</v>
      </c>
      <c r="L20" s="20">
        <f t="shared" si="6"/>
        <v>0</v>
      </c>
      <c r="M20" s="20">
        <f t="shared" si="6"/>
        <v>0</v>
      </c>
      <c r="N20" s="20">
        <f t="shared" si="6"/>
        <v>0</v>
      </c>
      <c r="O20" s="20">
        <f t="shared" si="6"/>
        <v>0</v>
      </c>
      <c r="P20" s="20">
        <f t="shared" si="6"/>
        <v>0</v>
      </c>
      <c r="Q20" s="20">
        <f t="shared" si="6"/>
        <v>0</v>
      </c>
      <c r="R20" s="20">
        <f t="shared" si="6"/>
        <v>0</v>
      </c>
      <c r="S20" s="20">
        <f t="shared" si="6"/>
        <v>0</v>
      </c>
      <c r="T20" s="20">
        <f t="shared" si="6"/>
        <v>0</v>
      </c>
      <c r="U20" s="20">
        <f t="shared" si="6"/>
        <v>0</v>
      </c>
      <c r="V20" s="20">
        <f t="shared" si="6"/>
        <v>0</v>
      </c>
      <c r="W20" s="20">
        <f t="shared" si="6"/>
        <v>0</v>
      </c>
      <c r="X20" s="20">
        <f t="shared" si="6"/>
        <v>0</v>
      </c>
      <c r="Y20" s="20">
        <f t="shared" si="6"/>
        <v>0</v>
      </c>
      <c r="Z20" s="20">
        <f t="shared" si="6"/>
        <v>0</v>
      </c>
      <c r="AA20" s="20">
        <f t="shared" si="6"/>
        <v>0</v>
      </c>
      <c r="AB20" s="331">
        <f t="shared" si="7"/>
        <v>0</v>
      </c>
      <c r="AC20" s="334">
        <f t="shared" si="4"/>
        <v>0</v>
      </c>
    </row>
    <row r="21" spans="1:29" ht="13.5" thickBot="1">
      <c r="A21" s="51" t="str">
        <f>'[1] Existing SphtSysType PNRES'!K66</f>
        <v>Oil Other</v>
      </c>
      <c r="B21" s="160">
        <v>0</v>
      </c>
      <c r="C21" s="20">
        <f t="shared" si="5"/>
        <v>0</v>
      </c>
      <c r="D21" s="20">
        <f t="shared" si="6"/>
        <v>0</v>
      </c>
      <c r="E21" s="20">
        <f t="shared" si="6"/>
        <v>0</v>
      </c>
      <c r="F21" s="20">
        <f t="shared" si="6"/>
        <v>0</v>
      </c>
      <c r="G21" s="20">
        <f t="shared" si="6"/>
        <v>0</v>
      </c>
      <c r="H21" s="20">
        <f t="shared" si="6"/>
        <v>0</v>
      </c>
      <c r="I21" s="20">
        <f t="shared" si="6"/>
        <v>0</v>
      </c>
      <c r="J21" s="20">
        <f t="shared" si="6"/>
        <v>0</v>
      </c>
      <c r="K21" s="20">
        <f t="shared" si="6"/>
        <v>0</v>
      </c>
      <c r="L21" s="20">
        <f t="shared" si="6"/>
        <v>0</v>
      </c>
      <c r="M21" s="20">
        <f t="shared" si="6"/>
        <v>0</v>
      </c>
      <c r="N21" s="20">
        <f t="shared" si="6"/>
        <v>0</v>
      </c>
      <c r="O21" s="20">
        <f t="shared" si="6"/>
        <v>0</v>
      </c>
      <c r="P21" s="20">
        <f t="shared" si="6"/>
        <v>0</v>
      </c>
      <c r="Q21" s="20">
        <f t="shared" si="6"/>
        <v>0</v>
      </c>
      <c r="R21" s="20">
        <f t="shared" si="6"/>
        <v>0</v>
      </c>
      <c r="S21" s="20">
        <f t="shared" si="6"/>
        <v>0</v>
      </c>
      <c r="T21" s="20">
        <f t="shared" si="6"/>
        <v>0</v>
      </c>
      <c r="U21" s="20">
        <f t="shared" si="6"/>
        <v>0</v>
      </c>
      <c r="V21" s="20">
        <f t="shared" si="6"/>
        <v>0</v>
      </c>
      <c r="W21" s="20">
        <f t="shared" si="6"/>
        <v>0</v>
      </c>
      <c r="X21" s="20">
        <f t="shared" si="6"/>
        <v>0</v>
      </c>
      <c r="Y21" s="20">
        <f t="shared" si="6"/>
        <v>0</v>
      </c>
      <c r="Z21" s="20">
        <f t="shared" si="6"/>
        <v>0</v>
      </c>
      <c r="AA21" s="20">
        <f t="shared" si="6"/>
        <v>0</v>
      </c>
      <c r="AB21" s="331">
        <f t="shared" si="7"/>
        <v>0</v>
      </c>
      <c r="AC21" s="335">
        <f t="shared" si="4"/>
        <v>0</v>
      </c>
    </row>
    <row r="22" spans="1:31" ht="12.75">
      <c r="A22" s="51" t="str">
        <f>'[1] Existing SphtSysType PNRES'!K67</f>
        <v>Electric FAF</v>
      </c>
      <c r="B22" s="160">
        <f>'[1]New Home Characteristics'!$F$11*'[1]New Home Characteristics'!$C$16</f>
        <v>0.03710407262688935</v>
      </c>
      <c r="C22" s="20">
        <f t="shared" si="5"/>
        <v>680.5769423136658</v>
      </c>
      <c r="D22" s="20">
        <f t="shared" si="6"/>
        <v>696.4230060106639</v>
      </c>
      <c r="E22" s="20">
        <f t="shared" si="6"/>
        <v>712.6380180499842</v>
      </c>
      <c r="F22" s="20">
        <f t="shared" si="6"/>
        <v>729.2305687592881</v>
      </c>
      <c r="G22" s="20">
        <f t="shared" si="6"/>
        <v>746.2094484772439</v>
      </c>
      <c r="H22" s="20">
        <f t="shared" si="6"/>
        <v>763.5836522104383</v>
      </c>
      <c r="I22" s="20">
        <f t="shared" si="6"/>
        <v>781.3623843987182</v>
      </c>
      <c r="J22" s="20">
        <f t="shared" si="6"/>
        <v>799.5550637914826</v>
      </c>
      <c r="K22" s="20">
        <f t="shared" si="6"/>
        <v>818.1713284375127</v>
      </c>
      <c r="L22" s="20">
        <f t="shared" si="6"/>
        <v>837.2210407909812</v>
      </c>
      <c r="M22" s="20">
        <f t="shared" si="6"/>
        <v>856.714292936345</v>
      </c>
      <c r="N22" s="20">
        <f t="shared" si="6"/>
        <v>876.661411934892</v>
      </c>
      <c r="O22" s="20">
        <f t="shared" si="6"/>
        <v>897.072965295773</v>
      </c>
      <c r="P22" s="20">
        <f t="shared" si="6"/>
        <v>917.9597665744155</v>
      </c>
      <c r="Q22" s="20">
        <f t="shared" si="6"/>
        <v>939.3328811012896</v>
      </c>
      <c r="R22" s="20">
        <f t="shared" si="6"/>
        <v>961.2036318440554</v>
      </c>
      <c r="S22" s="20">
        <f t="shared" si="6"/>
        <v>983.5836054062025</v>
      </c>
      <c r="T22" s="20">
        <f t="shared" si="6"/>
        <v>1006.4846581653577</v>
      </c>
      <c r="U22" s="20">
        <f t="shared" si="6"/>
        <v>1029.9189225545103</v>
      </c>
      <c r="V22" s="20">
        <f t="shared" si="6"/>
        <v>1053.8988134894885</v>
      </c>
      <c r="W22" s="20">
        <f t="shared" si="6"/>
        <v>1078.4370349460837</v>
      </c>
      <c r="X22" s="20">
        <f t="shared" si="6"/>
        <v>1103.5465866903176</v>
      </c>
      <c r="Y22" s="20">
        <f t="shared" si="6"/>
        <v>1129.2407711654068</v>
      </c>
      <c r="Z22" s="20">
        <f t="shared" si="6"/>
        <v>1155.5332005390826</v>
      </c>
      <c r="AA22" s="20">
        <f t="shared" si="6"/>
        <v>1182.4378039149922</v>
      </c>
      <c r="AB22" s="331">
        <f t="shared" si="7"/>
        <v>22736.997799798188</v>
      </c>
      <c r="AC22" s="396">
        <f t="shared" si="4"/>
        <v>19918.129264664585</v>
      </c>
      <c r="AD22" s="393">
        <f>AC22/(AD$25-AC$25)</f>
        <v>0.08824819470155237</v>
      </c>
      <c r="AE22" s="394">
        <f>AD22*AD$25</f>
        <v>28288.314738182726</v>
      </c>
    </row>
    <row r="23" spans="1:31" ht="12.75">
      <c r="A23" s="51" t="str">
        <f>'[1] Existing SphtSysType PNRES'!K68</f>
        <v>Heat Pump</v>
      </c>
      <c r="B23" s="160">
        <f>'[1]New Home Characteristics'!$F$11*'[1]New Home Characteristics'!$C$17</f>
        <v>0.17668606012804453</v>
      </c>
      <c r="C23" s="20">
        <f t="shared" si="5"/>
        <v>3240.842582446028</v>
      </c>
      <c r="D23" s="20">
        <f t="shared" si="6"/>
        <v>3316.3000286222095</v>
      </c>
      <c r="E23" s="20">
        <f t="shared" si="6"/>
        <v>3393.5143716665916</v>
      </c>
      <c r="F23" s="20">
        <f t="shared" si="6"/>
        <v>3472.526517901372</v>
      </c>
      <c r="G23" s="20">
        <f t="shared" si="6"/>
        <v>3553.3783260821137</v>
      </c>
      <c r="H23" s="20">
        <f t="shared" si="6"/>
        <v>3636.112629573516</v>
      </c>
      <c r="I23" s="20">
        <f t="shared" si="6"/>
        <v>3720.7732590415158</v>
      </c>
      <c r="J23" s="20">
        <f t="shared" si="6"/>
        <v>3807.4050656737268</v>
      </c>
      <c r="K23" s="20">
        <f t="shared" si="6"/>
        <v>3896.053944940537</v>
      </c>
      <c r="L23" s="20">
        <f t="shared" si="6"/>
        <v>3986.7668609094344</v>
      </c>
      <c r="M23" s="20">
        <f t="shared" si="6"/>
        <v>4079.5918711254526</v>
      </c>
      <c r="N23" s="20">
        <f t="shared" si="6"/>
        <v>4174.578152070915</v>
      </c>
      <c r="O23" s="20">
        <f t="shared" si="6"/>
        <v>4271.776025217967</v>
      </c>
      <c r="P23" s="20">
        <f t="shared" si="6"/>
        <v>4371.236983687693</v>
      </c>
      <c r="Q23" s="20">
        <f t="shared" si="6"/>
        <v>4473.01371952995</v>
      </c>
      <c r="R23" s="20">
        <f t="shared" si="6"/>
        <v>4577.160151638359</v>
      </c>
      <c r="S23" s="20">
        <f t="shared" si="6"/>
        <v>4683.731454315251</v>
      </c>
      <c r="T23" s="20">
        <f t="shared" si="6"/>
        <v>4792.784086501703</v>
      </c>
      <c r="U23" s="20">
        <f t="shared" si="6"/>
        <v>4904.375821688145</v>
      </c>
      <c r="V23" s="20">
        <f t="shared" si="6"/>
        <v>5018.565778521373</v>
      </c>
      <c r="W23" s="20">
        <f t="shared" si="6"/>
        <v>5135.414452124208</v>
      </c>
      <c r="X23" s="20">
        <f t="shared" si="6"/>
        <v>5254.983746144369</v>
      </c>
      <c r="Y23" s="20">
        <f t="shared" si="6"/>
        <v>5377.337005549556</v>
      </c>
      <c r="Z23" s="20">
        <f t="shared" si="6"/>
        <v>5502.539050186108</v>
      </c>
      <c r="AA23" s="20">
        <f t="shared" si="6"/>
        <v>5630.656209119011</v>
      </c>
      <c r="AB23" s="331">
        <f t="shared" si="7"/>
        <v>108271.4180942771</v>
      </c>
      <c r="AC23" s="397">
        <f t="shared" si="4"/>
        <v>94848.23459364093</v>
      </c>
      <c r="AD23" s="391">
        <f>AC23/(AD$25-AC$25)</f>
        <v>0.420229498578821</v>
      </c>
      <c r="AE23" s="395">
        <f>AD23*AD$25</f>
        <v>134706.26065801305</v>
      </c>
    </row>
    <row r="24" spans="1:31" ht="12.75">
      <c r="A24" s="51" t="str">
        <f>'[1] Existing SphtSysType PNRES'!K69</f>
        <v>Baseboard/Wall/Radiant</v>
      </c>
      <c r="B24" s="160">
        <f>'[1]New Home Characteristics'!$F$11*'[1]New Home Characteristics'!$C$18</f>
        <v>0.20666121758001677</v>
      </c>
      <c r="C24" s="20">
        <f t="shared" si="5"/>
        <v>3790.6582646536403</v>
      </c>
      <c r="D24" s="20">
        <f t="shared" si="6"/>
        <v>3878.9172234585803</v>
      </c>
      <c r="E24" s="20">
        <f t="shared" si="6"/>
        <v>3969.231140338208</v>
      </c>
      <c r="F24" s="20">
        <f t="shared" si="6"/>
        <v>4061.6478614573307</v>
      </c>
      <c r="G24" s="20">
        <f t="shared" si="6"/>
        <v>4156.2163469964225</v>
      </c>
      <c r="H24" s="20">
        <f t="shared" si="6"/>
        <v>4252.986697089559</v>
      </c>
      <c r="I24" s="20">
        <f t="shared" si="6"/>
        <v>4352.010178366282</v>
      </c>
      <c r="J24" s="20">
        <f t="shared" si="6"/>
        <v>4453.339251111437</v>
      </c>
      <c r="K24" s="20">
        <f t="shared" si="6"/>
        <v>4557.027597057383</v>
      </c>
      <c r="L24" s="20">
        <f t="shared" si="6"/>
        <v>4663.130147823302</v>
      </c>
      <c r="M24" s="20">
        <f t="shared" si="6"/>
        <v>4771.70311401666</v>
      </c>
      <c r="N24" s="20">
        <f t="shared" si="6"/>
        <v>4882.804015012251</v>
      </c>
      <c r="O24" s="20">
        <f t="shared" si="6"/>
        <v>4996.491709424592</v>
      </c>
      <c r="P24" s="20">
        <f t="shared" si="6"/>
        <v>5112.826426289823</v>
      </c>
      <c r="Q24" s="20">
        <f t="shared" si="6"/>
        <v>5231.8697969736095</v>
      </c>
      <c r="R24" s="20">
        <f t="shared" si="6"/>
        <v>5353.684887821979</v>
      </c>
      <c r="S24" s="20">
        <f t="shared" si="6"/>
        <v>5478.336233572368</v>
      </c>
      <c r="T24" s="20">
        <f t="shared" si="6"/>
        <v>5605.889871542594</v>
      </c>
      <c r="U24" s="20">
        <f t="shared" si="6"/>
        <v>5736.413376615852</v>
      </c>
      <c r="V24" s="20">
        <f t="shared" si="6"/>
        <v>5869.9758970402845</v>
      </c>
      <c r="W24" s="20">
        <f t="shared" si="6"/>
        <v>6006.648191062074</v>
      </c>
      <c r="X24" s="20">
        <f t="shared" si="6"/>
        <v>6146.502664411482</v>
      </c>
      <c r="Y24" s="20">
        <f t="shared" si="6"/>
        <v>6289.61340866168</v>
      </c>
      <c r="Z24" s="20">
        <f t="shared" si="6"/>
        <v>6436.056240480705</v>
      </c>
      <c r="AA24" s="20">
        <f t="shared" si="6"/>
        <v>6585.908741797325</v>
      </c>
      <c r="AB24" s="331">
        <f t="shared" si="7"/>
        <v>126639.8892830754</v>
      </c>
      <c r="AC24" s="397">
        <f t="shared" si="4"/>
        <v>110939.43479316766</v>
      </c>
      <c r="AD24" s="391">
        <f>AC24/(AD$25-AC$25)</f>
        <v>0.49152230671962643</v>
      </c>
      <c r="AE24" s="395">
        <f>AD24*AD$25</f>
        <v>157559.45784891833</v>
      </c>
    </row>
    <row r="25" spans="1:31" ht="13.5" thickBot="1">
      <c r="A25" s="51" t="str">
        <f>'[1] Existing SphtSysType PNRES'!K70</f>
        <v>Electric Other</v>
      </c>
      <c r="B25" s="160">
        <f>'[1]New Home Characteristics'!$F$11*'[1]New Home Characteristics'!$C$19</f>
        <v>0.17668606012804453</v>
      </c>
      <c r="C25" s="20">
        <f t="shared" si="5"/>
        <v>3240.842582446028</v>
      </c>
      <c r="D25" s="20">
        <f t="shared" si="6"/>
        <v>3316.3000286222095</v>
      </c>
      <c r="E25" s="20">
        <f t="shared" si="6"/>
        <v>3393.5143716665916</v>
      </c>
      <c r="F25" s="20">
        <f t="shared" si="6"/>
        <v>3472.526517901372</v>
      </c>
      <c r="G25" s="20">
        <f t="shared" si="6"/>
        <v>3553.3783260821137</v>
      </c>
      <c r="H25" s="20">
        <f t="shared" si="6"/>
        <v>3636.112629573516</v>
      </c>
      <c r="I25" s="20">
        <f t="shared" si="6"/>
        <v>3720.7732590415158</v>
      </c>
      <c r="J25" s="20">
        <f t="shared" si="6"/>
        <v>3807.4050656737268</v>
      </c>
      <c r="K25" s="20">
        <f t="shared" si="6"/>
        <v>3896.053944940537</v>
      </c>
      <c r="L25" s="20">
        <f t="shared" si="6"/>
        <v>3986.7668609094344</v>
      </c>
      <c r="M25" s="20">
        <f t="shared" si="6"/>
        <v>4079.5918711254526</v>
      </c>
      <c r="N25" s="20">
        <f t="shared" si="6"/>
        <v>4174.578152070915</v>
      </c>
      <c r="O25" s="20">
        <f t="shared" si="6"/>
        <v>4271.776025217967</v>
      </c>
      <c r="P25" s="20">
        <f t="shared" si="6"/>
        <v>4371.236983687693</v>
      </c>
      <c r="Q25" s="20">
        <f t="shared" si="6"/>
        <v>4473.01371952995</v>
      </c>
      <c r="R25" s="20">
        <f t="shared" si="6"/>
        <v>4577.160151638359</v>
      </c>
      <c r="S25" s="20">
        <f t="shared" si="6"/>
        <v>4683.731454315251</v>
      </c>
      <c r="T25" s="20">
        <f t="shared" si="6"/>
        <v>4792.784086501703</v>
      </c>
      <c r="U25" s="20">
        <f t="shared" si="6"/>
        <v>4904.375821688145</v>
      </c>
      <c r="V25" s="20">
        <f t="shared" si="6"/>
        <v>5018.565778521373</v>
      </c>
      <c r="W25" s="20">
        <f t="shared" si="6"/>
        <v>5135.414452124208</v>
      </c>
      <c r="X25" s="20">
        <f t="shared" si="6"/>
        <v>5254.983746144369</v>
      </c>
      <c r="Y25" s="20">
        <f t="shared" si="6"/>
        <v>5377.337005549556</v>
      </c>
      <c r="Z25" s="20">
        <f t="shared" si="6"/>
        <v>5502.539050186108</v>
      </c>
      <c r="AA25" s="20">
        <f t="shared" si="6"/>
        <v>5630.656209119011</v>
      </c>
      <c r="AB25" s="331">
        <f t="shared" si="7"/>
        <v>108271.4180942771</v>
      </c>
      <c r="AC25" s="398">
        <f t="shared" si="4"/>
        <v>94848.23459364093</v>
      </c>
      <c r="AD25" s="399">
        <f>SUM(AC22:AC25)</f>
        <v>320554.03324511414</v>
      </c>
      <c r="AE25" s="400"/>
    </row>
    <row r="26" spans="1:31" ht="13.5" thickBot="1">
      <c r="A26" s="51" t="str">
        <f>'[1] Existing SphtSysType PNRES'!K71</f>
        <v>Wood</v>
      </c>
      <c r="B26" s="160">
        <v>0</v>
      </c>
      <c r="C26" s="20">
        <f t="shared" si="5"/>
        <v>0</v>
      </c>
      <c r="D26" s="20">
        <f t="shared" si="6"/>
        <v>0</v>
      </c>
      <c r="E26" s="20">
        <f t="shared" si="6"/>
        <v>0</v>
      </c>
      <c r="F26" s="20">
        <f t="shared" si="6"/>
        <v>0</v>
      </c>
      <c r="G26" s="20">
        <f t="shared" si="6"/>
        <v>0</v>
      </c>
      <c r="H26" s="20">
        <f t="shared" si="6"/>
        <v>0</v>
      </c>
      <c r="I26" s="20">
        <f t="shared" si="6"/>
        <v>0</v>
      </c>
      <c r="J26" s="20">
        <f t="shared" si="6"/>
        <v>0</v>
      </c>
      <c r="K26" s="20">
        <f t="shared" si="6"/>
        <v>0</v>
      </c>
      <c r="L26" s="20">
        <f t="shared" si="6"/>
        <v>0</v>
      </c>
      <c r="M26" s="20">
        <f t="shared" si="6"/>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Z26" s="20">
        <f t="shared" si="6"/>
        <v>0</v>
      </c>
      <c r="AA26" s="20">
        <f t="shared" si="6"/>
        <v>0</v>
      </c>
      <c r="AB26" s="331">
        <f t="shared" si="7"/>
        <v>0</v>
      </c>
      <c r="AC26" s="408">
        <f t="shared" si="4"/>
        <v>0</v>
      </c>
      <c r="AD26" s="409"/>
      <c r="AE26" s="410"/>
    </row>
    <row r="27" spans="1:31" ht="12.75">
      <c r="A27" s="193"/>
      <c r="B27" s="174"/>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331"/>
      <c r="AC27" s="411">
        <f t="shared" si="4"/>
        <v>0</v>
      </c>
      <c r="AD27" s="404" t="s">
        <v>176</v>
      </c>
      <c r="AE27" s="405" t="s">
        <v>177</v>
      </c>
    </row>
    <row r="28" spans="1:31" ht="13.5" thickBot="1">
      <c r="A28" s="52" t="s">
        <v>26</v>
      </c>
      <c r="B28" s="160">
        <f>'[1]New Home Characteristics'!$B$21+B23</f>
        <v>0.2656628678233692</v>
      </c>
      <c r="C28" s="20">
        <f>$B28*C$17</f>
        <v>4872.888862838182</v>
      </c>
      <c r="D28" s="20">
        <f t="shared" si="6"/>
        <v>4986.34569998348</v>
      </c>
      <c r="E28" s="20">
        <f t="shared" si="6"/>
        <v>5102.444184467215</v>
      </c>
      <c r="F28" s="20">
        <f t="shared" si="6"/>
        <v>5221.245822504756</v>
      </c>
      <c r="G28" s="20">
        <f t="shared" si="6"/>
        <v>5342.8135523779265</v>
      </c>
      <c r="H28" s="20">
        <f t="shared" si="6"/>
        <v>5467.2117777782005</v>
      </c>
      <c r="I28" s="20">
        <f t="shared" si="6"/>
        <v>5594.506401926257</v>
      </c>
      <c r="J28" s="20">
        <f t="shared" si="6"/>
        <v>5724.76486248593</v>
      </c>
      <c r="K28" s="20">
        <f t="shared" si="6"/>
        <v>5858.056167291081</v>
      </c>
      <c r="L28" s="20">
        <f t="shared" si="6"/>
        <v>5994.450930904311</v>
      </c>
      <c r="M28" s="20">
        <f t="shared" si="6"/>
        <v>6134.021412026872</v>
      </c>
      <c r="N28" s="20">
        <f t="shared" si="6"/>
        <v>6276.841551779608</v>
      </c>
      <c r="O28" s="20">
        <f t="shared" si="6"/>
        <v>6422.987012875208</v>
      </c>
      <c r="P28" s="20">
        <f t="shared" si="6"/>
        <v>6572.535219702502</v>
      </c>
      <c r="Q28" s="20">
        <f t="shared" si="6"/>
        <v>6725.56539934407</v>
      </c>
      <c r="R28" s="20">
        <f t="shared" si="6"/>
        <v>6882.158623548859</v>
      </c>
      <c r="S28" s="20">
        <f t="shared" si="6"/>
        <v>7042.397851682066</v>
      </c>
      <c r="T28" s="20">
        <f t="shared" si="6"/>
        <v>7206.367974675044</v>
      </c>
      <c r="U28" s="20">
        <f t="shared" si="6"/>
        <v>7374.155859998491</v>
      </c>
      <c r="V28" s="20">
        <f t="shared" si="6"/>
        <v>7545.850397682775</v>
      </c>
      <c r="W28" s="20">
        <f t="shared" si="6"/>
        <v>7721.542547409751</v>
      </c>
      <c r="X28" s="20">
        <f t="shared" si="6"/>
        <v>7901.325386701042</v>
      </c>
      <c r="Y28" s="20">
        <f t="shared" si="6"/>
        <v>8085.2941602282945</v>
      </c>
      <c r="Z28" s="20">
        <f t="shared" si="6"/>
        <v>8273.54633027154</v>
      </c>
      <c r="AA28" s="20">
        <f t="shared" si="6"/>
        <v>8466.181628352391</v>
      </c>
      <c r="AB28" s="331">
        <f t="shared" si="7"/>
        <v>162795.49961883583</v>
      </c>
      <c r="AC28" s="412">
        <f t="shared" si="4"/>
        <v>142612.5750490422</v>
      </c>
      <c r="AD28" s="406">
        <f>B28-B23</f>
        <v>0.08897680769532465</v>
      </c>
      <c r="AE28" s="400">
        <f>AD28*AE22</f>
        <v>2517.0039404841023</v>
      </c>
    </row>
    <row r="29" spans="1:29" ht="12.75">
      <c r="A29" s="51"/>
      <c r="B29" s="26"/>
      <c r="C29" s="26"/>
      <c r="D29" s="26"/>
      <c r="E29" s="26"/>
      <c r="F29" s="26"/>
      <c r="G29" s="26"/>
      <c r="H29" s="26"/>
      <c r="I29" s="26"/>
      <c r="J29" s="26"/>
      <c r="K29" s="26"/>
      <c r="L29" s="26"/>
      <c r="M29" s="26"/>
      <c r="N29" s="26"/>
      <c r="O29" s="26"/>
      <c r="P29" s="26"/>
      <c r="Q29" s="26"/>
      <c r="R29" s="26"/>
      <c r="S29" s="26"/>
      <c r="T29" s="26"/>
      <c r="U29" s="26"/>
      <c r="V29" s="26"/>
      <c r="W29" s="1"/>
      <c r="X29" s="157"/>
      <c r="Y29" s="157"/>
      <c r="Z29" s="157"/>
      <c r="AA29" s="157"/>
      <c r="AB29" s="331"/>
      <c r="AC29" s="334">
        <f t="shared" si="4"/>
        <v>0</v>
      </c>
    </row>
    <row r="30" spans="1:29" ht="12.75">
      <c r="A30" s="53" t="s">
        <v>11</v>
      </c>
      <c r="B30" s="26"/>
      <c r="C30" s="66">
        <f>'Total Housing Units'!E74</f>
        <v>7842.214634831053</v>
      </c>
      <c r="D30" s="66">
        <f>'Total Housing Units'!F74</f>
        <v>8024.807116155216</v>
      </c>
      <c r="E30" s="66">
        <f>'Total Housing Units'!G74</f>
        <v>8211.650949398267</v>
      </c>
      <c r="F30" s="66">
        <f>'Total Housing Units'!H74</f>
        <v>8402.84511997848</v>
      </c>
      <c r="G30" s="66">
        <f>'Total Housing Units'!I74</f>
        <v>8598.490918019374</v>
      </c>
      <c r="H30" s="66">
        <f>'Total Housing Units'!J74</f>
        <v>8798.691992010796</v>
      </c>
      <c r="I30" s="66">
        <f>'Total Housing Units'!K74</f>
        <v>9003.554403719438</v>
      </c>
      <c r="J30" s="66">
        <f>'Total Housing Units'!L74</f>
        <v>9213.186684377826</v>
      </c>
      <c r="K30" s="66">
        <f>'Total Housing Units'!M74</f>
        <v>9427.699892181596</v>
      </c>
      <c r="L30" s="66">
        <f>'Total Housing Units'!N74</f>
        <v>9647.20767112548</v>
      </c>
      <c r="M30" s="66">
        <f>'Total Housing Units'!O74</f>
        <v>9871.826311209186</v>
      </c>
      <c r="N30" s="66">
        <f>'Total Housing Units'!P74</f>
        <v>10101.674810045086</v>
      </c>
      <c r="O30" s="66">
        <f>'Total Housing Units'!Q74</f>
        <v>10336.874935900307</v>
      </c>
      <c r="P30" s="66">
        <f>'Total Housing Units'!R74</f>
        <v>10577.55129220667</v>
      </c>
      <c r="Q30" s="66">
        <f>'Total Housing Units'!S74</f>
        <v>10823.831383572624</v>
      </c>
      <c r="R30" s="66">
        <f>'Total Housing Units'!T74</f>
        <v>11075.845683332152</v>
      </c>
      <c r="S30" s="66">
        <f>'Total Housing Units'!U74</f>
        <v>11333.72770266644</v>
      </c>
      <c r="T30" s="66">
        <f>'Total Housing Units'!V74</f>
        <v>11597.614061334923</v>
      </c>
      <c r="U30" s="66">
        <f>'Total Housing Units'!W74</f>
        <v>11867.644560053193</v>
      </c>
      <c r="V30" s="66">
        <f>'Total Housing Units'!X74</f>
        <v>12143.962254556081</v>
      </c>
      <c r="W30" s="66">
        <f>'Total Housing Units'!Y74</f>
        <v>12426.713531385185</v>
      </c>
      <c r="X30" s="66">
        <f>'Total Housing Units'!Z74</f>
        <v>12716.048185440985</v>
      </c>
      <c r="Y30" s="66">
        <f>'Total Housing Units'!AA74</f>
        <v>13012.119499340606</v>
      </c>
      <c r="Z30" s="66">
        <f>'Total Housing Units'!AB74</f>
        <v>13315.08432462332</v>
      </c>
      <c r="AA30" s="66">
        <f>'Total Housing Units'!AC74</f>
        <v>13625.103164846738</v>
      </c>
      <c r="AB30" s="331">
        <f>SUM(C30:AA30)</f>
        <v>261995.971082311</v>
      </c>
      <c r="AC30" s="334">
        <f t="shared" si="4"/>
        <v>229514.45326194796</v>
      </c>
    </row>
    <row r="31" spans="1:29" ht="12.75">
      <c r="A31" s="51" t="str">
        <f>'[1] Existing SphtSysType PNRES'!K74</f>
        <v>Natural Gas FAF</v>
      </c>
      <c r="B31" s="170">
        <v>0.14</v>
      </c>
      <c r="C31" s="20">
        <f aca="true" t="shared" si="9" ref="C31:C39">$B31*C$30</f>
        <v>1097.9100488763477</v>
      </c>
      <c r="D31" s="20">
        <f aca="true" t="shared" si="10" ref="D31:AA39">$B31*D$30</f>
        <v>1123.4729962617303</v>
      </c>
      <c r="E31" s="20">
        <f t="shared" si="10"/>
        <v>1149.6311329157575</v>
      </c>
      <c r="F31" s="20">
        <f t="shared" si="10"/>
        <v>1176.3983167969873</v>
      </c>
      <c r="G31" s="20">
        <f t="shared" si="10"/>
        <v>1203.7887285227125</v>
      </c>
      <c r="H31" s="20">
        <f t="shared" si="10"/>
        <v>1231.8168788815115</v>
      </c>
      <c r="I31" s="20">
        <f t="shared" si="10"/>
        <v>1260.4976165207213</v>
      </c>
      <c r="J31" s="20">
        <f t="shared" si="10"/>
        <v>1289.8461358128957</v>
      </c>
      <c r="K31" s="20">
        <f t="shared" si="10"/>
        <v>1319.8779849054235</v>
      </c>
      <c r="L31" s="20">
        <f t="shared" si="10"/>
        <v>1350.6090739575673</v>
      </c>
      <c r="M31" s="20">
        <f t="shared" si="10"/>
        <v>1382.0556835692862</v>
      </c>
      <c r="N31" s="20">
        <f t="shared" si="10"/>
        <v>1414.2344734063122</v>
      </c>
      <c r="O31" s="20">
        <f t="shared" si="10"/>
        <v>1447.1624910260432</v>
      </c>
      <c r="P31" s="20">
        <f t="shared" si="10"/>
        <v>1480.857180908934</v>
      </c>
      <c r="Q31" s="20">
        <f t="shared" si="10"/>
        <v>1515.3363937001675</v>
      </c>
      <c r="R31" s="20">
        <f t="shared" si="10"/>
        <v>1550.6183956665016</v>
      </c>
      <c r="S31" s="20">
        <f t="shared" si="10"/>
        <v>1586.7218783733017</v>
      </c>
      <c r="T31" s="20">
        <f t="shared" si="10"/>
        <v>1623.6659685868894</v>
      </c>
      <c r="U31" s="20">
        <f t="shared" si="10"/>
        <v>1661.4702384074471</v>
      </c>
      <c r="V31" s="20">
        <f t="shared" si="10"/>
        <v>1700.1547156378515</v>
      </c>
      <c r="W31" s="20">
        <f t="shared" si="10"/>
        <v>1739.739894393926</v>
      </c>
      <c r="X31" s="20">
        <f t="shared" si="10"/>
        <v>1780.246745961738</v>
      </c>
      <c r="Y31" s="20">
        <f t="shared" si="10"/>
        <v>1821.696729907685</v>
      </c>
      <c r="Z31" s="20">
        <f t="shared" si="10"/>
        <v>1864.111805447265</v>
      </c>
      <c r="AA31" s="20">
        <f t="shared" si="10"/>
        <v>1907.5144430785435</v>
      </c>
      <c r="AB31" s="331">
        <f aca="true" t="shared" si="11" ref="AB31:AB41">SUM(C31:AA31)</f>
        <v>36679.43595152354</v>
      </c>
      <c r="AC31" s="334">
        <f t="shared" si="4"/>
        <v>32132.023456672723</v>
      </c>
    </row>
    <row r="32" spans="1:29" ht="12.75">
      <c r="A32" s="51" t="str">
        <f>'[1] Existing SphtSysType PNRES'!K75</f>
        <v>Natural Gas Other</v>
      </c>
      <c r="B32" s="170">
        <v>0</v>
      </c>
      <c r="C32" s="20">
        <f t="shared" si="9"/>
        <v>0</v>
      </c>
      <c r="D32" s="20">
        <f aca="true" t="shared" si="12" ref="D32:R32">$B32*D$30</f>
        <v>0</v>
      </c>
      <c r="E32" s="20">
        <f t="shared" si="12"/>
        <v>0</v>
      </c>
      <c r="F32" s="20">
        <f t="shared" si="12"/>
        <v>0</v>
      </c>
      <c r="G32" s="20">
        <f t="shared" si="12"/>
        <v>0</v>
      </c>
      <c r="H32" s="20">
        <f t="shared" si="12"/>
        <v>0</v>
      </c>
      <c r="I32" s="20">
        <f t="shared" si="12"/>
        <v>0</v>
      </c>
      <c r="J32" s="20">
        <f t="shared" si="12"/>
        <v>0</v>
      </c>
      <c r="K32" s="20">
        <f t="shared" si="12"/>
        <v>0</v>
      </c>
      <c r="L32" s="20">
        <f t="shared" si="12"/>
        <v>0</v>
      </c>
      <c r="M32" s="20">
        <f t="shared" si="12"/>
        <v>0</v>
      </c>
      <c r="N32" s="20">
        <f t="shared" si="12"/>
        <v>0</v>
      </c>
      <c r="O32" s="20">
        <f t="shared" si="12"/>
        <v>0</v>
      </c>
      <c r="P32" s="20">
        <f t="shared" si="12"/>
        <v>0</v>
      </c>
      <c r="Q32" s="20">
        <f t="shared" si="12"/>
        <v>0</v>
      </c>
      <c r="R32" s="20">
        <f t="shared" si="12"/>
        <v>0</v>
      </c>
      <c r="S32" s="20">
        <f t="shared" si="10"/>
        <v>0</v>
      </c>
      <c r="T32" s="20">
        <f t="shared" si="10"/>
        <v>0</v>
      </c>
      <c r="U32" s="20">
        <f t="shared" si="10"/>
        <v>0</v>
      </c>
      <c r="V32" s="20">
        <f t="shared" si="10"/>
        <v>0</v>
      </c>
      <c r="W32" s="20">
        <f t="shared" si="10"/>
        <v>0</v>
      </c>
      <c r="X32" s="20">
        <f t="shared" si="10"/>
        <v>0</v>
      </c>
      <c r="Y32" s="20">
        <f t="shared" si="10"/>
        <v>0</v>
      </c>
      <c r="Z32" s="20">
        <f t="shared" si="10"/>
        <v>0</v>
      </c>
      <c r="AA32" s="20">
        <f t="shared" si="10"/>
        <v>0</v>
      </c>
      <c r="AB32" s="331">
        <f t="shared" si="11"/>
        <v>0</v>
      </c>
      <c r="AC32" s="334">
        <f t="shared" si="4"/>
        <v>0</v>
      </c>
    </row>
    <row r="33" spans="1:29" ht="12.75">
      <c r="A33" s="51" t="str">
        <f>'[1] Existing SphtSysType PNRES'!K76</f>
        <v>Oil FAF</v>
      </c>
      <c r="B33" s="170">
        <v>0</v>
      </c>
      <c r="C33" s="20">
        <f t="shared" si="9"/>
        <v>0</v>
      </c>
      <c r="D33" s="20">
        <f t="shared" si="10"/>
        <v>0</v>
      </c>
      <c r="E33" s="20">
        <f t="shared" si="10"/>
        <v>0</v>
      </c>
      <c r="F33" s="20">
        <f t="shared" si="10"/>
        <v>0</v>
      </c>
      <c r="G33" s="20">
        <f t="shared" si="10"/>
        <v>0</v>
      </c>
      <c r="H33" s="20">
        <f t="shared" si="10"/>
        <v>0</v>
      </c>
      <c r="I33" s="20">
        <f t="shared" si="10"/>
        <v>0</v>
      </c>
      <c r="J33" s="20">
        <f t="shared" si="10"/>
        <v>0</v>
      </c>
      <c r="K33" s="20">
        <f t="shared" si="10"/>
        <v>0</v>
      </c>
      <c r="L33" s="20">
        <f t="shared" si="10"/>
        <v>0</v>
      </c>
      <c r="M33" s="20">
        <f t="shared" si="10"/>
        <v>0</v>
      </c>
      <c r="N33" s="20">
        <f t="shared" si="10"/>
        <v>0</v>
      </c>
      <c r="O33" s="20">
        <f t="shared" si="10"/>
        <v>0</v>
      </c>
      <c r="P33" s="20">
        <f t="shared" si="10"/>
        <v>0</v>
      </c>
      <c r="Q33" s="20">
        <f t="shared" si="10"/>
        <v>0</v>
      </c>
      <c r="R33" s="20">
        <f t="shared" si="10"/>
        <v>0</v>
      </c>
      <c r="S33" s="20">
        <f t="shared" si="10"/>
        <v>0</v>
      </c>
      <c r="T33" s="20">
        <f t="shared" si="10"/>
        <v>0</v>
      </c>
      <c r="U33" s="20">
        <f t="shared" si="10"/>
        <v>0</v>
      </c>
      <c r="V33" s="20">
        <f t="shared" si="10"/>
        <v>0</v>
      </c>
      <c r="W33" s="20">
        <f t="shared" si="10"/>
        <v>0</v>
      </c>
      <c r="X33" s="20">
        <f t="shared" si="10"/>
        <v>0</v>
      </c>
      <c r="Y33" s="20">
        <f t="shared" si="10"/>
        <v>0</v>
      </c>
      <c r="Z33" s="20">
        <f t="shared" si="10"/>
        <v>0</v>
      </c>
      <c r="AA33" s="20">
        <f t="shared" si="10"/>
        <v>0</v>
      </c>
      <c r="AB33" s="331">
        <f t="shared" si="11"/>
        <v>0</v>
      </c>
      <c r="AC33" s="334">
        <f t="shared" si="4"/>
        <v>0</v>
      </c>
    </row>
    <row r="34" spans="1:29" ht="13.5" thickBot="1">
      <c r="A34" s="51" t="str">
        <f>'[1] Existing SphtSysType PNRES'!K77</f>
        <v>Oil Other</v>
      </c>
      <c r="B34" s="170">
        <v>0</v>
      </c>
      <c r="C34" s="20">
        <f t="shared" si="9"/>
        <v>0</v>
      </c>
      <c r="D34" s="20">
        <f t="shared" si="10"/>
        <v>0</v>
      </c>
      <c r="E34" s="20">
        <f t="shared" si="10"/>
        <v>0</v>
      </c>
      <c r="F34" s="20">
        <f t="shared" si="10"/>
        <v>0</v>
      </c>
      <c r="G34" s="20">
        <f t="shared" si="10"/>
        <v>0</v>
      </c>
      <c r="H34" s="20">
        <f t="shared" si="10"/>
        <v>0</v>
      </c>
      <c r="I34" s="20">
        <f t="shared" si="10"/>
        <v>0</v>
      </c>
      <c r="J34" s="20">
        <f t="shared" si="10"/>
        <v>0</v>
      </c>
      <c r="K34" s="20">
        <f t="shared" si="10"/>
        <v>0</v>
      </c>
      <c r="L34" s="20">
        <f t="shared" si="10"/>
        <v>0</v>
      </c>
      <c r="M34" s="20">
        <f t="shared" si="10"/>
        <v>0</v>
      </c>
      <c r="N34" s="20">
        <f t="shared" si="10"/>
        <v>0</v>
      </c>
      <c r="O34" s="20">
        <f t="shared" si="10"/>
        <v>0</v>
      </c>
      <c r="P34" s="20">
        <f t="shared" si="10"/>
        <v>0</v>
      </c>
      <c r="Q34" s="20">
        <f t="shared" si="10"/>
        <v>0</v>
      </c>
      <c r="R34" s="20">
        <f t="shared" si="10"/>
        <v>0</v>
      </c>
      <c r="S34" s="20">
        <f t="shared" si="10"/>
        <v>0</v>
      </c>
      <c r="T34" s="20">
        <f t="shared" si="10"/>
        <v>0</v>
      </c>
      <c r="U34" s="20">
        <f t="shared" si="10"/>
        <v>0</v>
      </c>
      <c r="V34" s="20">
        <f t="shared" si="10"/>
        <v>0</v>
      </c>
      <c r="W34" s="20">
        <f t="shared" si="10"/>
        <v>0</v>
      </c>
      <c r="X34" s="20">
        <f t="shared" si="10"/>
        <v>0</v>
      </c>
      <c r="Y34" s="20">
        <f t="shared" si="10"/>
        <v>0</v>
      </c>
      <c r="Z34" s="20">
        <f t="shared" si="10"/>
        <v>0</v>
      </c>
      <c r="AA34" s="20">
        <f t="shared" si="10"/>
        <v>0</v>
      </c>
      <c r="AB34" s="331">
        <f t="shared" si="11"/>
        <v>0</v>
      </c>
      <c r="AC34" s="334">
        <f t="shared" si="4"/>
        <v>0</v>
      </c>
    </row>
    <row r="35" spans="1:31" ht="12.75">
      <c r="A35" s="51" t="str">
        <f>'[1] Existing SphtSysType PNRES'!K78</f>
        <v>Electric FAF</v>
      </c>
      <c r="B35" s="170">
        <v>0.71</v>
      </c>
      <c r="C35" s="20">
        <f t="shared" si="9"/>
        <v>5567.972390730048</v>
      </c>
      <c r="D35" s="20">
        <f t="shared" si="10"/>
        <v>5697.613052470203</v>
      </c>
      <c r="E35" s="20">
        <f t="shared" si="10"/>
        <v>5830.272174072769</v>
      </c>
      <c r="F35" s="20">
        <f t="shared" si="10"/>
        <v>5966.02003518472</v>
      </c>
      <c r="G35" s="20">
        <f t="shared" si="10"/>
        <v>6104.928551793755</v>
      </c>
      <c r="H35" s="20">
        <f t="shared" si="10"/>
        <v>6247.071314327664</v>
      </c>
      <c r="I35" s="20">
        <f t="shared" si="10"/>
        <v>6392.5236266408</v>
      </c>
      <c r="J35" s="20">
        <f t="shared" si="10"/>
        <v>6541.362545908256</v>
      </c>
      <c r="K35" s="20">
        <f t="shared" si="10"/>
        <v>6693.666923448933</v>
      </c>
      <c r="L35" s="20">
        <f t="shared" si="10"/>
        <v>6849.5174464990905</v>
      </c>
      <c r="M35" s="20">
        <f t="shared" si="10"/>
        <v>7008.996680958522</v>
      </c>
      <c r="N35" s="20">
        <f t="shared" si="10"/>
        <v>7172.189115132011</v>
      </c>
      <c r="O35" s="20">
        <f t="shared" si="10"/>
        <v>7339.181204489218</v>
      </c>
      <c r="P35" s="20">
        <f t="shared" si="10"/>
        <v>7510.061417466735</v>
      </c>
      <c r="Q35" s="20">
        <f t="shared" si="10"/>
        <v>7684.920282336562</v>
      </c>
      <c r="R35" s="20">
        <f t="shared" si="10"/>
        <v>7863.850435165828</v>
      </c>
      <c r="S35" s="20">
        <f t="shared" si="10"/>
        <v>8046.946668893172</v>
      </c>
      <c r="T35" s="20">
        <f t="shared" si="10"/>
        <v>8234.305983547796</v>
      </c>
      <c r="U35" s="20">
        <f t="shared" si="10"/>
        <v>8426.027637637766</v>
      </c>
      <c r="V35" s="20">
        <f t="shared" si="10"/>
        <v>8622.213200734817</v>
      </c>
      <c r="W35" s="20">
        <f t="shared" si="10"/>
        <v>8822.96660728348</v>
      </c>
      <c r="X35" s="20">
        <f t="shared" si="10"/>
        <v>9028.394211663099</v>
      </c>
      <c r="Y35" s="20">
        <f t="shared" si="10"/>
        <v>9238.60484453183</v>
      </c>
      <c r="Z35" s="20">
        <f t="shared" si="10"/>
        <v>9453.709870482557</v>
      </c>
      <c r="AA35" s="20">
        <f t="shared" si="10"/>
        <v>9673.823247041184</v>
      </c>
      <c r="AB35" s="331">
        <f t="shared" si="11"/>
        <v>186017.13946844082</v>
      </c>
      <c r="AC35" s="396">
        <f t="shared" si="4"/>
        <v>162955.26181598307</v>
      </c>
      <c r="AD35" s="393">
        <f>AC35/AD$37</f>
        <v>0.8452380952380952</v>
      </c>
      <c r="AE35" s="394">
        <f>AD35*AD$37</f>
        <v>162955.26181598307</v>
      </c>
    </row>
    <row r="36" spans="1:31" ht="12.75">
      <c r="A36" s="51" t="str">
        <f>'[1] Existing SphtSysType PNRES'!K79</f>
        <v>Heat Pump</v>
      </c>
      <c r="B36" s="170">
        <v>0.13</v>
      </c>
      <c r="C36" s="20">
        <f t="shared" si="9"/>
        <v>1019.487902528037</v>
      </c>
      <c r="D36" s="20">
        <f t="shared" si="10"/>
        <v>1043.224925100178</v>
      </c>
      <c r="E36" s="20">
        <f t="shared" si="10"/>
        <v>1067.5146234217748</v>
      </c>
      <c r="F36" s="20">
        <f t="shared" si="10"/>
        <v>1092.3698655972023</v>
      </c>
      <c r="G36" s="20">
        <f t="shared" si="10"/>
        <v>1117.8038193425186</v>
      </c>
      <c r="H36" s="20">
        <f t="shared" si="10"/>
        <v>1143.8299589614035</v>
      </c>
      <c r="I36" s="20">
        <f t="shared" si="10"/>
        <v>1170.462072483527</v>
      </c>
      <c r="J36" s="20">
        <f t="shared" si="10"/>
        <v>1197.7142689691175</v>
      </c>
      <c r="K36" s="20">
        <f t="shared" si="10"/>
        <v>1225.6009859836074</v>
      </c>
      <c r="L36" s="20">
        <f t="shared" si="10"/>
        <v>1254.1369972463124</v>
      </c>
      <c r="M36" s="20">
        <f t="shared" si="10"/>
        <v>1283.3374204571942</v>
      </c>
      <c r="N36" s="20">
        <f t="shared" si="10"/>
        <v>1313.2177253058612</v>
      </c>
      <c r="O36" s="20">
        <f t="shared" si="10"/>
        <v>1343.79374166704</v>
      </c>
      <c r="P36" s="20">
        <f t="shared" si="10"/>
        <v>1375.0816679868672</v>
      </c>
      <c r="Q36" s="20">
        <f t="shared" si="10"/>
        <v>1407.0980798644412</v>
      </c>
      <c r="R36" s="20">
        <f t="shared" si="10"/>
        <v>1439.85993883318</v>
      </c>
      <c r="S36" s="20">
        <f t="shared" si="10"/>
        <v>1473.3846013466373</v>
      </c>
      <c r="T36" s="20">
        <f t="shared" si="10"/>
        <v>1507.68982797354</v>
      </c>
      <c r="U36" s="20">
        <f t="shared" si="10"/>
        <v>1542.7937928069152</v>
      </c>
      <c r="V36" s="20">
        <f t="shared" si="10"/>
        <v>1578.7150930922905</v>
      </c>
      <c r="W36" s="20">
        <f t="shared" si="10"/>
        <v>1615.4727590800742</v>
      </c>
      <c r="X36" s="20">
        <f t="shared" si="10"/>
        <v>1653.0862641073281</v>
      </c>
      <c r="Y36" s="20">
        <f t="shared" si="10"/>
        <v>1691.575534914279</v>
      </c>
      <c r="Z36" s="20">
        <f t="shared" si="10"/>
        <v>1730.9609622010316</v>
      </c>
      <c r="AA36" s="20">
        <f t="shared" si="10"/>
        <v>1771.263411430076</v>
      </c>
      <c r="AB36" s="331">
        <f t="shared" si="11"/>
        <v>34059.47624070043</v>
      </c>
      <c r="AC36" s="397">
        <f t="shared" si="4"/>
        <v>29836.878924053242</v>
      </c>
      <c r="AD36" s="391">
        <f>AC36/AD$37</f>
        <v>0.15476190476190477</v>
      </c>
      <c r="AE36" s="395">
        <f>AD36*AD$37</f>
        <v>29836.878924053242</v>
      </c>
    </row>
    <row r="37" spans="1:31" ht="12.75">
      <c r="A37" s="51" t="str">
        <f>'[1] Existing SphtSysType PNRES'!K80</f>
        <v>Baseboard/Wall/Radiant</v>
      </c>
      <c r="B37" s="170">
        <v>0</v>
      </c>
      <c r="C37" s="20">
        <f t="shared" si="9"/>
        <v>0</v>
      </c>
      <c r="D37" s="20">
        <f t="shared" si="10"/>
        <v>0</v>
      </c>
      <c r="E37" s="20">
        <f t="shared" si="10"/>
        <v>0</v>
      </c>
      <c r="F37" s="20">
        <f t="shared" si="10"/>
        <v>0</v>
      </c>
      <c r="G37" s="20">
        <f t="shared" si="10"/>
        <v>0</v>
      </c>
      <c r="H37" s="20">
        <f t="shared" si="10"/>
        <v>0</v>
      </c>
      <c r="I37" s="20">
        <f t="shared" si="10"/>
        <v>0</v>
      </c>
      <c r="J37" s="20">
        <f t="shared" si="10"/>
        <v>0</v>
      </c>
      <c r="K37" s="20">
        <f t="shared" si="10"/>
        <v>0</v>
      </c>
      <c r="L37" s="20">
        <f t="shared" si="10"/>
        <v>0</v>
      </c>
      <c r="M37" s="20">
        <f t="shared" si="10"/>
        <v>0</v>
      </c>
      <c r="N37" s="20">
        <f t="shared" si="10"/>
        <v>0</v>
      </c>
      <c r="O37" s="20">
        <f t="shared" si="10"/>
        <v>0</v>
      </c>
      <c r="P37" s="20">
        <f t="shared" si="10"/>
        <v>0</v>
      </c>
      <c r="Q37" s="20">
        <f t="shared" si="10"/>
        <v>0</v>
      </c>
      <c r="R37" s="20">
        <f t="shared" si="10"/>
        <v>0</v>
      </c>
      <c r="S37" s="20">
        <f t="shared" si="10"/>
        <v>0</v>
      </c>
      <c r="T37" s="20">
        <f t="shared" si="10"/>
        <v>0</v>
      </c>
      <c r="U37" s="20">
        <f t="shared" si="10"/>
        <v>0</v>
      </c>
      <c r="V37" s="20">
        <f t="shared" si="10"/>
        <v>0</v>
      </c>
      <c r="W37" s="20">
        <f t="shared" si="10"/>
        <v>0</v>
      </c>
      <c r="X37" s="20">
        <f t="shared" si="10"/>
        <v>0</v>
      </c>
      <c r="Y37" s="20">
        <f t="shared" si="10"/>
        <v>0</v>
      </c>
      <c r="Z37" s="20">
        <f t="shared" si="10"/>
        <v>0</v>
      </c>
      <c r="AA37" s="20">
        <f t="shared" si="10"/>
        <v>0</v>
      </c>
      <c r="AB37" s="331">
        <f t="shared" si="11"/>
        <v>0</v>
      </c>
      <c r="AC37" s="397">
        <f t="shared" si="4"/>
        <v>0</v>
      </c>
      <c r="AD37" s="391">
        <f>SUM(AC35:AC36)</f>
        <v>192792.14074003632</v>
      </c>
      <c r="AE37" s="395"/>
    </row>
    <row r="38" spans="1:31" ht="13.5" thickBot="1">
      <c r="A38" s="51" t="str">
        <f>'[1] Existing SphtSysType PNRES'!K81</f>
        <v>Electric Other</v>
      </c>
      <c r="B38" s="170">
        <v>0</v>
      </c>
      <c r="C38" s="20">
        <f t="shared" si="9"/>
        <v>0</v>
      </c>
      <c r="D38" s="20">
        <f t="shared" si="10"/>
        <v>0</v>
      </c>
      <c r="E38" s="20">
        <f t="shared" si="10"/>
        <v>0</v>
      </c>
      <c r="F38" s="20">
        <f t="shared" si="10"/>
        <v>0</v>
      </c>
      <c r="G38" s="20">
        <f t="shared" si="10"/>
        <v>0</v>
      </c>
      <c r="H38" s="20">
        <f t="shared" si="10"/>
        <v>0</v>
      </c>
      <c r="I38" s="20">
        <f t="shared" si="10"/>
        <v>0</v>
      </c>
      <c r="J38" s="20">
        <f t="shared" si="10"/>
        <v>0</v>
      </c>
      <c r="K38" s="20">
        <f t="shared" si="10"/>
        <v>0</v>
      </c>
      <c r="L38" s="20">
        <f t="shared" si="10"/>
        <v>0</v>
      </c>
      <c r="M38" s="20">
        <f t="shared" si="10"/>
        <v>0</v>
      </c>
      <c r="N38" s="20">
        <f t="shared" si="10"/>
        <v>0</v>
      </c>
      <c r="O38" s="20">
        <f t="shared" si="10"/>
        <v>0</v>
      </c>
      <c r="P38" s="20">
        <f t="shared" si="10"/>
        <v>0</v>
      </c>
      <c r="Q38" s="20">
        <f t="shared" si="10"/>
        <v>0</v>
      </c>
      <c r="R38" s="20">
        <f t="shared" si="10"/>
        <v>0</v>
      </c>
      <c r="S38" s="20">
        <f t="shared" si="10"/>
        <v>0</v>
      </c>
      <c r="T38" s="20">
        <f t="shared" si="10"/>
        <v>0</v>
      </c>
      <c r="U38" s="20">
        <f t="shared" si="10"/>
        <v>0</v>
      </c>
      <c r="V38" s="20">
        <f t="shared" si="10"/>
        <v>0</v>
      </c>
      <c r="W38" s="20">
        <f t="shared" si="10"/>
        <v>0</v>
      </c>
      <c r="X38" s="20">
        <f t="shared" si="10"/>
        <v>0</v>
      </c>
      <c r="Y38" s="20">
        <f t="shared" si="10"/>
        <v>0</v>
      </c>
      <c r="Z38" s="20">
        <f t="shared" si="10"/>
        <v>0</v>
      </c>
      <c r="AA38" s="20">
        <f t="shared" si="10"/>
        <v>0</v>
      </c>
      <c r="AB38" s="331">
        <f t="shared" si="11"/>
        <v>0</v>
      </c>
      <c r="AC38" s="398">
        <f t="shared" si="4"/>
        <v>0</v>
      </c>
      <c r="AD38" s="399"/>
      <c r="AE38" s="400"/>
    </row>
    <row r="39" spans="1:31" ht="13.5" thickBot="1">
      <c r="A39" s="51" t="str">
        <f>'[1] Existing SphtSysType PNRES'!K82</f>
        <v>Wood</v>
      </c>
      <c r="B39" s="170">
        <v>0.02</v>
      </c>
      <c r="C39" s="20">
        <f t="shared" si="9"/>
        <v>156.84429269662107</v>
      </c>
      <c r="D39" s="20">
        <f t="shared" si="10"/>
        <v>160.49614232310432</v>
      </c>
      <c r="E39" s="20">
        <f t="shared" si="10"/>
        <v>164.23301898796532</v>
      </c>
      <c r="F39" s="20">
        <f t="shared" si="10"/>
        <v>168.0569023995696</v>
      </c>
      <c r="G39" s="20">
        <f t="shared" si="10"/>
        <v>171.96981836038748</v>
      </c>
      <c r="H39" s="20">
        <f t="shared" si="10"/>
        <v>175.97383984021593</v>
      </c>
      <c r="I39" s="20">
        <f t="shared" si="10"/>
        <v>180.07108807438877</v>
      </c>
      <c r="J39" s="20">
        <f t="shared" si="10"/>
        <v>184.26373368755654</v>
      </c>
      <c r="K39" s="20">
        <f t="shared" si="10"/>
        <v>188.55399784363192</v>
      </c>
      <c r="L39" s="20">
        <f t="shared" si="10"/>
        <v>192.9441534225096</v>
      </c>
      <c r="M39" s="20">
        <f t="shared" si="10"/>
        <v>197.43652622418372</v>
      </c>
      <c r="N39" s="20">
        <f t="shared" si="10"/>
        <v>202.0334962009017</v>
      </c>
      <c r="O39" s="20">
        <f t="shared" si="10"/>
        <v>206.73749871800615</v>
      </c>
      <c r="P39" s="20">
        <f t="shared" si="10"/>
        <v>211.5510258441334</v>
      </c>
      <c r="Q39" s="20">
        <f t="shared" si="10"/>
        <v>216.4766276714525</v>
      </c>
      <c r="R39" s="20">
        <f t="shared" si="10"/>
        <v>221.51691366664306</v>
      </c>
      <c r="S39" s="20">
        <f t="shared" si="10"/>
        <v>226.6745540533288</v>
      </c>
      <c r="T39" s="20">
        <f t="shared" si="10"/>
        <v>231.95228122669846</v>
      </c>
      <c r="U39" s="20">
        <f t="shared" si="10"/>
        <v>237.35289120106387</v>
      </c>
      <c r="V39" s="20">
        <f t="shared" si="10"/>
        <v>242.87924509112165</v>
      </c>
      <c r="W39" s="20">
        <f t="shared" si="10"/>
        <v>248.5342706277037</v>
      </c>
      <c r="X39" s="20">
        <f t="shared" si="10"/>
        <v>254.3209637088197</v>
      </c>
      <c r="Y39" s="20">
        <f t="shared" si="10"/>
        <v>260.2423899868121</v>
      </c>
      <c r="Z39" s="20">
        <f t="shared" si="10"/>
        <v>266.3016864924664</v>
      </c>
      <c r="AA39" s="20">
        <f t="shared" si="10"/>
        <v>272.50206329693475</v>
      </c>
      <c r="AB39" s="331">
        <f t="shared" si="11"/>
        <v>5239.91942164622</v>
      </c>
      <c r="AC39" s="408">
        <f t="shared" si="4"/>
        <v>4590.289065238961</v>
      </c>
      <c r="AD39" s="409"/>
      <c r="AE39" s="410"/>
    </row>
    <row r="40" spans="1:31" ht="12.75">
      <c r="A40" s="195"/>
      <c r="B40" s="174"/>
      <c r="C40" s="20"/>
      <c r="D40" s="157"/>
      <c r="E40" s="157"/>
      <c r="F40" s="157"/>
      <c r="G40" s="157"/>
      <c r="H40" s="157"/>
      <c r="I40" s="157"/>
      <c r="J40" s="157"/>
      <c r="K40" s="157"/>
      <c r="L40" s="157"/>
      <c r="M40" s="157"/>
      <c r="N40" s="157"/>
      <c r="O40" s="157"/>
      <c r="P40" s="157"/>
      <c r="Q40" s="157"/>
      <c r="R40" s="157"/>
      <c r="S40" s="157"/>
      <c r="T40" s="157"/>
      <c r="U40" s="157"/>
      <c r="V40" s="157"/>
      <c r="W40" s="1"/>
      <c r="X40" s="157"/>
      <c r="Y40" s="157"/>
      <c r="Z40" s="157"/>
      <c r="AA40" s="157"/>
      <c r="AB40" s="331"/>
      <c r="AC40" s="411">
        <f t="shared" si="4"/>
        <v>0</v>
      </c>
      <c r="AD40" s="404" t="s">
        <v>176</v>
      </c>
      <c r="AE40" s="405" t="s">
        <v>177</v>
      </c>
    </row>
    <row r="41" spans="1:31" ht="13.5" thickBot="1">
      <c r="A41" s="55" t="s">
        <v>26</v>
      </c>
      <c r="B41" s="202">
        <f>B15</f>
        <v>0.41653242101122323</v>
      </c>
      <c r="C41" s="116">
        <f aca="true" t="shared" si="13" ref="C41:R41">$B41*C$30</f>
        <v>3266.5366479358245</v>
      </c>
      <c r="D41" s="116">
        <f t="shared" si="13"/>
        <v>3342.5923362402245</v>
      </c>
      <c r="E41" s="116">
        <f t="shared" si="13"/>
        <v>3420.41885045197</v>
      </c>
      <c r="F41" s="116">
        <f t="shared" si="13"/>
        <v>3500.0574212069787</v>
      </c>
      <c r="G41" s="116">
        <f t="shared" si="13"/>
        <v>3581.550239125625</v>
      </c>
      <c r="H41" s="116">
        <f t="shared" si="13"/>
        <v>3664.940477164319</v>
      </c>
      <c r="I41" s="116">
        <f t="shared" si="13"/>
        <v>3750.2723134875177</v>
      </c>
      <c r="J41" s="116">
        <f t="shared" si="13"/>
        <v>3837.5909548722607</v>
      </c>
      <c r="K41" s="116">
        <f t="shared" si="13"/>
        <v>3926.9426606576485</v>
      </c>
      <c r="L41" s="116">
        <f t="shared" si="13"/>
        <v>4018.3747672519407</v>
      </c>
      <c r="M41" s="116">
        <f t="shared" si="13"/>
        <v>4111.935713210256</v>
      </c>
      <c r="N41" s="116">
        <f t="shared" si="13"/>
        <v>4207.675064896168</v>
      </c>
      <c r="O41" s="116">
        <f t="shared" si="13"/>
        <v>4305.643542740788</v>
      </c>
      <c r="P41" s="116">
        <f t="shared" si="13"/>
        <v>4405.8930481132375</v>
      </c>
      <c r="Q41" s="116">
        <f t="shared" si="13"/>
        <v>4508.476690816763</v>
      </c>
      <c r="R41" s="116">
        <f t="shared" si="13"/>
        <v>4613.448817225048</v>
      </c>
      <c r="S41" s="116">
        <f aca="true" t="shared" si="14" ref="S41:AA41">$B41*S$30</f>
        <v>4720.865039073621</v>
      </c>
      <c r="T41" s="116">
        <f t="shared" si="14"/>
        <v>4830.782262921641</v>
      </c>
      <c r="U41" s="116">
        <f t="shared" si="14"/>
        <v>4943.25872029963</v>
      </c>
      <c r="V41" s="116">
        <f t="shared" si="14"/>
        <v>5058.353998559157</v>
      </c>
      <c r="W41" s="116">
        <f t="shared" si="14"/>
        <v>5176.129072440798</v>
      </c>
      <c r="X41" s="116">
        <f t="shared" si="14"/>
        <v>5296.646336377105</v>
      </c>
      <c r="Y41" s="116">
        <f t="shared" si="14"/>
        <v>5419.969637547689</v>
      </c>
      <c r="Z41" s="116">
        <f t="shared" si="14"/>
        <v>5546.16430970394</v>
      </c>
      <c r="AA41" s="116">
        <f t="shared" si="14"/>
        <v>5675.297207781291</v>
      </c>
      <c r="AB41" s="332">
        <f t="shared" si="11"/>
        <v>109129.81613010145</v>
      </c>
      <c r="AC41" s="412">
        <f t="shared" si="4"/>
        <v>95600.21087426644</v>
      </c>
      <c r="AD41" s="406">
        <f>B41-B36</f>
        <v>0.2865324210112232</v>
      </c>
      <c r="AE41" s="400">
        <f>AD41*AE35</f>
        <v>46691.96568465137</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G127"/>
  <sheetViews>
    <sheetView workbookViewId="0" topLeftCell="E7">
      <selection activeCell="AF23" sqref="AF23"/>
    </sheetView>
  </sheetViews>
  <sheetFormatPr defaultColWidth="9.140625" defaultRowHeight="12.75"/>
  <cols>
    <col min="1" max="1" width="24.57421875" style="7" customWidth="1"/>
    <col min="2" max="2" width="10.57421875" style="7" customWidth="1"/>
    <col min="3" max="3" width="13.421875" style="7" customWidth="1"/>
    <col min="4" max="4" width="14.140625" style="7" customWidth="1"/>
    <col min="5" max="5" width="10.7109375" style="7" customWidth="1"/>
    <col min="6" max="19" width="9.7109375" style="7" customWidth="1"/>
    <col min="20" max="25" width="9.7109375" style="7" bestFit="1" customWidth="1"/>
    <col min="26" max="26" width="9.7109375" style="7" customWidth="1"/>
    <col min="27" max="27" width="9.7109375" style="7" bestFit="1" customWidth="1"/>
    <col min="28" max="28" width="9.7109375" style="7" customWidth="1"/>
    <col min="29" max="29" width="9.7109375" style="7" bestFit="1" customWidth="1"/>
    <col min="30" max="30" width="15.00390625" style="7" customWidth="1"/>
    <col min="31" max="31" width="15.28125" style="7" customWidth="1"/>
    <col min="32" max="32" width="17.28125" style="7" customWidth="1"/>
    <col min="33" max="33" width="12.8515625" style="7" customWidth="1"/>
    <col min="34" max="16384" width="9.140625" style="7" customWidth="1"/>
  </cols>
  <sheetData>
    <row r="1" spans="1:18" s="2" customFormat="1" ht="13.5" thickBot="1">
      <c r="A1" s="208" t="s">
        <v>52</v>
      </c>
      <c r="B1" s="209"/>
      <c r="C1" s="210"/>
      <c r="F1" s="31"/>
      <c r="G1" s="31"/>
      <c r="H1" s="31"/>
      <c r="I1" s="31"/>
      <c r="J1" s="31"/>
      <c r="K1" s="31"/>
      <c r="L1" s="24"/>
      <c r="M1" s="24"/>
      <c r="N1" s="24"/>
      <c r="O1" s="24"/>
      <c r="P1" s="24"/>
      <c r="Q1" s="24"/>
      <c r="R1" s="24"/>
    </row>
    <row r="2" spans="1:18" s="2" customFormat="1" ht="13.5" thickBot="1">
      <c r="A2" s="207" t="s">
        <v>36</v>
      </c>
      <c r="B2" s="212"/>
      <c r="F2" s="31"/>
      <c r="G2" s="31"/>
      <c r="H2" s="31"/>
      <c r="I2" s="31"/>
      <c r="J2" s="31"/>
      <c r="K2" s="31"/>
      <c r="L2" s="24"/>
      <c r="M2" s="24"/>
      <c r="N2" s="24"/>
      <c r="O2" s="24"/>
      <c r="P2" s="24"/>
      <c r="Q2" s="24"/>
      <c r="R2" s="24"/>
    </row>
    <row r="3" spans="1:18" s="2" customFormat="1" ht="13.5" thickBot="1">
      <c r="A3" s="211" t="s">
        <v>37</v>
      </c>
      <c r="B3" s="213"/>
      <c r="F3" s="31"/>
      <c r="G3" s="31"/>
      <c r="H3" s="31"/>
      <c r="I3" s="31"/>
      <c r="J3" s="31"/>
      <c r="K3" s="31"/>
      <c r="L3" s="24"/>
      <c r="M3" s="24"/>
      <c r="N3" s="24"/>
      <c r="O3" s="24"/>
      <c r="P3" s="24"/>
      <c r="Q3" s="24"/>
      <c r="R3" s="24"/>
    </row>
    <row r="4" spans="1:29" ht="12.75">
      <c r="A4" s="29" t="s">
        <v>3</v>
      </c>
      <c r="B4" s="183"/>
      <c r="C4" s="29"/>
      <c r="D4" s="29"/>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29">
        <v>2019</v>
      </c>
      <c r="X4" s="29">
        <v>2020</v>
      </c>
      <c r="Y4" s="29">
        <v>2021</v>
      </c>
      <c r="Z4" s="29">
        <v>2022</v>
      </c>
      <c r="AA4" s="29">
        <v>2023</v>
      </c>
      <c r="AB4" s="29">
        <v>2024</v>
      </c>
      <c r="AC4" s="29">
        <v>2025</v>
      </c>
    </row>
    <row r="5" spans="1:30" s="6" customFormat="1" ht="12.75">
      <c r="A5" s="17" t="s">
        <v>13</v>
      </c>
      <c r="B5" s="18"/>
      <c r="C5" s="18"/>
      <c r="D5" s="18"/>
      <c r="E5" s="19">
        <f>'Total Housing Units'!E26</f>
        <v>4868118.751152744</v>
      </c>
      <c r="F5" s="19">
        <f>'Total Housing Units'!F26</f>
        <v>4903944.1477993205</v>
      </c>
      <c r="G5" s="19">
        <f>'Total Housing Units'!G26</f>
        <v>4941837.146694937</v>
      </c>
      <c r="H5" s="19">
        <f>'Total Housing Units'!H26</f>
        <v>4981834.660440987</v>
      </c>
      <c r="I5" s="19">
        <f>'Total Housing Units'!I26</f>
        <v>5023974.578311</v>
      </c>
      <c r="J5" s="19">
        <f>'Total Housing Units'!J26</f>
        <v>5068295.78758072</v>
      </c>
      <c r="K5" s="19">
        <f>'Total Housing Units'!K26</f>
        <v>5114838.195373807</v>
      </c>
      <c r="L5" s="19">
        <f>'Total Housing Units'!L26</f>
        <v>5163642.751034868</v>
      </c>
      <c r="M5" s="19">
        <f>'Total Housing Units'!M26</f>
        <v>5214751.469041832</v>
      </c>
      <c r="N5" s="19">
        <f>'Total Housing Units'!N26</f>
        <v>5268207.452469967</v>
      </c>
      <c r="O5" s="19">
        <f>'Total Housing Units'!O26</f>
        <v>5324054.917020115</v>
      </c>
      <c r="P5" s="19">
        <f>'Total Housing Units'!P26</f>
        <v>5382339.215624019</v>
      </c>
      <c r="Q5" s="19">
        <f>'Total Housing Units'!Q26</f>
        <v>5443106.863639936</v>
      </c>
      <c r="R5" s="19">
        <f>'Total Housing Units'!R26</f>
        <v>5506405.564652028</v>
      </c>
      <c r="S5" s="19">
        <f>'Total Housing Units'!S26</f>
        <v>5572284.236887325</v>
      </c>
      <c r="T5" s="19">
        <f>'Total Housing Units'!T26</f>
        <v>5640793.040264426</v>
      </c>
      <c r="U5" s="19">
        <f>'Total Housing Units'!U26</f>
        <v>5711983.404088376</v>
      </c>
      <c r="V5" s="19">
        <f>'Total Housing Units'!V26</f>
        <v>5785908.055406554</v>
      </c>
      <c r="W5" s="19">
        <f>'Total Housing Units'!W26</f>
        <v>5862621.048040712</v>
      </c>
      <c r="X5" s="19">
        <f>'Total Housing Units'!X26</f>
        <v>5942177.792310698</v>
      </c>
      <c r="Y5" s="19">
        <f>'Total Housing Units'!Y26</f>
        <v>6024635.085465719</v>
      </c>
      <c r="Z5" s="19">
        <f>'Total Housing Units'!Z26</f>
        <v>6110051.142839415</v>
      </c>
      <c r="AA5" s="19">
        <f>'Total Housing Units'!AA26</f>
        <v>6198485.629745379</v>
      </c>
      <c r="AB5" s="19">
        <f>'Total Housing Units'!AB26</f>
        <v>6289999.694130123</v>
      </c>
      <c r="AC5" s="19">
        <f>'Total Housing Units'!AC26</f>
        <v>6384656.000000946</v>
      </c>
      <c r="AD5" s="19">
        <f>'Total Housing Units'!AD26</f>
        <v>6384656.000000946</v>
      </c>
    </row>
    <row r="6" spans="1:30" s="6" customFormat="1" ht="12.75">
      <c r="A6" s="21" t="s">
        <v>0</v>
      </c>
      <c r="B6" s="22"/>
      <c r="C6" s="22"/>
      <c r="D6" s="22"/>
      <c r="E6" s="19">
        <f>'Total Housing Units'!E23</f>
        <v>3624057.2911478234</v>
      </c>
      <c r="F6" s="19">
        <f>'Total Housing Units'!F23</f>
        <v>3645969.4570431733</v>
      </c>
      <c r="G6" s="19">
        <f>'Total Housing Units'!G23</f>
        <v>3669457.3628198626</v>
      </c>
      <c r="H6" s="19">
        <f>'Total Housing Units'!H23</f>
        <v>3694560.023673976</v>
      </c>
      <c r="I6" s="19">
        <f>'Total Housing Units'!I23</f>
        <v>3721317.637935701</v>
      </c>
      <c r="J6" s="19">
        <f>'Total Housing Units'!J23</f>
        <v>3749771.6211050455</v>
      </c>
      <c r="K6" s="19">
        <f>'Total Housing Units'!K23</f>
        <v>3779964.640879451</v>
      </c>
      <c r="L6" s="19">
        <f>'Total Housing Units'!L23</f>
        <v>3811940.6532021007</v>
      </c>
      <c r="M6" s="19">
        <f>'Total Housing Units'!M23</f>
        <v>3845744.9393605874</v>
      </c>
      <c r="N6" s="19">
        <f>'Total Housing Units'!N23</f>
        <v>3881424.1441664468</v>
      </c>
      <c r="O6" s="19">
        <f>'Total Housing Units'!O23</f>
        <v>3919026.3152469513</v>
      </c>
      <c r="P6" s="19">
        <f>'Total Housing Units'!P23</f>
        <v>3958600.9434814914</v>
      </c>
      <c r="Q6" s="19">
        <f>'Total Housing Units'!Q23</f>
        <v>4000199.004615778</v>
      </c>
      <c r="R6" s="19">
        <f>'Total Housing Units'!R23</f>
        <v>4043873.0020880997</v>
      </c>
      <c r="S6" s="19">
        <f>'Total Housing Units'!S23</f>
        <v>4089677.01110284</v>
      </c>
      <c r="T6" s="19">
        <f>'Total Housing Units'!T23</f>
        <v>4137666.7239874927</v>
      </c>
      <c r="U6" s="19">
        <f>'Total Housing Units'!U23</f>
        <v>4187899.4968704693</v>
      </c>
      <c r="V6" s="19">
        <f>'Total Housing Units'!V23</f>
        <v>4240434.397718067</v>
      </c>
      <c r="W6" s="19">
        <f>'Total Housing Units'!W23</f>
        <v>4295332.255770095</v>
      </c>
      <c r="X6" s="19">
        <f>'Total Housing Units'!X23</f>
        <v>4352655.71241479</v>
      </c>
      <c r="Y6" s="19">
        <f>'Total Housing Units'!Y23</f>
        <v>4412469.273544841</v>
      </c>
      <c r="Z6" s="19">
        <f>'Total Housing Units'!Z23</f>
        <v>4474839.36343757</v>
      </c>
      <c r="AA6" s="19">
        <f>'Total Housing Units'!AA23</f>
        <v>4539834.38020353</v>
      </c>
      <c r="AB6" s="19">
        <f>'Total Housing Units'!AB23</f>
        <v>4607524.75284913</v>
      </c>
      <c r="AC6" s="19">
        <f>'Total Housing Units'!AC23</f>
        <v>4677983.0000001425</v>
      </c>
      <c r="AD6" s="19">
        <f>'Total Housing Units'!AD23</f>
        <v>4677983.0000001425</v>
      </c>
    </row>
    <row r="7" spans="1:30" s="6" customFormat="1" ht="12.75">
      <c r="A7" s="21" t="s">
        <v>1</v>
      </c>
      <c r="B7" s="22"/>
      <c r="C7" s="22"/>
      <c r="D7" s="22"/>
      <c r="E7" s="19">
        <f>'Total Housing Units'!E24</f>
        <v>781524.6698312585</v>
      </c>
      <c r="F7" s="19">
        <f>'Total Housing Units'!F24</f>
        <v>794489.956260109</v>
      </c>
      <c r="G7" s="19">
        <f>'Total Housing Units'!G24</f>
        <v>807636.6440342651</v>
      </c>
      <c r="H7" s="19">
        <f>'Total Housing Units'!H24</f>
        <v>820965.5282339874</v>
      </c>
      <c r="I7" s="19">
        <f>'Total Housing Units'!I24</f>
        <v>834477.4143199318</v>
      </c>
      <c r="J7" s="19">
        <f>'Total Housing Units'!J24</f>
        <v>848173.1181815881</v>
      </c>
      <c r="K7" s="19">
        <f>'Total Housing Units'!K24</f>
        <v>862053.4661863166</v>
      </c>
      <c r="L7" s="19">
        <f>'Total Housing Units'!L24</f>
        <v>876119.2952289807</v>
      </c>
      <c r="M7" s="19">
        <f>'Total Housing Units'!M24</f>
        <v>890371.4527821811</v>
      </c>
      <c r="N7" s="19">
        <f>'Total Housing Units'!N24</f>
        <v>904810.7969470955</v>
      </c>
      <c r="O7" s="19">
        <f>'Total Housing Units'!O24</f>
        <v>919438.1965049234</v>
      </c>
      <c r="P7" s="19">
        <f>'Total Housing Units'!P24</f>
        <v>934254.5309689427</v>
      </c>
      <c r="Q7" s="19">
        <f>'Total Housing Units'!Q24</f>
        <v>949260.6906371795</v>
      </c>
      <c r="R7" s="19">
        <f>'Total Housing Units'!R24</f>
        <v>964457.5766456935</v>
      </c>
      <c r="S7" s="19">
        <f>'Total Housing Units'!S24</f>
        <v>979846.1010224845</v>
      </c>
      <c r="T7" s="19">
        <f>'Total Housing Units'!T24</f>
        <v>995427.1867420204</v>
      </c>
      <c r="U7" s="19">
        <f>'Total Housing Units'!U24</f>
        <v>1011201.7677803929</v>
      </c>
      <c r="V7" s="19">
        <f>'Total Housing Units'!V24</f>
        <v>1027170.7891711007</v>
      </c>
      <c r="W7" s="19">
        <f>'Total Housing Units'!W24</f>
        <v>1043335.2070614679</v>
      </c>
      <c r="X7" s="19">
        <f>'Total Housing Units'!X24</f>
        <v>1059695.9887696959</v>
      </c>
      <c r="Y7" s="19">
        <f>'Total Housing Units'!Y24</f>
        <v>1076254.1128425573</v>
      </c>
      <c r="Z7" s="19">
        <f>'Total Housing Units'!Z24</f>
        <v>1093010.569113731</v>
      </c>
      <c r="AA7" s="19">
        <f>'Total Housing Units'!AA24</f>
        <v>1109966.358762784</v>
      </c>
      <c r="AB7" s="19">
        <f>'Total Housing Units'!AB24</f>
        <v>1127122.494374805</v>
      </c>
      <c r="AC7" s="19">
        <f>'Total Housing Units'!AC24</f>
        <v>1144480.000000688</v>
      </c>
      <c r="AD7" s="19">
        <f>'Total Housing Units'!AD24</f>
        <v>1144480.000000688</v>
      </c>
    </row>
    <row r="8" spans="1:30" s="6" customFormat="1" ht="12.75">
      <c r="A8" s="21" t="s">
        <v>11</v>
      </c>
      <c r="B8" s="23"/>
      <c r="C8" s="23"/>
      <c r="D8" s="23"/>
      <c r="E8" s="19">
        <f>'Total Housing Units'!E25</f>
        <v>462536.7901736619</v>
      </c>
      <c r="F8" s="19">
        <f>'Total Housing Units'!F25</f>
        <v>463439.07665612496</v>
      </c>
      <c r="G8" s="19">
        <f>'Total Housing Units'!G25</f>
        <v>464610.1694525356</v>
      </c>
      <c r="H8" s="19">
        <f>'Total Housing Units'!H25</f>
        <v>466051.4665397222</v>
      </c>
      <c r="I8" s="19">
        <f>'Total Housing Units'!I25</f>
        <v>467764.4546367193</v>
      </c>
      <c r="J8" s="19">
        <f>'Total Housing Units'!J25</f>
        <v>469750.71000563866</v>
      </c>
      <c r="K8" s="19">
        <f>'Total Housing Units'!K25</f>
        <v>472011.8992832503</v>
      </c>
      <c r="L8" s="19">
        <f>'Total Housing Units'!L25</f>
        <v>474549.78034364904</v>
      </c>
      <c r="M8" s="19">
        <f>'Total Housing Units'!M25</f>
        <v>477366.2031923922</v>
      </c>
      <c r="N8" s="19">
        <f>'Total Housing Units'!N25</f>
        <v>480463.1108925058</v>
      </c>
      <c r="O8" s="19">
        <f>'Total Housing Units'!O25</f>
        <v>483842.54052276793</v>
      </c>
      <c r="P8" s="19">
        <f>'Total Housing Units'!P25</f>
        <v>487506.62416868913</v>
      </c>
      <c r="Q8" s="19">
        <f>'Total Housing Units'!Q25</f>
        <v>491457.5899466217</v>
      </c>
      <c r="R8" s="19">
        <f>'Total Housing Units'!R25</f>
        <v>495697.7630614415</v>
      </c>
      <c r="S8" s="19">
        <f>'Total Housing Units'!S25</f>
        <v>500229.56689825875</v>
      </c>
      <c r="T8" s="19">
        <f>'Total Housing Units'!T25</f>
        <v>505055.5241486243</v>
      </c>
      <c r="U8" s="19">
        <f>'Total Housing Units'!U25</f>
        <v>510178.2579717131</v>
      </c>
      <c r="V8" s="19">
        <f>'Total Housing Units'!V25</f>
        <v>515600.4931909779</v>
      </c>
      <c r="W8" s="19">
        <f>'Total Housing Units'!W25</f>
        <v>521325.0575267783</v>
      </c>
      <c r="X8" s="19">
        <f>'Total Housing Units'!X25</f>
        <v>527354.8828655048</v>
      </c>
      <c r="Y8" s="19">
        <f>'Total Housing Units'!Y25</f>
        <v>533693.0065657299</v>
      </c>
      <c r="Z8" s="19">
        <f>'Total Housing Units'!Z25</f>
        <v>540342.5728019318</v>
      </c>
      <c r="AA8" s="19">
        <f>'Total Housing Units'!AA25</f>
        <v>547306.833946351</v>
      </c>
      <c r="AB8" s="19">
        <f>'Total Housing Units'!AB25</f>
        <v>554589.1519895516</v>
      </c>
      <c r="AC8" s="19">
        <f>'Total Housing Units'!AC25</f>
        <v>562193.0000002756</v>
      </c>
      <c r="AD8" s="19">
        <f>'Total Housing Units'!AD25</f>
        <v>562193.0000002756</v>
      </c>
    </row>
    <row r="9" spans="1:4" s="6" customFormat="1" ht="12.75">
      <c r="A9" s="21"/>
      <c r="B9" s="23"/>
      <c r="C9" s="23"/>
      <c r="D9" s="23"/>
    </row>
    <row r="10" spans="1:30" s="6" customFormat="1" ht="12.75">
      <c r="A10" s="17" t="s">
        <v>31</v>
      </c>
      <c r="B10" s="23"/>
      <c r="C10" s="23"/>
      <c r="D10" s="23"/>
      <c r="E10" s="19">
        <f>'Total Housing Units'!E14</f>
        <v>4795506.659049204</v>
      </c>
      <c r="F10" s="19">
        <f>'Total Housing Units'!F14</f>
        <v>4757029.315900397</v>
      </c>
      <c r="G10" s="19">
        <f>'Total Housing Units'!G14</f>
        <v>4718889.563484727</v>
      </c>
      <c r="H10" s="19">
        <f>'Total Housing Units'!H14</f>
        <v>4681084.034060588</v>
      </c>
      <c r="I10" s="19">
        <f>'Total Housing Units'!I14</f>
        <v>4643609.398699985</v>
      </c>
      <c r="J10" s="19">
        <f>'Total Housing Units'!J14</f>
        <v>4606462.366782203</v>
      </c>
      <c r="K10" s="19">
        <f>'Total Housing Units'!K14</f>
        <v>4569639.68549466</v>
      </c>
      <c r="L10" s="19">
        <f>'Total Housing Units'!L14</f>
        <v>4533138.139340827</v>
      </c>
      <c r="M10" s="19">
        <f>'Total Housing Units'!M14</f>
        <v>4496954.549655122</v>
      </c>
      <c r="N10" s="19">
        <f>'Total Housing Units'!N14</f>
        <v>4461085.774124676</v>
      </c>
      <c r="O10" s="19">
        <f>'Total Housing Units'!O14</f>
        <v>4425528.706317861</v>
      </c>
      <c r="P10" s="19">
        <f>'Total Housing Units'!P14</f>
        <v>4390280.275219473</v>
      </c>
      <c r="Q10" s="19">
        <f>'Total Housing Units'!Q14</f>
        <v>4355337.4447725</v>
      </c>
      <c r="R10" s="19">
        <f>'Total Housing Units'!R14</f>
        <v>4320697.213426337</v>
      </c>
      <c r="S10" s="19">
        <f>'Total Housing Units'!S14</f>
        <v>4286356.6136913905</v>
      </c>
      <c r="T10" s="19">
        <f>'Total Housing Units'!T14</f>
        <v>4252312.711699948</v>
      </c>
      <c r="U10" s="19">
        <f>'Total Housing Units'!U14</f>
        <v>4218562.606773238</v>
      </c>
      <c r="V10" s="19">
        <f>'Total Housing Units'!V14</f>
        <v>4185103.4309945814</v>
      </c>
      <c r="W10" s="19">
        <f>'Total Housing Units'!W14</f>
        <v>4151932.3487885436</v>
      </c>
      <c r="X10" s="19">
        <f>'Total Housing Units'!X14</f>
        <v>4119046.5565060047</v>
      </c>
      <c r="Y10" s="19">
        <f>'Total Housing Units'!Y14</f>
        <v>4086443.2820150484</v>
      </c>
      <c r="Z10" s="19">
        <f>'Total Housing Units'!Z14</f>
        <v>4054119.7842975976</v>
      </c>
      <c r="AA10" s="19">
        <f>'Total Housing Units'!AA14</f>
        <v>4022073.353051703</v>
      </c>
      <c r="AB10" s="19">
        <f>'Total Housing Units'!AB14</f>
        <v>3990301.3082993957</v>
      </c>
      <c r="AC10" s="19">
        <f>'Total Housing Units'!AC14</f>
        <v>3958801.0000000442</v>
      </c>
      <c r="AD10" s="19">
        <f>'Total Housing Units'!AD14</f>
        <v>3958801.0000000442</v>
      </c>
    </row>
    <row r="11" spans="1:30" s="6" customFormat="1" ht="12.75">
      <c r="A11" s="21" t="s">
        <v>0</v>
      </c>
      <c r="B11" s="22"/>
      <c r="C11" s="23"/>
      <c r="D11" s="23"/>
      <c r="E11" s="19">
        <f>'Total Housing Units'!E11</f>
        <v>3577629.7921332913</v>
      </c>
      <c r="F11" s="19">
        <f>'Total Housing Units'!F11</f>
        <v>3551764.9386918033</v>
      </c>
      <c r="G11" s="19">
        <f>'Total Housing Units'!G11</f>
        <v>3526087.077947274</v>
      </c>
      <c r="H11" s="19">
        <f>'Total Housing Units'!H11</f>
        <v>3500594.858016198</v>
      </c>
      <c r="I11" s="19">
        <f>'Total Housing Units'!I11</f>
        <v>3475286.9367886567</v>
      </c>
      <c r="J11" s="19">
        <f>'Total Housing Units'!J11</f>
        <v>3450161.9818576556</v>
      </c>
      <c r="K11" s="19">
        <f>'Total Housing Units'!K11</f>
        <v>3425218.6704489784</v>
      </c>
      <c r="L11" s="19">
        <f>'Total Housing Units'!L11</f>
        <v>3400455.689351545</v>
      </c>
      <c r="M11" s="19">
        <f>'Total Housing Units'!M11</f>
        <v>3375871.7348482744</v>
      </c>
      <c r="N11" s="19">
        <f>'Total Housing Units'!N11</f>
        <v>3351465.5126474453</v>
      </c>
      <c r="O11" s="19">
        <f>'Total Housing Units'!O11</f>
        <v>3327235.737814556</v>
      </c>
      <c r="P11" s="19">
        <f>'Total Housing Units'!P11</f>
        <v>3303181.1347046746</v>
      </c>
      <c r="Q11" s="19">
        <f>'Total Housing Units'!Q11</f>
        <v>3279300.4368952797</v>
      </c>
      <c r="R11" s="19">
        <f>'Total Housing Units'!R11</f>
        <v>3255592.387119585</v>
      </c>
      <c r="S11" s="19">
        <f>'Total Housing Units'!S11</f>
        <v>3232055.7372003486</v>
      </c>
      <c r="T11" s="19">
        <f>'Total Housing Units'!T11</f>
        <v>3208689.2479841574</v>
      </c>
      <c r="U11" s="19">
        <f>'Total Housing Units'!U11</f>
        <v>3185491.689276189</v>
      </c>
      <c r="V11" s="19">
        <f>'Total Housing Units'!V11</f>
        <v>3162461.8397754454</v>
      </c>
      <c r="W11" s="19">
        <f>'Total Housing Units'!W11</f>
        <v>3139598.487010453</v>
      </c>
      <c r="X11" s="19">
        <f>'Total Housing Units'!X11</f>
        <v>3116900.427275429</v>
      </c>
      <c r="Y11" s="19">
        <f>'Total Housing Units'!Y11</f>
        <v>3094366.46556691</v>
      </c>
      <c r="Z11" s="19">
        <f>'Total Housing Units'!Z11</f>
        <v>3071995.4155208347</v>
      </c>
      <c r="AA11" s="19">
        <f>'Total Housing Units'!AA11</f>
        <v>3049786.0993500887</v>
      </c>
      <c r="AB11" s="19">
        <f>'Total Housing Units'!AB11</f>
        <v>3027737.3477824926</v>
      </c>
      <c r="AC11" s="19">
        <f>'Total Housing Units'!AC11</f>
        <v>3005847.999999245</v>
      </c>
      <c r="AD11" s="19">
        <f>'Total Housing Units'!AD11</f>
        <v>3005847.999999245</v>
      </c>
    </row>
    <row r="12" spans="1:30" s="6" customFormat="1" ht="12.75">
      <c r="A12" s="21" t="s">
        <v>1</v>
      </c>
      <c r="B12" s="22"/>
      <c r="C12" s="23"/>
      <c r="D12" s="23"/>
      <c r="E12" s="19">
        <f>'Total Housing Units'!E12</f>
        <v>763182.2913770817</v>
      </c>
      <c r="F12" s="19">
        <f>'Total Housing Units'!F12</f>
        <v>757664.7629518077</v>
      </c>
      <c r="G12" s="19">
        <f>'Total Housing Units'!G12</f>
        <v>752187.1242360667</v>
      </c>
      <c r="H12" s="19">
        <f>'Total Housing Units'!H12</f>
        <v>746749.0868418696</v>
      </c>
      <c r="I12" s="19">
        <f>'Total Housing Units'!I12</f>
        <v>741350.3644661672</v>
      </c>
      <c r="J12" s="19">
        <f>'Total Housing Units'!J12</f>
        <v>735990.672875776</v>
      </c>
      <c r="K12" s="19">
        <f>'Total Housing Units'!K12</f>
        <v>730669.7298924145</v>
      </c>
      <c r="L12" s="19">
        <f>'Total Housing Units'!L12</f>
        <v>725387.2553778471</v>
      </c>
      <c r="M12" s="19">
        <f>'Total Housing Units'!M12</f>
        <v>720142.9712191346</v>
      </c>
      <c r="N12" s="19">
        <f>'Total Housing Units'!N12</f>
        <v>714936.6013139929</v>
      </c>
      <c r="O12" s="19">
        <f>'Total Housing Units'!O12</f>
        <v>709767.8715562559</v>
      </c>
      <c r="P12" s="19">
        <f>'Total Housing Units'!P12</f>
        <v>704636.5098214447</v>
      </c>
      <c r="Q12" s="19">
        <f>'Total Housing Units'!Q12</f>
        <v>699542.2459524412</v>
      </c>
      <c r="R12" s="19">
        <f>'Total Housing Units'!R12</f>
        <v>694484.8117452638</v>
      </c>
      <c r="S12" s="19">
        <f>'Total Housing Units'!S12</f>
        <v>689463.9409349475</v>
      </c>
      <c r="T12" s="19">
        <f>'Total Housing Units'!T12</f>
        <v>684479.3691815257</v>
      </c>
      <c r="U12" s="19">
        <f>'Total Housing Units'!U12</f>
        <v>679530.8340561127</v>
      </c>
      <c r="V12" s="19">
        <f>'Total Housing Units'!V12</f>
        <v>674618.0750270877</v>
      </c>
      <c r="W12" s="19">
        <f>'Total Housing Units'!W12</f>
        <v>669740.8334463781</v>
      </c>
      <c r="X12" s="19">
        <f>'Total Housing Units'!X12</f>
        <v>664898.852535842</v>
      </c>
      <c r="Y12" s="19">
        <f>'Total Housing Units'!Y12</f>
        <v>660091.8773737494</v>
      </c>
      <c r="Z12" s="19">
        <f>'Total Housing Units'!Z12</f>
        <v>655319.6548813612</v>
      </c>
      <c r="AA12" s="19">
        <f>'Total Housing Units'!AA12</f>
        <v>650581.9338096047</v>
      </c>
      <c r="AB12" s="19">
        <f>'Total Housing Units'!AB12</f>
        <v>645878.4647258461</v>
      </c>
      <c r="AC12" s="19">
        <f>'Total Housing Units'!AC12</f>
        <v>641209.0000007581</v>
      </c>
      <c r="AD12" s="19">
        <f>'Total Housing Units'!AD12</f>
        <v>641209.0000007581</v>
      </c>
    </row>
    <row r="13" spans="1:30" s="6" customFormat="1" ht="12.75">
      <c r="A13" s="21" t="s">
        <v>11</v>
      </c>
      <c r="B13" s="22"/>
      <c r="C13" s="23"/>
      <c r="D13" s="23"/>
      <c r="E13" s="19">
        <f>'Total Housing Units'!E13</f>
        <v>454694.57553883083</v>
      </c>
      <c r="F13" s="19">
        <f>'Total Housing Units'!F13</f>
        <v>447599.6142567851</v>
      </c>
      <c r="G13" s="19">
        <f>'Total Housing Units'!G13</f>
        <v>440615.3613013871</v>
      </c>
      <c r="H13" s="19">
        <f>'Total Housing Units'!H13</f>
        <v>433740.08920252084</v>
      </c>
      <c r="I13" s="19">
        <f>'Total Housing Units'!I13</f>
        <v>426972.0974451612</v>
      </c>
      <c r="J13" s="19">
        <f>'Total Housing Units'!J13</f>
        <v>420309.712048772</v>
      </c>
      <c r="K13" s="19">
        <f>'Total Housing Units'!K13</f>
        <v>413751.2851532676</v>
      </c>
      <c r="L13" s="19">
        <f>'Total Housing Units'!L13</f>
        <v>407295.1946114344</v>
      </c>
      <c r="M13" s="19">
        <f>'Total Housing Units'!M13</f>
        <v>400939.8435877127</v>
      </c>
      <c r="N13" s="19">
        <f>'Total Housing Units'!N13</f>
        <v>394683.6601632386</v>
      </c>
      <c r="O13" s="19">
        <f>'Total Housing Units'!O13</f>
        <v>388525.0969470492</v>
      </c>
      <c r="P13" s="19">
        <f>'Total Housing Units'!P13</f>
        <v>382462.63069335406</v>
      </c>
      <c r="Q13" s="19">
        <f>'Total Housing Units'!Q13</f>
        <v>376494.7619247789</v>
      </c>
      <c r="R13" s="19">
        <f>'Total Housing Units'!R13</f>
        <v>370620.0145614882</v>
      </c>
      <c r="S13" s="19">
        <f>'Total Housing Units'!S13</f>
        <v>364836.9355560945</v>
      </c>
      <c r="T13" s="19">
        <f>'Total Housing Units'!T13</f>
        <v>359144.0945342652</v>
      </c>
      <c r="U13" s="19">
        <f>'Total Housing Units'!U13</f>
        <v>353540.0834409365</v>
      </c>
      <c r="V13" s="19">
        <f>'Total Housing Units'!V13</f>
        <v>348023.5161920482</v>
      </c>
      <c r="W13" s="19">
        <f>'Total Housing Units'!W13</f>
        <v>342593.02833171276</v>
      </c>
      <c r="X13" s="19">
        <f>'Total Housing Units'!X13</f>
        <v>337247.2766947335</v>
      </c>
      <c r="Y13" s="19">
        <f>'Total Housing Units'!Y13</f>
        <v>331984.9390743891</v>
      </c>
      <c r="Z13" s="19">
        <f>'Total Housing Units'!Z13</f>
        <v>326804.713895402</v>
      </c>
      <c r="AA13" s="19">
        <f>'Total Housing Units'!AA13</f>
        <v>321705.31989200925</v>
      </c>
      <c r="AB13" s="19">
        <f>'Total Housing Units'!AB13</f>
        <v>316685.4957910573</v>
      </c>
      <c r="AC13" s="19">
        <f>'Total Housing Units'!AC13</f>
        <v>311744.0000000411</v>
      </c>
      <c r="AD13" s="19">
        <f>'Total Housing Units'!AD13</f>
        <v>311744.0000000411</v>
      </c>
    </row>
    <row r="14" spans="1:4" s="6" customFormat="1" ht="12.75">
      <c r="A14" s="21"/>
      <c r="B14" s="23"/>
      <c r="C14" s="23"/>
      <c r="D14" s="23"/>
    </row>
    <row r="15" spans="1:30" s="6" customFormat="1" ht="12.75">
      <c r="A15" s="17" t="s">
        <v>23</v>
      </c>
      <c r="B15" s="18"/>
      <c r="C15" s="18"/>
      <c r="D15" s="18"/>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ht="12.75">
      <c r="A16" s="21" t="s">
        <v>13</v>
      </c>
      <c r="B16" s="18"/>
      <c r="C16" s="18"/>
      <c r="D16" s="18"/>
      <c r="E16" s="19">
        <f>'Total Housing Units'!E20</f>
        <v>72612.09210353997</v>
      </c>
      <c r="F16" s="19">
        <f>'Total Housing Units'!F20</f>
        <v>74302.73979538417</v>
      </c>
      <c r="G16" s="19">
        <f>'Total Housing Units'!G20</f>
        <v>76032.75131128488</v>
      </c>
      <c r="H16" s="19">
        <f>'Total Housing Units'!H20</f>
        <v>77803.04317019031</v>
      </c>
      <c r="I16" s="19">
        <f>'Total Housing Units'!I20</f>
        <v>79614.55323061625</v>
      </c>
      <c r="J16" s="19">
        <f>'Total Housing Units'!J20</f>
        <v>81468.24118750115</v>
      </c>
      <c r="K16" s="19">
        <f>'Total Housing Units'!K20</f>
        <v>83365.0890806297</v>
      </c>
      <c r="L16" s="19">
        <f>'Total Housing Units'!L20</f>
        <v>85306.10181489414</v>
      </c>
      <c r="M16" s="19">
        <f>'Total Housing Units'!M20</f>
        <v>87292.30769266895</v>
      </c>
      <c r="N16" s="19">
        <f>'Total Housing Units'!N20</f>
        <v>89324.75895858105</v>
      </c>
      <c r="O16" s="19">
        <f>'Total Housing Units'!O20</f>
        <v>91404.53235696387</v>
      </c>
      <c r="P16" s="19">
        <f>'Total Housing Units'!P20</f>
        <v>93532.72970229096</v>
      </c>
      <c r="Q16" s="19">
        <f>'Total Housing Units'!Q20</f>
        <v>95710.47846289109</v>
      </c>
      <c r="R16" s="19">
        <f>'Total Housing Units'!R20</f>
        <v>97938.9323582541</v>
      </c>
      <c r="S16" s="19">
        <f>'Total Housing Units'!S20</f>
        <v>100219.2719702441</v>
      </c>
      <c r="T16" s="19">
        <f>'Total Housing Units'!T20</f>
        <v>102552.70536854361</v>
      </c>
      <c r="U16" s="19">
        <f>'Total Housing Units'!U20</f>
        <v>104940.46875066016</v>
      </c>
      <c r="V16" s="19">
        <f>'Total Housing Units'!V20</f>
        <v>107383.82709683434</v>
      </c>
      <c r="W16" s="19">
        <f>'Total Housing Units'!W20</f>
        <v>109884.07484019622</v>
      </c>
      <c r="X16" s="19">
        <f>'Total Housing Units'!X20</f>
        <v>112442.53655252523</v>
      </c>
      <c r="Y16" s="19">
        <f>'Total Housing Units'!Y20</f>
        <v>115060.56764597677</v>
      </c>
      <c r="Z16" s="19">
        <f>'Total Housing Units'!Z20</f>
        <v>117739.55509114737</v>
      </c>
      <c r="AA16" s="19">
        <f>'Total Housing Units'!AA20</f>
        <v>120480.91815185868</v>
      </c>
      <c r="AB16" s="19">
        <f>'Total Housing Units'!AB20</f>
        <v>123286.10913704972</v>
      </c>
      <c r="AC16" s="19">
        <f>'Total Housing Units'!AC20</f>
        <v>126156.61417017553</v>
      </c>
      <c r="AD16" s="19">
        <f>'Total Housing Units'!AD20</f>
        <v>2425855.000000902</v>
      </c>
    </row>
    <row r="17" spans="1:30" ht="12.75">
      <c r="A17" s="21" t="s">
        <v>0</v>
      </c>
      <c r="B17" s="22"/>
      <c r="C17" s="22"/>
      <c r="D17" s="22"/>
      <c r="E17" s="19">
        <f>'Total Housing Units'!E17</f>
        <v>46427.49901453212</v>
      </c>
      <c r="F17" s="19">
        <f>'Total Housing Units'!F17</f>
        <v>47777.01933683805</v>
      </c>
      <c r="G17" s="19">
        <f>'Total Housing Units'!G17</f>
        <v>49165.766521218684</v>
      </c>
      <c r="H17" s="19">
        <f>'Total Housing Units'!H17</f>
        <v>50594.88078518894</v>
      </c>
      <c r="I17" s="19">
        <f>'Total Housing Units'!I17</f>
        <v>52065.535489266076</v>
      </c>
      <c r="J17" s="19">
        <f>'Total Housing Units'!J17</f>
        <v>53578.93810034604</v>
      </c>
      <c r="K17" s="19">
        <f>'Total Housing Units'!K17</f>
        <v>55136.33118308255</v>
      </c>
      <c r="L17" s="19">
        <f>'Total Housing Units'!L17</f>
        <v>56738.993420082865</v>
      </c>
      <c r="M17" s="19">
        <f>'Total Housing Units'!M17</f>
        <v>58388.24066175783</v>
      </c>
      <c r="N17" s="19">
        <f>'Total Housing Units'!N17</f>
        <v>60085.42700668819</v>
      </c>
      <c r="O17" s="19">
        <f>'Total Housing Units'!O17</f>
        <v>61831.9459133942</v>
      </c>
      <c r="P17" s="19">
        <f>'Total Housing Units'!P17</f>
        <v>63629.231344421365</v>
      </c>
      <c r="Q17" s="19">
        <f>'Total Housing Units'!Q17</f>
        <v>65478.75894368155</v>
      </c>
      <c r="R17" s="19">
        <f>'Total Housing Units'!R17</f>
        <v>67382.04724801624</v>
      </c>
      <c r="S17" s="19">
        <f>'Total Housing Units'!S17</f>
        <v>69340.6589339766</v>
      </c>
      <c r="T17" s="19">
        <f>'Total Housing Units'!T17</f>
        <v>71356.20210084406</v>
      </c>
      <c r="U17" s="19">
        <f>'Total Housing Units'!U17</f>
        <v>73430.33159094467</v>
      </c>
      <c r="V17" s="19">
        <f>'Total Housing Units'!V17</f>
        <v>75564.75034834155</v>
      </c>
      <c r="W17" s="19">
        <f>'Total Housing Units'!W17</f>
        <v>77761.21081702072</v>
      </c>
      <c r="X17" s="19">
        <f>'Total Housing Units'!X17</f>
        <v>80021.51637971833</v>
      </c>
      <c r="Y17" s="19">
        <f>'Total Housing Units'!Y17</f>
        <v>82347.52283857076</v>
      </c>
      <c r="Z17" s="19">
        <f>'Total Housing Units'!Z17</f>
        <v>84741.13993880307</v>
      </c>
      <c r="AA17" s="19">
        <f>'Total Housing Units'!AA17</f>
        <v>87204.33293670697</v>
      </c>
      <c r="AB17" s="19">
        <f>'Total Housing Units'!AB17</f>
        <v>89739.12421319555</v>
      </c>
      <c r="AC17" s="19">
        <f>'Total Housing Units'!AC17</f>
        <v>92347.59493425975</v>
      </c>
      <c r="AD17" s="19">
        <f>'Total Housing Units'!AD17</f>
        <v>1672135.000000897</v>
      </c>
    </row>
    <row r="18" spans="1:30" ht="12.75">
      <c r="A18" s="21" t="s">
        <v>1</v>
      </c>
      <c r="B18" s="22"/>
      <c r="C18" s="22"/>
      <c r="D18" s="22"/>
      <c r="E18" s="19">
        <f>'Total Housing Units'!E18</f>
        <v>18342.378454176796</v>
      </c>
      <c r="F18" s="19">
        <f>'Total Housing Units'!F18</f>
        <v>18482.814854124434</v>
      </c>
      <c r="G18" s="19">
        <f>'Total Housing Units'!G18</f>
        <v>18624.326489897103</v>
      </c>
      <c r="H18" s="19">
        <f>'Total Housing Units'!H18</f>
        <v>18766.921593919447</v>
      </c>
      <c r="I18" s="19">
        <f>'Total Housing Units'!I18</f>
        <v>18910.60846164676</v>
      </c>
      <c r="J18" s="19">
        <f>'Total Housing Units'!J18</f>
        <v>19055.395452047575</v>
      </c>
      <c r="K18" s="19">
        <f>'Total Housing Units'!K18</f>
        <v>19201.290988089946</v>
      </c>
      <c r="L18" s="19">
        <f>'Total Housing Units'!L18</f>
        <v>19348.303557231455</v>
      </c>
      <c r="M18" s="19">
        <f>'Total Housing Units'!M18</f>
        <v>19496.441711912965</v>
      </c>
      <c r="N18" s="19">
        <f>'Total Housing Units'!N18</f>
        <v>19645.714070056165</v>
      </c>
      <c r="O18" s="19">
        <f>'Total Housing Units'!O18</f>
        <v>19796.12931556491</v>
      </c>
      <c r="P18" s="19">
        <f>'Total Housing Units'!P18</f>
        <v>19947.69619883041</v>
      </c>
      <c r="Q18" s="19">
        <f>'Total Housing Units'!Q18</f>
        <v>20100.423537240276</v>
      </c>
      <c r="R18" s="19">
        <f>'Total Housing Units'!R18</f>
        <v>20254.32021569148</v>
      </c>
      <c r="S18" s="19">
        <f>'Total Housing Units'!S18</f>
        <v>20409.39518710723</v>
      </c>
      <c r="T18" s="19">
        <f>'Total Housing Units'!T18</f>
        <v>20565.657472957806</v>
      </c>
      <c r="U18" s="19">
        <f>'Total Housing Units'!U18</f>
        <v>20723.116163785373</v>
      </c>
      <c r="V18" s="19">
        <f>'Total Housing Units'!V18</f>
        <v>20881.780419732833</v>
      </c>
      <c r="W18" s="19">
        <f>'Total Housing Units'!W18</f>
        <v>21041.65947107672</v>
      </c>
      <c r="X18" s="19">
        <f>'Total Housing Units'!X18</f>
        <v>21202.762618764158</v>
      </c>
      <c r="Y18" s="19">
        <f>'Total Housing Units'!Y18</f>
        <v>21365.09923495395</v>
      </c>
      <c r="Z18" s="19">
        <f>'Total Housing Units'!Z18</f>
        <v>21528.678763561795</v>
      </c>
      <c r="AA18" s="19">
        <f>'Total Housing Units'!AA18</f>
        <v>21693.5107208097</v>
      </c>
      <c r="AB18" s="19">
        <f>'Total Housing Units'!AB18</f>
        <v>21859.604695779573</v>
      </c>
      <c r="AC18" s="19">
        <f>'Total Housing Units'!AC18</f>
        <v>22026.970350971074</v>
      </c>
      <c r="AD18" s="19">
        <f>'Total Housing Units'!AD18</f>
        <v>503270.99999993</v>
      </c>
    </row>
    <row r="19" spans="1:30" ht="12.75">
      <c r="A19" s="21" t="s">
        <v>11</v>
      </c>
      <c r="B19" s="22"/>
      <c r="C19" s="22"/>
      <c r="D19" s="22"/>
      <c r="E19" s="19">
        <f>'Total Housing Units'!E19</f>
        <v>7842.214634831057</v>
      </c>
      <c r="F19" s="19">
        <f>'Total Housing Units'!F19</f>
        <v>7997.247764508821</v>
      </c>
      <c r="G19" s="19">
        <f>'Total Housing Units'!G19</f>
        <v>8155.345751808682</v>
      </c>
      <c r="H19" s="19">
        <f>'Total Housing Units'!H19</f>
        <v>8316.569186052826</v>
      </c>
      <c r="I19" s="19">
        <f>'Total Housing Units'!I19</f>
        <v>8480.979854356754</v>
      </c>
      <c r="J19" s="19">
        <f>'Total Housing Units'!J19</f>
        <v>8648.640765308513</v>
      </c>
      <c r="K19" s="19">
        <f>'Total Housing Units'!K19</f>
        <v>8819.61617311605</v>
      </c>
      <c r="L19" s="19">
        <f>'Total Housing Units'!L19</f>
        <v>8993.97160223193</v>
      </c>
      <c r="M19" s="19">
        <f>'Total Housing Units'!M19</f>
        <v>9171.77387246487</v>
      </c>
      <c r="N19" s="19">
        <f>'Total Housing Units'!N19</f>
        <v>9353.091124587694</v>
      </c>
      <c r="O19" s="19">
        <f>'Total Housing Units'!O19</f>
        <v>9537.992846451543</v>
      </c>
      <c r="P19" s="19">
        <f>'Total Housing Units'!P19</f>
        <v>9726.54989961633</v>
      </c>
      <c r="Q19" s="19">
        <f>'Total Housing Units'!Q19</f>
        <v>9918.834546507653</v>
      </c>
      <c r="R19" s="19">
        <f>'Total Housing Units'!R19</f>
        <v>10114.920478110585</v>
      </c>
      <c r="S19" s="19">
        <f>'Total Housing Units'!S19</f>
        <v>10314.882842210936</v>
      </c>
      <c r="T19" s="19">
        <f>'Total Housing Units'!T19</f>
        <v>10518.798272194814</v>
      </c>
      <c r="U19" s="19">
        <f>'Total Housing Units'!U19</f>
        <v>10726.744916417532</v>
      </c>
      <c r="V19" s="19">
        <f>'Total Housing Units'!V19</f>
        <v>10938.802468153117</v>
      </c>
      <c r="W19" s="19">
        <f>'Total Housing Units'!W19</f>
        <v>11155.052196135875</v>
      </c>
      <c r="X19" s="19">
        <f>'Total Housing Units'!X19</f>
        <v>11375.57697570575</v>
      </c>
      <c r="Y19" s="19">
        <f>'Total Housing Units'!Y19</f>
        <v>11600.461320569382</v>
      </c>
      <c r="Z19" s="19">
        <f>'Total Housing Units'!Z19</f>
        <v>11829.79141518907</v>
      </c>
      <c r="AA19" s="19">
        <f>'Total Housing Units'!AA19</f>
        <v>12063.65514781202</v>
      </c>
      <c r="AB19" s="19">
        <f>'Total Housing Units'!AB19</f>
        <v>12302.142144152545</v>
      </c>
      <c r="AC19" s="19">
        <f>'Total Housing Units'!AC19</f>
        <v>12545.34380174015</v>
      </c>
      <c r="AD19" s="19">
        <f>'Total Housing Units'!AD19</f>
        <v>250449.00000023446</v>
      </c>
    </row>
    <row r="20" ht="13.5" thickBot="1"/>
    <row r="21" spans="1:2" ht="13.5" thickBot="1">
      <c r="A21" s="184" t="s">
        <v>38</v>
      </c>
      <c r="B21" s="182">
        <v>2001</v>
      </c>
    </row>
    <row r="22" spans="1:29" ht="12.75">
      <c r="A22" s="12" t="s">
        <v>80</v>
      </c>
      <c r="F22" s="387" t="s">
        <v>33</v>
      </c>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row>
    <row r="23" spans="1:33" ht="40.5" customHeight="1">
      <c r="A23" s="29" t="s">
        <v>3</v>
      </c>
      <c r="B23" s="29" t="s">
        <v>24</v>
      </c>
      <c r="C23" s="29" t="s">
        <v>29</v>
      </c>
      <c r="D23" s="183" t="s">
        <v>30</v>
      </c>
      <c r="E23" s="29" t="s">
        <v>32</v>
      </c>
      <c r="F23" s="29">
        <v>2002</v>
      </c>
      <c r="G23" s="29">
        <v>2003</v>
      </c>
      <c r="H23" s="29">
        <v>2004</v>
      </c>
      <c r="I23" s="29">
        <v>2005</v>
      </c>
      <c r="J23" s="29">
        <v>2006</v>
      </c>
      <c r="K23" s="29">
        <v>2007</v>
      </c>
      <c r="L23" s="29">
        <v>2008</v>
      </c>
      <c r="M23" s="29">
        <v>2009</v>
      </c>
      <c r="N23" s="29">
        <v>2010</v>
      </c>
      <c r="O23" s="29">
        <v>2011</v>
      </c>
      <c r="P23" s="29">
        <v>2012</v>
      </c>
      <c r="Q23" s="29">
        <v>2013</v>
      </c>
      <c r="R23" s="29">
        <v>2014</v>
      </c>
      <c r="S23" s="29">
        <v>2015</v>
      </c>
      <c r="T23" s="29">
        <v>2016</v>
      </c>
      <c r="U23" s="29">
        <v>2017</v>
      </c>
      <c r="V23" s="29">
        <v>2018</v>
      </c>
      <c r="W23" s="29">
        <v>2019</v>
      </c>
      <c r="X23" s="29">
        <v>2020</v>
      </c>
      <c r="Y23" s="29">
        <v>2021</v>
      </c>
      <c r="Z23" s="29">
        <v>2022</v>
      </c>
      <c r="AA23" s="29">
        <v>2023</v>
      </c>
      <c r="AB23" s="29">
        <v>2024</v>
      </c>
      <c r="AC23" s="29">
        <v>2025</v>
      </c>
      <c r="AD23" s="29" t="s">
        <v>28</v>
      </c>
      <c r="AE23" s="29" t="s">
        <v>41</v>
      </c>
      <c r="AF23" s="29" t="s">
        <v>42</v>
      </c>
      <c r="AG23" s="29" t="s">
        <v>39</v>
      </c>
    </row>
    <row r="24" spans="1:33" ht="24" customHeight="1">
      <c r="A24" s="14" t="s">
        <v>0</v>
      </c>
      <c r="B24" s="3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row>
    <row r="25" spans="1:33" ht="12.75">
      <c r="A25" s="15" t="s">
        <v>14</v>
      </c>
      <c r="B25" s="36">
        <f>'[1]PNW Existing Characteristics'!$F$14</f>
        <v>0.6380307253225443</v>
      </c>
      <c r="C25" s="37">
        <v>12</v>
      </c>
      <c r="D25" s="16">
        <f>1/C25</f>
        <v>0.08333333333333333</v>
      </c>
      <c r="E25" s="9">
        <f>B25*E$11</f>
        <v>2282637.7312103473</v>
      </c>
      <c r="F25" s="9">
        <f aca="true" t="shared" si="0" ref="F25:O33">IF((F$23-$B$21)&lt;($C25+1),$D25*$E25,0)</f>
        <v>190219.8109341956</v>
      </c>
      <c r="G25" s="9">
        <f t="shared" si="0"/>
        <v>190219.8109341956</v>
      </c>
      <c r="H25" s="9">
        <f t="shared" si="0"/>
        <v>190219.8109341956</v>
      </c>
      <c r="I25" s="9">
        <f t="shared" si="0"/>
        <v>190219.8109341956</v>
      </c>
      <c r="J25" s="9">
        <f t="shared" si="0"/>
        <v>190219.8109341956</v>
      </c>
      <c r="K25" s="9">
        <f t="shared" si="0"/>
        <v>190219.8109341956</v>
      </c>
      <c r="L25" s="9">
        <f t="shared" si="0"/>
        <v>190219.8109341956</v>
      </c>
      <c r="M25" s="9">
        <f t="shared" si="0"/>
        <v>190219.8109341956</v>
      </c>
      <c r="N25" s="9">
        <f t="shared" si="0"/>
        <v>190219.8109341956</v>
      </c>
      <c r="O25" s="9">
        <f t="shared" si="0"/>
        <v>190219.8109341956</v>
      </c>
      <c r="P25" s="9">
        <f aca="true" t="shared" si="1" ref="P25:AC33">IF((P$23-$B$21)&lt;($C25+1),$D25*$E25,0)</f>
        <v>190219.8109341956</v>
      </c>
      <c r="Q25" s="9">
        <f t="shared" si="1"/>
        <v>190219.8109341956</v>
      </c>
      <c r="R25" s="9">
        <f t="shared" si="1"/>
        <v>0</v>
      </c>
      <c r="S25" s="9">
        <f t="shared" si="1"/>
        <v>0</v>
      </c>
      <c r="T25" s="9">
        <f t="shared" si="1"/>
        <v>0</v>
      </c>
      <c r="U25" s="9">
        <f t="shared" si="1"/>
        <v>0</v>
      </c>
      <c r="V25" s="9">
        <f t="shared" si="1"/>
        <v>0</v>
      </c>
      <c r="W25" s="9">
        <f t="shared" si="1"/>
        <v>0</v>
      </c>
      <c r="X25" s="9">
        <f t="shared" si="1"/>
        <v>0</v>
      </c>
      <c r="Y25" s="9">
        <f t="shared" si="1"/>
        <v>0</v>
      </c>
      <c r="Z25" s="9">
        <f t="shared" si="1"/>
        <v>0</v>
      </c>
      <c r="AA25" s="9">
        <f t="shared" si="1"/>
        <v>0</v>
      </c>
      <c r="AB25" s="9">
        <f t="shared" si="1"/>
        <v>0</v>
      </c>
      <c r="AC25" s="9">
        <f t="shared" si="1"/>
        <v>0</v>
      </c>
      <c r="AD25" s="30">
        <f>SUM(F25:AC25)</f>
        <v>2282637.731210347</v>
      </c>
      <c r="AE25" s="30">
        <f>AD61</f>
        <v>1037251.3360166312</v>
      </c>
      <c r="AF25" s="30">
        <f>AD96</f>
        <v>50576.505903424324</v>
      </c>
      <c r="AG25" s="30">
        <f>SUM(AD25:AF25)</f>
        <v>3370465.5731304022</v>
      </c>
    </row>
    <row r="26" spans="1:33" ht="12.75">
      <c r="A26" s="15" t="s">
        <v>15</v>
      </c>
      <c r="B26" s="36">
        <f>'[1]PNW Existing Characteristics'!$F$9</f>
        <v>1.1204469504317132</v>
      </c>
      <c r="C26" s="37">
        <v>19</v>
      </c>
      <c r="D26" s="16">
        <f aca="true" t="shared" si="2" ref="D26:D33">1/C26</f>
        <v>0.05263157894736842</v>
      </c>
      <c r="E26" s="9">
        <f aca="true" t="shared" si="3" ref="E26:E33">B26*E$11</f>
        <v>4008544.39036939</v>
      </c>
      <c r="F26" s="9">
        <f t="shared" si="0"/>
        <v>210976.02054575738</v>
      </c>
      <c r="G26" s="9">
        <f t="shared" si="0"/>
        <v>210976.02054575738</v>
      </c>
      <c r="H26" s="9">
        <f t="shared" si="0"/>
        <v>210976.02054575738</v>
      </c>
      <c r="I26" s="9">
        <f t="shared" si="0"/>
        <v>210976.02054575738</v>
      </c>
      <c r="J26" s="9">
        <f t="shared" si="0"/>
        <v>210976.02054575738</v>
      </c>
      <c r="K26" s="9">
        <f t="shared" si="0"/>
        <v>210976.02054575738</v>
      </c>
      <c r="L26" s="9">
        <f t="shared" si="0"/>
        <v>210976.02054575738</v>
      </c>
      <c r="M26" s="9">
        <f t="shared" si="0"/>
        <v>210976.02054575738</v>
      </c>
      <c r="N26" s="9">
        <f t="shared" si="0"/>
        <v>210976.02054575738</v>
      </c>
      <c r="O26" s="9">
        <f t="shared" si="0"/>
        <v>210976.02054575738</v>
      </c>
      <c r="P26" s="9">
        <f t="shared" si="1"/>
        <v>210976.02054575738</v>
      </c>
      <c r="Q26" s="9">
        <f t="shared" si="1"/>
        <v>210976.02054575738</v>
      </c>
      <c r="R26" s="9">
        <f t="shared" si="1"/>
        <v>210976.02054575738</v>
      </c>
      <c r="S26" s="9">
        <f t="shared" si="1"/>
        <v>210976.02054575738</v>
      </c>
      <c r="T26" s="9">
        <f t="shared" si="1"/>
        <v>210976.02054575738</v>
      </c>
      <c r="U26" s="9">
        <f t="shared" si="1"/>
        <v>210976.02054575738</v>
      </c>
      <c r="V26" s="9">
        <f t="shared" si="1"/>
        <v>210976.02054575738</v>
      </c>
      <c r="W26" s="9">
        <f t="shared" si="1"/>
        <v>210976.02054575738</v>
      </c>
      <c r="X26" s="9">
        <f t="shared" si="1"/>
        <v>210976.02054575738</v>
      </c>
      <c r="Y26" s="9">
        <f t="shared" si="1"/>
        <v>0</v>
      </c>
      <c r="Z26" s="9">
        <f t="shared" si="1"/>
        <v>0</v>
      </c>
      <c r="AA26" s="9">
        <f t="shared" si="1"/>
        <v>0</v>
      </c>
      <c r="AB26" s="9">
        <f t="shared" si="1"/>
        <v>0</v>
      </c>
      <c r="AC26" s="9">
        <f t="shared" si="1"/>
        <v>0</v>
      </c>
      <c r="AD26" s="30">
        <f aca="true" t="shared" si="4" ref="AD26:AD55">SUM(F26:AC26)</f>
        <v>4008544.39036939</v>
      </c>
      <c r="AE26" s="30">
        <f aca="true" t="shared" si="5" ref="AE26:AE33">AD62</f>
        <v>1821519.0117741332</v>
      </c>
      <c r="AF26" s="30">
        <f aca="true" t="shared" si="6" ref="AF26:AF33">AD97</f>
        <v>25733.701091940457</v>
      </c>
      <c r="AG26" s="30">
        <f aca="true" t="shared" si="7" ref="AG26:AG33">SUM(AD26:AF26)</f>
        <v>5855797.103235464</v>
      </c>
    </row>
    <row r="27" spans="1:33" ht="12.75">
      <c r="A27" s="15" t="s">
        <v>16</v>
      </c>
      <c r="B27" s="36">
        <f>'[1]PNW Existing Characteristics'!$F$10</f>
        <v>0.5673737735173195</v>
      </c>
      <c r="C27" s="37">
        <v>22</v>
      </c>
      <c r="D27" s="16">
        <f t="shared" si="2"/>
        <v>0.045454545454545456</v>
      </c>
      <c r="E27" s="9">
        <f t="shared" si="3"/>
        <v>2029853.315410649</v>
      </c>
      <c r="F27" s="9">
        <f t="shared" si="0"/>
        <v>92266.05979139314</v>
      </c>
      <c r="G27" s="9">
        <f t="shared" si="0"/>
        <v>92266.05979139314</v>
      </c>
      <c r="H27" s="9">
        <f t="shared" si="0"/>
        <v>92266.05979139314</v>
      </c>
      <c r="I27" s="9">
        <f t="shared" si="0"/>
        <v>92266.05979139314</v>
      </c>
      <c r="J27" s="9">
        <f t="shared" si="0"/>
        <v>92266.05979139314</v>
      </c>
      <c r="K27" s="9">
        <f t="shared" si="0"/>
        <v>92266.05979139314</v>
      </c>
      <c r="L27" s="9">
        <f t="shared" si="0"/>
        <v>92266.05979139314</v>
      </c>
      <c r="M27" s="9">
        <f t="shared" si="0"/>
        <v>92266.05979139314</v>
      </c>
      <c r="N27" s="9">
        <f t="shared" si="0"/>
        <v>92266.05979139314</v>
      </c>
      <c r="O27" s="9">
        <f t="shared" si="0"/>
        <v>92266.05979139314</v>
      </c>
      <c r="P27" s="9">
        <f t="shared" si="1"/>
        <v>92266.05979139314</v>
      </c>
      <c r="Q27" s="9">
        <f t="shared" si="1"/>
        <v>92266.05979139314</v>
      </c>
      <c r="R27" s="9">
        <f t="shared" si="1"/>
        <v>92266.05979139314</v>
      </c>
      <c r="S27" s="9">
        <f t="shared" si="1"/>
        <v>92266.05979139314</v>
      </c>
      <c r="T27" s="9">
        <f t="shared" si="1"/>
        <v>92266.05979139314</v>
      </c>
      <c r="U27" s="9">
        <f t="shared" si="1"/>
        <v>92266.05979139314</v>
      </c>
      <c r="V27" s="9">
        <f t="shared" si="1"/>
        <v>92266.05979139314</v>
      </c>
      <c r="W27" s="9">
        <f t="shared" si="1"/>
        <v>92266.05979139314</v>
      </c>
      <c r="X27" s="9">
        <f t="shared" si="1"/>
        <v>92266.05979139314</v>
      </c>
      <c r="Y27" s="9">
        <f t="shared" si="1"/>
        <v>92266.05979139314</v>
      </c>
      <c r="Z27" s="9">
        <f t="shared" si="1"/>
        <v>92266.05979139314</v>
      </c>
      <c r="AA27" s="9">
        <f t="shared" si="1"/>
        <v>92266.05979139314</v>
      </c>
      <c r="AB27" s="9">
        <f t="shared" si="1"/>
        <v>0</v>
      </c>
      <c r="AC27" s="9">
        <f t="shared" si="1"/>
        <v>0</v>
      </c>
      <c r="AD27" s="30">
        <f t="shared" si="4"/>
        <v>2029853.3154106487</v>
      </c>
      <c r="AE27" s="30">
        <f t="shared" si="5"/>
        <v>922383.7994700451</v>
      </c>
      <c r="AF27" s="30">
        <f t="shared" si="6"/>
        <v>4695.964952276367</v>
      </c>
      <c r="AG27" s="30">
        <f t="shared" si="7"/>
        <v>2956933.0798329706</v>
      </c>
    </row>
    <row r="28" spans="1:33" ht="12.75">
      <c r="A28" s="15" t="s">
        <v>17</v>
      </c>
      <c r="B28" s="36">
        <f>'[1]PNW Existing Characteristics'!$F$12</f>
        <v>0.8468925125391364</v>
      </c>
      <c r="C28" s="37">
        <v>14</v>
      </c>
      <c r="D28" s="16">
        <f t="shared" si="2"/>
        <v>0.07142857142857142</v>
      </c>
      <c r="E28" s="9">
        <f t="shared" si="3"/>
        <v>3029867.8835946317</v>
      </c>
      <c r="F28" s="9">
        <f t="shared" si="0"/>
        <v>216419.13454247368</v>
      </c>
      <c r="G28" s="9">
        <f t="shared" si="0"/>
        <v>216419.13454247368</v>
      </c>
      <c r="H28" s="9">
        <f t="shared" si="0"/>
        <v>216419.13454247368</v>
      </c>
      <c r="I28" s="9">
        <f t="shared" si="0"/>
        <v>216419.13454247368</v>
      </c>
      <c r="J28" s="9">
        <f t="shared" si="0"/>
        <v>216419.13454247368</v>
      </c>
      <c r="K28" s="9">
        <f t="shared" si="0"/>
        <v>216419.13454247368</v>
      </c>
      <c r="L28" s="9">
        <f t="shared" si="0"/>
        <v>216419.13454247368</v>
      </c>
      <c r="M28" s="9">
        <f t="shared" si="0"/>
        <v>216419.13454247368</v>
      </c>
      <c r="N28" s="9">
        <f t="shared" si="0"/>
        <v>216419.13454247368</v>
      </c>
      <c r="O28" s="9">
        <f t="shared" si="0"/>
        <v>216419.13454247368</v>
      </c>
      <c r="P28" s="9">
        <f t="shared" si="1"/>
        <v>216419.13454247368</v>
      </c>
      <c r="Q28" s="9">
        <f t="shared" si="1"/>
        <v>216419.13454247368</v>
      </c>
      <c r="R28" s="9">
        <f t="shared" si="1"/>
        <v>216419.13454247368</v>
      </c>
      <c r="S28" s="9">
        <f t="shared" si="1"/>
        <v>216419.13454247368</v>
      </c>
      <c r="T28" s="9">
        <f t="shared" si="1"/>
        <v>0</v>
      </c>
      <c r="U28" s="9">
        <f t="shared" si="1"/>
        <v>0</v>
      </c>
      <c r="V28" s="9">
        <f t="shared" si="1"/>
        <v>0</v>
      </c>
      <c r="W28" s="9">
        <f t="shared" si="1"/>
        <v>0</v>
      </c>
      <c r="X28" s="9">
        <f t="shared" si="1"/>
        <v>0</v>
      </c>
      <c r="Y28" s="9">
        <f t="shared" si="1"/>
        <v>0</v>
      </c>
      <c r="Z28" s="9">
        <f t="shared" si="1"/>
        <v>0</v>
      </c>
      <c r="AA28" s="9">
        <f t="shared" si="1"/>
        <v>0</v>
      </c>
      <c r="AB28" s="9">
        <f t="shared" si="1"/>
        <v>0</v>
      </c>
      <c r="AC28" s="9">
        <f t="shared" si="1"/>
        <v>0</v>
      </c>
      <c r="AD28" s="30">
        <f t="shared" si="4"/>
        <v>3029867.8835946308</v>
      </c>
      <c r="AE28" s="30">
        <f t="shared" si="5"/>
        <v>1376799.5101640632</v>
      </c>
      <c r="AF28" s="30">
        <f t="shared" si="6"/>
        <v>49271.826856649466</v>
      </c>
      <c r="AG28" s="30">
        <f t="shared" si="7"/>
        <v>4455939.220615343</v>
      </c>
    </row>
    <row r="29" spans="1:33" ht="12.75">
      <c r="A29" s="15" t="s">
        <v>18</v>
      </c>
      <c r="B29" s="36">
        <f>'[1]PNW Existing Characteristics'!$F$13</f>
        <v>0.8208495645747469</v>
      </c>
      <c r="C29" s="37">
        <v>14</v>
      </c>
      <c r="D29" s="16">
        <f t="shared" si="2"/>
        <v>0.07142857142857142</v>
      </c>
      <c r="E29" s="9">
        <f t="shared" si="3"/>
        <v>2936695.8570822543</v>
      </c>
      <c r="F29" s="9">
        <f t="shared" si="0"/>
        <v>209763.98979158959</v>
      </c>
      <c r="G29" s="9">
        <f t="shared" si="0"/>
        <v>209763.98979158959</v>
      </c>
      <c r="H29" s="9">
        <f t="shared" si="0"/>
        <v>209763.98979158959</v>
      </c>
      <c r="I29" s="9">
        <f t="shared" si="0"/>
        <v>209763.98979158959</v>
      </c>
      <c r="J29" s="9">
        <f t="shared" si="0"/>
        <v>209763.98979158959</v>
      </c>
      <c r="K29" s="9">
        <f t="shared" si="0"/>
        <v>209763.98979158959</v>
      </c>
      <c r="L29" s="9">
        <f t="shared" si="0"/>
        <v>209763.98979158959</v>
      </c>
      <c r="M29" s="9">
        <f t="shared" si="0"/>
        <v>209763.98979158959</v>
      </c>
      <c r="N29" s="9">
        <f t="shared" si="0"/>
        <v>209763.98979158959</v>
      </c>
      <c r="O29" s="9">
        <f t="shared" si="0"/>
        <v>209763.98979158959</v>
      </c>
      <c r="P29" s="9">
        <f t="shared" si="1"/>
        <v>209763.98979158959</v>
      </c>
      <c r="Q29" s="9">
        <f t="shared" si="1"/>
        <v>209763.98979158959</v>
      </c>
      <c r="R29" s="9">
        <f t="shared" si="1"/>
        <v>209763.98979158959</v>
      </c>
      <c r="S29" s="9">
        <f t="shared" si="1"/>
        <v>209763.98979158959</v>
      </c>
      <c r="T29" s="9">
        <f t="shared" si="1"/>
        <v>0</v>
      </c>
      <c r="U29" s="9">
        <f t="shared" si="1"/>
        <v>0</v>
      </c>
      <c r="V29" s="9">
        <f t="shared" si="1"/>
        <v>0</v>
      </c>
      <c r="W29" s="9">
        <f t="shared" si="1"/>
        <v>0</v>
      </c>
      <c r="X29" s="9">
        <f t="shared" si="1"/>
        <v>0</v>
      </c>
      <c r="Y29" s="9">
        <f t="shared" si="1"/>
        <v>0</v>
      </c>
      <c r="Z29" s="9">
        <f t="shared" si="1"/>
        <v>0</v>
      </c>
      <c r="AA29" s="9">
        <f t="shared" si="1"/>
        <v>0</v>
      </c>
      <c r="AB29" s="9">
        <f t="shared" si="1"/>
        <v>0</v>
      </c>
      <c r="AC29" s="9">
        <f t="shared" si="1"/>
        <v>0</v>
      </c>
      <c r="AD29" s="30">
        <f t="shared" si="4"/>
        <v>2936695.857082255</v>
      </c>
      <c r="AE29" s="30">
        <f t="shared" si="5"/>
        <v>1334461.2943105572</v>
      </c>
      <c r="AF29" s="30">
        <f t="shared" si="6"/>
        <v>47756.659814859326</v>
      </c>
      <c r="AG29" s="30">
        <f t="shared" si="7"/>
        <v>4318913.811207672</v>
      </c>
    </row>
    <row r="30" spans="1:33" ht="12.75">
      <c r="A30" s="15" t="s">
        <v>19</v>
      </c>
      <c r="B30" s="36">
        <f>'[1]PNW Existing Characteristics'!$F$11</f>
        <v>0.6715984668883408</v>
      </c>
      <c r="C30" s="37">
        <v>9</v>
      </c>
      <c r="D30" s="16">
        <f t="shared" si="2"/>
        <v>0.1111111111111111</v>
      </c>
      <c r="E30" s="9">
        <f t="shared" si="3"/>
        <v>2402730.683490772</v>
      </c>
      <c r="F30" s="9">
        <f t="shared" si="0"/>
        <v>266970.07594341907</v>
      </c>
      <c r="G30" s="9">
        <f t="shared" si="0"/>
        <v>266970.07594341907</v>
      </c>
      <c r="H30" s="9">
        <f t="shared" si="0"/>
        <v>266970.07594341907</v>
      </c>
      <c r="I30" s="9">
        <f t="shared" si="0"/>
        <v>266970.07594341907</v>
      </c>
      <c r="J30" s="9">
        <f t="shared" si="0"/>
        <v>266970.07594341907</v>
      </c>
      <c r="K30" s="9">
        <f t="shared" si="0"/>
        <v>266970.07594341907</v>
      </c>
      <c r="L30" s="9">
        <f t="shared" si="0"/>
        <v>266970.07594341907</v>
      </c>
      <c r="M30" s="9">
        <f t="shared" si="0"/>
        <v>266970.07594341907</v>
      </c>
      <c r="N30" s="9">
        <f t="shared" si="0"/>
        <v>266970.07594341907</v>
      </c>
      <c r="O30" s="9">
        <f t="shared" si="0"/>
        <v>0</v>
      </c>
      <c r="P30" s="9">
        <f t="shared" si="1"/>
        <v>0</v>
      </c>
      <c r="Q30" s="9">
        <f t="shared" si="1"/>
        <v>0</v>
      </c>
      <c r="R30" s="9">
        <f t="shared" si="1"/>
        <v>0</v>
      </c>
      <c r="S30" s="9">
        <f t="shared" si="1"/>
        <v>0</v>
      </c>
      <c r="T30" s="9">
        <f t="shared" si="1"/>
        <v>0</v>
      </c>
      <c r="U30" s="9">
        <f t="shared" si="1"/>
        <v>0</v>
      </c>
      <c r="V30" s="9">
        <f t="shared" si="1"/>
        <v>0</v>
      </c>
      <c r="W30" s="9">
        <f t="shared" si="1"/>
        <v>0</v>
      </c>
      <c r="X30" s="9">
        <f t="shared" si="1"/>
        <v>0</v>
      </c>
      <c r="Y30" s="9">
        <f t="shared" si="1"/>
        <v>0</v>
      </c>
      <c r="Z30" s="9">
        <f t="shared" si="1"/>
        <v>0</v>
      </c>
      <c r="AA30" s="9">
        <f t="shared" si="1"/>
        <v>0</v>
      </c>
      <c r="AB30" s="9">
        <f t="shared" si="1"/>
        <v>0</v>
      </c>
      <c r="AC30" s="9">
        <f t="shared" si="1"/>
        <v>0</v>
      </c>
      <c r="AD30" s="30">
        <f t="shared" si="4"/>
        <v>2402730.683490772</v>
      </c>
      <c r="AE30" s="30">
        <f t="shared" si="5"/>
        <v>1091822.665271318</v>
      </c>
      <c r="AF30" s="30">
        <f t="shared" si="6"/>
        <v>85231.54422094816</v>
      </c>
      <c r="AG30" s="30">
        <f t="shared" si="7"/>
        <v>3579784.892983038</v>
      </c>
    </row>
    <row r="31" spans="1:33" ht="12.75">
      <c r="A31" s="15" t="s">
        <v>20</v>
      </c>
      <c r="B31" s="36">
        <f>'[1]PNW Existing Characteristics'!$F$8</f>
        <v>0.8243049688800121</v>
      </c>
      <c r="C31" s="37">
        <v>20</v>
      </c>
      <c r="D31" s="16">
        <f t="shared" si="2"/>
        <v>0.05</v>
      </c>
      <c r="E31" s="9">
        <f t="shared" si="3"/>
        <v>2949058.014468637</v>
      </c>
      <c r="F31" s="9">
        <f t="shared" si="0"/>
        <v>147452.90072343184</v>
      </c>
      <c r="G31" s="9">
        <f t="shared" si="0"/>
        <v>147452.90072343184</v>
      </c>
      <c r="H31" s="9">
        <f t="shared" si="0"/>
        <v>147452.90072343184</v>
      </c>
      <c r="I31" s="9">
        <f t="shared" si="0"/>
        <v>147452.90072343184</v>
      </c>
      <c r="J31" s="9">
        <f t="shared" si="0"/>
        <v>147452.90072343184</v>
      </c>
      <c r="K31" s="9">
        <f t="shared" si="0"/>
        <v>147452.90072343184</v>
      </c>
      <c r="L31" s="9">
        <f t="shared" si="0"/>
        <v>147452.90072343184</v>
      </c>
      <c r="M31" s="9">
        <f t="shared" si="0"/>
        <v>147452.90072343184</v>
      </c>
      <c r="N31" s="9">
        <f t="shared" si="0"/>
        <v>147452.90072343184</v>
      </c>
      <c r="O31" s="9">
        <f t="shared" si="0"/>
        <v>147452.90072343184</v>
      </c>
      <c r="P31" s="9">
        <f t="shared" si="1"/>
        <v>147452.90072343184</v>
      </c>
      <c r="Q31" s="9">
        <f t="shared" si="1"/>
        <v>147452.90072343184</v>
      </c>
      <c r="R31" s="9">
        <f t="shared" si="1"/>
        <v>147452.90072343184</v>
      </c>
      <c r="S31" s="9">
        <f t="shared" si="1"/>
        <v>147452.90072343184</v>
      </c>
      <c r="T31" s="9">
        <f t="shared" si="1"/>
        <v>147452.90072343184</v>
      </c>
      <c r="U31" s="9">
        <f t="shared" si="1"/>
        <v>147452.90072343184</v>
      </c>
      <c r="V31" s="9">
        <f t="shared" si="1"/>
        <v>147452.90072343184</v>
      </c>
      <c r="W31" s="9">
        <f t="shared" si="1"/>
        <v>147452.90072343184</v>
      </c>
      <c r="X31" s="9">
        <f t="shared" si="1"/>
        <v>147452.90072343184</v>
      </c>
      <c r="Y31" s="9">
        <f t="shared" si="1"/>
        <v>147452.90072343184</v>
      </c>
      <c r="Z31" s="9">
        <f t="shared" si="1"/>
        <v>0</v>
      </c>
      <c r="AA31" s="9">
        <f t="shared" si="1"/>
        <v>0</v>
      </c>
      <c r="AB31" s="9">
        <f t="shared" si="1"/>
        <v>0</v>
      </c>
      <c r="AC31" s="9">
        <f t="shared" si="1"/>
        <v>0</v>
      </c>
      <c r="AD31" s="30">
        <f t="shared" si="4"/>
        <v>2949058.0144686354</v>
      </c>
      <c r="AE31" s="30">
        <f t="shared" si="5"/>
        <v>1340078.7710085677</v>
      </c>
      <c r="AF31" s="30">
        <f t="shared" si="6"/>
        <v>14591.524751400648</v>
      </c>
      <c r="AG31" s="30">
        <f t="shared" si="7"/>
        <v>4303728.310228604</v>
      </c>
    </row>
    <row r="32" spans="1:33" ht="12.75">
      <c r="A32" s="15" t="s">
        <v>22</v>
      </c>
      <c r="B32" s="36">
        <f>'[1]PNW Existing Characteristics'!$F$18</f>
        <v>0.11108830806400877</v>
      </c>
      <c r="C32" s="37">
        <v>9</v>
      </c>
      <c r="D32" s="16">
        <f t="shared" si="2"/>
        <v>0.1111111111111111</v>
      </c>
      <c r="E32" s="9">
        <f t="shared" si="3"/>
        <v>397432.8404874787</v>
      </c>
      <c r="F32" s="9">
        <f t="shared" si="0"/>
        <v>44159.20449860874</v>
      </c>
      <c r="G32" s="9">
        <f t="shared" si="0"/>
        <v>44159.20449860874</v>
      </c>
      <c r="H32" s="9">
        <f t="shared" si="0"/>
        <v>44159.20449860874</v>
      </c>
      <c r="I32" s="9">
        <f t="shared" si="0"/>
        <v>44159.20449860874</v>
      </c>
      <c r="J32" s="9">
        <f t="shared" si="0"/>
        <v>44159.20449860874</v>
      </c>
      <c r="K32" s="9">
        <f t="shared" si="0"/>
        <v>44159.20449860874</v>
      </c>
      <c r="L32" s="9">
        <f t="shared" si="0"/>
        <v>44159.20449860874</v>
      </c>
      <c r="M32" s="9">
        <f t="shared" si="0"/>
        <v>44159.20449860874</v>
      </c>
      <c r="N32" s="9">
        <f t="shared" si="0"/>
        <v>44159.20449860874</v>
      </c>
      <c r="O32" s="9">
        <f t="shared" si="0"/>
        <v>0</v>
      </c>
      <c r="P32" s="9">
        <f t="shared" si="1"/>
        <v>0</v>
      </c>
      <c r="Q32" s="9">
        <f t="shared" si="1"/>
        <v>0</v>
      </c>
      <c r="R32" s="9">
        <f t="shared" si="1"/>
        <v>0</v>
      </c>
      <c r="S32" s="9">
        <f t="shared" si="1"/>
        <v>0</v>
      </c>
      <c r="T32" s="9">
        <f t="shared" si="1"/>
        <v>0</v>
      </c>
      <c r="U32" s="9">
        <f t="shared" si="1"/>
        <v>0</v>
      </c>
      <c r="V32" s="9">
        <f t="shared" si="1"/>
        <v>0</v>
      </c>
      <c r="W32" s="9">
        <f t="shared" si="1"/>
        <v>0</v>
      </c>
      <c r="X32" s="9">
        <f t="shared" si="1"/>
        <v>0</v>
      </c>
      <c r="Y32" s="9">
        <f t="shared" si="1"/>
        <v>0</v>
      </c>
      <c r="Z32" s="9">
        <f t="shared" si="1"/>
        <v>0</v>
      </c>
      <c r="AA32" s="9">
        <f t="shared" si="1"/>
        <v>0</v>
      </c>
      <c r="AB32" s="9">
        <f t="shared" si="1"/>
        <v>0</v>
      </c>
      <c r="AC32" s="9">
        <f t="shared" si="1"/>
        <v>0</v>
      </c>
      <c r="AD32" s="30">
        <f t="shared" si="4"/>
        <v>397432.84048747865</v>
      </c>
      <c r="AE32" s="30">
        <f t="shared" si="5"/>
        <v>180597.09569154307</v>
      </c>
      <c r="AF32" s="30">
        <f t="shared" si="6"/>
        <v>14098.048920594176</v>
      </c>
      <c r="AG32" s="30">
        <f t="shared" si="7"/>
        <v>592127.9850996159</v>
      </c>
    </row>
    <row r="33" spans="1:33" ht="12.75">
      <c r="A33" s="15" t="s">
        <v>25</v>
      </c>
      <c r="B33" s="36">
        <f>'Existing Space Heating Units'!B15</f>
        <v>0.22611176020100568</v>
      </c>
      <c r="C33" s="37">
        <v>18</v>
      </c>
      <c r="D33" s="16">
        <f t="shared" si="2"/>
        <v>0.05555555555555555</v>
      </c>
      <c r="E33" s="9">
        <f t="shared" si="3"/>
        <v>808944.1696468166</v>
      </c>
      <c r="F33" s="9">
        <f t="shared" si="0"/>
        <v>44941.342758156476</v>
      </c>
      <c r="G33" s="9">
        <f t="shared" si="0"/>
        <v>44941.342758156476</v>
      </c>
      <c r="H33" s="9">
        <f t="shared" si="0"/>
        <v>44941.342758156476</v>
      </c>
      <c r="I33" s="9">
        <f t="shared" si="0"/>
        <v>44941.342758156476</v>
      </c>
      <c r="J33" s="9">
        <f t="shared" si="0"/>
        <v>44941.342758156476</v>
      </c>
      <c r="K33" s="9">
        <f t="shared" si="0"/>
        <v>44941.342758156476</v>
      </c>
      <c r="L33" s="9">
        <f t="shared" si="0"/>
        <v>44941.342758156476</v>
      </c>
      <c r="M33" s="9">
        <f t="shared" si="0"/>
        <v>44941.342758156476</v>
      </c>
      <c r="N33" s="9">
        <f t="shared" si="0"/>
        <v>44941.342758156476</v>
      </c>
      <c r="O33" s="9">
        <f t="shared" si="0"/>
        <v>44941.342758156476</v>
      </c>
      <c r="P33" s="9">
        <f t="shared" si="1"/>
        <v>44941.342758156476</v>
      </c>
      <c r="Q33" s="9">
        <f t="shared" si="1"/>
        <v>44941.342758156476</v>
      </c>
      <c r="R33" s="9">
        <f t="shared" si="1"/>
        <v>44941.342758156476</v>
      </c>
      <c r="S33" s="9">
        <f t="shared" si="1"/>
        <v>44941.342758156476</v>
      </c>
      <c r="T33" s="9">
        <f t="shared" si="1"/>
        <v>44941.342758156476</v>
      </c>
      <c r="U33" s="9">
        <f t="shared" si="1"/>
        <v>44941.342758156476</v>
      </c>
      <c r="V33" s="9">
        <f t="shared" si="1"/>
        <v>44941.342758156476</v>
      </c>
      <c r="W33" s="9">
        <f t="shared" si="1"/>
        <v>44941.342758156476</v>
      </c>
      <c r="X33" s="9">
        <f t="shared" si="1"/>
        <v>0</v>
      </c>
      <c r="Y33" s="9">
        <f t="shared" si="1"/>
        <v>0</v>
      </c>
      <c r="Z33" s="9">
        <f t="shared" si="1"/>
        <v>0</v>
      </c>
      <c r="AA33" s="9">
        <f t="shared" si="1"/>
        <v>0</v>
      </c>
      <c r="AB33" s="9">
        <f t="shared" si="1"/>
        <v>0</v>
      </c>
      <c r="AC33" s="9">
        <f t="shared" si="1"/>
        <v>0</v>
      </c>
      <c r="AD33" s="30">
        <f t="shared" si="4"/>
        <v>808944.1696468166</v>
      </c>
      <c r="AE33" s="30">
        <f t="shared" si="5"/>
        <v>367591.58462000516</v>
      </c>
      <c r="AF33" s="30">
        <f t="shared" si="6"/>
        <v>6486.910631440367</v>
      </c>
      <c r="AG33" s="30">
        <f t="shared" si="7"/>
        <v>1183022.6648982621</v>
      </c>
    </row>
    <row r="34" spans="1:33" ht="12.75">
      <c r="A34" s="8"/>
      <c r="B34" s="16"/>
      <c r="C34" s="16"/>
      <c r="D34" s="16"/>
      <c r="E34" s="8"/>
      <c r="F34" s="8"/>
      <c r="G34" s="8"/>
      <c r="H34" s="8"/>
      <c r="I34" s="8"/>
      <c r="J34" s="8"/>
      <c r="K34" s="8"/>
      <c r="L34" s="8"/>
      <c r="M34" s="8"/>
      <c r="N34" s="8"/>
      <c r="O34" s="8"/>
      <c r="P34" s="8"/>
      <c r="Q34" s="8"/>
      <c r="R34" s="8"/>
      <c r="S34" s="8"/>
      <c r="T34" s="8"/>
      <c r="U34" s="8"/>
      <c r="V34" s="8"/>
      <c r="W34" s="8"/>
      <c r="X34" s="8"/>
      <c r="Y34" s="8"/>
      <c r="Z34" s="8"/>
      <c r="AA34" s="8"/>
      <c r="AB34" s="8"/>
      <c r="AC34" s="8"/>
      <c r="AD34" s="30"/>
      <c r="AE34" s="8"/>
      <c r="AF34" s="8"/>
      <c r="AG34" s="8"/>
    </row>
    <row r="35" spans="1:33" ht="25.5">
      <c r="A35" s="14" t="s">
        <v>65</v>
      </c>
      <c r="B35" s="16"/>
      <c r="C35" s="16"/>
      <c r="D35" s="16"/>
      <c r="E35" s="8"/>
      <c r="F35" s="8"/>
      <c r="G35" s="8"/>
      <c r="H35" s="8"/>
      <c r="I35" s="8"/>
      <c r="J35" s="8"/>
      <c r="K35" s="8"/>
      <c r="L35" s="8"/>
      <c r="M35" s="8"/>
      <c r="N35" s="8"/>
      <c r="O35" s="8"/>
      <c r="P35" s="8"/>
      <c r="Q35" s="8"/>
      <c r="R35" s="8"/>
      <c r="S35" s="8"/>
      <c r="T35" s="8"/>
      <c r="U35" s="8"/>
      <c r="V35" s="8"/>
      <c r="W35" s="8"/>
      <c r="X35" s="8"/>
      <c r="Y35" s="8"/>
      <c r="Z35" s="8"/>
      <c r="AA35" s="8"/>
      <c r="AB35" s="8"/>
      <c r="AC35" s="8"/>
      <c r="AD35" s="30"/>
      <c r="AE35" s="8"/>
      <c r="AF35" s="8"/>
      <c r="AG35" s="8"/>
    </row>
    <row r="36" spans="1:33" ht="12.75">
      <c r="A36" s="15" t="s">
        <v>14</v>
      </c>
      <c r="B36" s="36">
        <f aca="true" t="shared" si="8" ref="B36:B43">B25</f>
        <v>0.6380307253225443</v>
      </c>
      <c r="C36" s="37">
        <v>12</v>
      </c>
      <c r="D36" s="16">
        <f>1/C36</f>
        <v>0.08333333333333333</v>
      </c>
      <c r="E36" s="9">
        <f>B36*E$12</f>
        <v>486933.75092064077</v>
      </c>
      <c r="F36" s="9">
        <f aca="true" t="shared" si="9" ref="F36:O44">IF((F$23-$B$21)&lt;($C36+1),$D36*$E36,0)</f>
        <v>40577.81257672006</v>
      </c>
      <c r="G36" s="9">
        <f t="shared" si="9"/>
        <v>40577.81257672006</v>
      </c>
      <c r="H36" s="9">
        <f t="shared" si="9"/>
        <v>40577.81257672006</v>
      </c>
      <c r="I36" s="9">
        <f t="shared" si="9"/>
        <v>40577.81257672006</v>
      </c>
      <c r="J36" s="9">
        <f t="shared" si="9"/>
        <v>40577.81257672006</v>
      </c>
      <c r="K36" s="9">
        <f t="shared" si="9"/>
        <v>40577.81257672006</v>
      </c>
      <c r="L36" s="9">
        <f t="shared" si="9"/>
        <v>40577.81257672006</v>
      </c>
      <c r="M36" s="9">
        <f t="shared" si="9"/>
        <v>40577.81257672006</v>
      </c>
      <c r="N36" s="9">
        <f t="shared" si="9"/>
        <v>40577.81257672006</v>
      </c>
      <c r="O36" s="9">
        <f t="shared" si="9"/>
        <v>40577.81257672006</v>
      </c>
      <c r="P36" s="9">
        <f aca="true" t="shared" si="10" ref="P36:AC44">IF((P$23-$B$21)&lt;($C36+1),$D36*$E36,0)</f>
        <v>40577.81257672006</v>
      </c>
      <c r="Q36" s="9">
        <f t="shared" si="10"/>
        <v>40577.81257672006</v>
      </c>
      <c r="R36" s="9">
        <f t="shared" si="10"/>
        <v>0</v>
      </c>
      <c r="S36" s="9">
        <f t="shared" si="10"/>
        <v>0</v>
      </c>
      <c r="T36" s="9">
        <f t="shared" si="10"/>
        <v>0</v>
      </c>
      <c r="U36" s="9">
        <f t="shared" si="10"/>
        <v>0</v>
      </c>
      <c r="V36" s="9">
        <f t="shared" si="10"/>
        <v>0</v>
      </c>
      <c r="W36" s="9">
        <f t="shared" si="10"/>
        <v>0</v>
      </c>
      <c r="X36" s="9">
        <f t="shared" si="10"/>
        <v>0</v>
      </c>
      <c r="Y36" s="9">
        <f t="shared" si="10"/>
        <v>0</v>
      </c>
      <c r="Z36" s="9">
        <f t="shared" si="10"/>
        <v>0</v>
      </c>
      <c r="AA36" s="9">
        <f t="shared" si="10"/>
        <v>0</v>
      </c>
      <c r="AB36" s="9">
        <f t="shared" si="10"/>
        <v>0</v>
      </c>
      <c r="AC36" s="9">
        <f t="shared" si="10"/>
        <v>0</v>
      </c>
      <c r="AD36" s="30">
        <f t="shared" si="4"/>
        <v>486933.7509206408</v>
      </c>
      <c r="AE36" s="30">
        <f>AD72</f>
        <v>309399.3601344985</v>
      </c>
      <c r="AF36" s="30">
        <f>AD107</f>
        <v>13481.193397928024</v>
      </c>
      <c r="AG36" s="30">
        <f>SUM(AD36:AF36)</f>
        <v>809814.3044530674</v>
      </c>
    </row>
    <row r="37" spans="1:33" ht="12.75">
      <c r="A37" s="15" t="s">
        <v>15</v>
      </c>
      <c r="B37" s="36">
        <f t="shared" si="8"/>
        <v>1.1204469504317132</v>
      </c>
      <c r="C37" s="37">
        <v>19</v>
      </c>
      <c r="D37" s="16">
        <f aca="true" t="shared" si="11" ref="D37:D44">1/C37</f>
        <v>0.05263157894736842</v>
      </c>
      <c r="E37" s="9">
        <f aca="true" t="shared" si="12" ref="E37:E44">B37*E$12</f>
        <v>855105.2709969382</v>
      </c>
      <c r="F37" s="9">
        <f t="shared" si="9"/>
        <v>45005.54057878622</v>
      </c>
      <c r="G37" s="9">
        <f t="shared" si="9"/>
        <v>45005.54057878622</v>
      </c>
      <c r="H37" s="9">
        <f t="shared" si="9"/>
        <v>45005.54057878622</v>
      </c>
      <c r="I37" s="9">
        <f t="shared" si="9"/>
        <v>45005.54057878622</v>
      </c>
      <c r="J37" s="9">
        <f t="shared" si="9"/>
        <v>45005.54057878622</v>
      </c>
      <c r="K37" s="9">
        <f t="shared" si="9"/>
        <v>45005.54057878622</v>
      </c>
      <c r="L37" s="9">
        <f t="shared" si="9"/>
        <v>45005.54057878622</v>
      </c>
      <c r="M37" s="9">
        <f t="shared" si="9"/>
        <v>45005.54057878622</v>
      </c>
      <c r="N37" s="9">
        <f t="shared" si="9"/>
        <v>45005.54057878622</v>
      </c>
      <c r="O37" s="9">
        <f t="shared" si="9"/>
        <v>45005.54057878622</v>
      </c>
      <c r="P37" s="9">
        <f t="shared" si="10"/>
        <v>45005.54057878622</v>
      </c>
      <c r="Q37" s="9">
        <f t="shared" si="10"/>
        <v>45005.54057878622</v>
      </c>
      <c r="R37" s="9">
        <f t="shared" si="10"/>
        <v>45005.54057878622</v>
      </c>
      <c r="S37" s="9">
        <f t="shared" si="10"/>
        <v>45005.54057878622</v>
      </c>
      <c r="T37" s="9">
        <f t="shared" si="10"/>
        <v>45005.54057878622</v>
      </c>
      <c r="U37" s="9">
        <f t="shared" si="10"/>
        <v>45005.54057878622</v>
      </c>
      <c r="V37" s="9">
        <f t="shared" si="10"/>
        <v>45005.54057878622</v>
      </c>
      <c r="W37" s="9">
        <f t="shared" si="10"/>
        <v>45005.54057878622</v>
      </c>
      <c r="X37" s="9">
        <f t="shared" si="10"/>
        <v>45005.54057878622</v>
      </c>
      <c r="Y37" s="9">
        <f t="shared" si="10"/>
        <v>0</v>
      </c>
      <c r="Z37" s="9">
        <f t="shared" si="10"/>
        <v>0</v>
      </c>
      <c r="AA37" s="9">
        <f t="shared" si="10"/>
        <v>0</v>
      </c>
      <c r="AB37" s="9">
        <f t="shared" si="10"/>
        <v>0</v>
      </c>
      <c r="AC37" s="9">
        <f t="shared" si="10"/>
        <v>0</v>
      </c>
      <c r="AD37" s="30">
        <f t="shared" si="4"/>
        <v>855105.2709969378</v>
      </c>
      <c r="AE37" s="30">
        <f aca="true" t="shared" si="13" ref="AE37:AE44">AD73</f>
        <v>543336.7951879933</v>
      </c>
      <c r="AF37" s="30">
        <f aca="true" t="shared" si="14" ref="AF37:AF44">AD108</f>
        <v>6396.800518855003</v>
      </c>
      <c r="AG37" s="30">
        <f aca="true" t="shared" si="15" ref="AG37:AG44">SUM(AD37:AF37)</f>
        <v>1404838.866703786</v>
      </c>
    </row>
    <row r="38" spans="1:33" ht="12.75">
      <c r="A38" s="15" t="s">
        <v>16</v>
      </c>
      <c r="B38" s="36">
        <f t="shared" si="8"/>
        <v>0.5673737735173195</v>
      </c>
      <c r="C38" s="37">
        <v>22</v>
      </c>
      <c r="D38" s="16">
        <f t="shared" si="11"/>
        <v>0.045454545454545456</v>
      </c>
      <c r="E38" s="9">
        <f t="shared" si="12"/>
        <v>433009.6165402093</v>
      </c>
      <c r="F38" s="9">
        <f t="shared" si="9"/>
        <v>19682.25529728224</v>
      </c>
      <c r="G38" s="9">
        <f t="shared" si="9"/>
        <v>19682.25529728224</v>
      </c>
      <c r="H38" s="9">
        <f t="shared" si="9"/>
        <v>19682.25529728224</v>
      </c>
      <c r="I38" s="9">
        <f t="shared" si="9"/>
        <v>19682.25529728224</v>
      </c>
      <c r="J38" s="9">
        <f t="shared" si="9"/>
        <v>19682.25529728224</v>
      </c>
      <c r="K38" s="9">
        <f t="shared" si="9"/>
        <v>19682.25529728224</v>
      </c>
      <c r="L38" s="9">
        <f t="shared" si="9"/>
        <v>19682.25529728224</v>
      </c>
      <c r="M38" s="9">
        <f t="shared" si="9"/>
        <v>19682.25529728224</v>
      </c>
      <c r="N38" s="9">
        <f t="shared" si="9"/>
        <v>19682.25529728224</v>
      </c>
      <c r="O38" s="9">
        <f t="shared" si="9"/>
        <v>19682.25529728224</v>
      </c>
      <c r="P38" s="9">
        <f t="shared" si="10"/>
        <v>19682.25529728224</v>
      </c>
      <c r="Q38" s="9">
        <f t="shared" si="10"/>
        <v>19682.25529728224</v>
      </c>
      <c r="R38" s="9">
        <f t="shared" si="10"/>
        <v>19682.25529728224</v>
      </c>
      <c r="S38" s="9">
        <f t="shared" si="10"/>
        <v>19682.25529728224</v>
      </c>
      <c r="T38" s="9">
        <f t="shared" si="10"/>
        <v>19682.25529728224</v>
      </c>
      <c r="U38" s="9">
        <f t="shared" si="10"/>
        <v>19682.25529728224</v>
      </c>
      <c r="V38" s="9">
        <f t="shared" si="10"/>
        <v>19682.25529728224</v>
      </c>
      <c r="W38" s="9">
        <f t="shared" si="10"/>
        <v>19682.25529728224</v>
      </c>
      <c r="X38" s="9">
        <f t="shared" si="10"/>
        <v>19682.25529728224</v>
      </c>
      <c r="Y38" s="9">
        <f t="shared" si="10"/>
        <v>19682.25529728224</v>
      </c>
      <c r="Z38" s="9">
        <f t="shared" si="10"/>
        <v>19682.25529728224</v>
      </c>
      <c r="AA38" s="9">
        <f t="shared" si="10"/>
        <v>19682.25529728224</v>
      </c>
      <c r="AB38" s="9">
        <f t="shared" si="10"/>
        <v>0</v>
      </c>
      <c r="AC38" s="9">
        <f t="shared" si="10"/>
        <v>0</v>
      </c>
      <c r="AD38" s="30">
        <f t="shared" si="4"/>
        <v>433009.61654020933</v>
      </c>
      <c r="AE38" s="30">
        <f t="shared" si="13"/>
        <v>275135.78189296613</v>
      </c>
      <c r="AF38" s="30">
        <f t="shared" si="14"/>
        <v>1131.8223495920886</v>
      </c>
      <c r="AG38" s="30">
        <f t="shared" si="15"/>
        <v>709277.2207827675</v>
      </c>
    </row>
    <row r="39" spans="1:33" ht="12.75">
      <c r="A39" s="15" t="s">
        <v>17</v>
      </c>
      <c r="B39" s="36">
        <f t="shared" si="8"/>
        <v>0.8468925125391364</v>
      </c>
      <c r="C39" s="37">
        <v>14</v>
      </c>
      <c r="D39" s="16">
        <f t="shared" si="11"/>
        <v>0.07142857142857142</v>
      </c>
      <c r="E39" s="9">
        <f t="shared" si="12"/>
        <v>646333.368269712</v>
      </c>
      <c r="F39" s="9">
        <f t="shared" si="9"/>
        <v>46166.66916212228</v>
      </c>
      <c r="G39" s="9">
        <f t="shared" si="9"/>
        <v>46166.66916212228</v>
      </c>
      <c r="H39" s="9">
        <f t="shared" si="9"/>
        <v>46166.66916212228</v>
      </c>
      <c r="I39" s="9">
        <f t="shared" si="9"/>
        <v>46166.66916212228</v>
      </c>
      <c r="J39" s="9">
        <f t="shared" si="9"/>
        <v>46166.66916212228</v>
      </c>
      <c r="K39" s="9">
        <f t="shared" si="9"/>
        <v>46166.66916212228</v>
      </c>
      <c r="L39" s="9">
        <f t="shared" si="9"/>
        <v>46166.66916212228</v>
      </c>
      <c r="M39" s="9">
        <f t="shared" si="9"/>
        <v>46166.66916212228</v>
      </c>
      <c r="N39" s="9">
        <f t="shared" si="9"/>
        <v>46166.66916212228</v>
      </c>
      <c r="O39" s="9">
        <f t="shared" si="9"/>
        <v>46166.66916212228</v>
      </c>
      <c r="P39" s="9">
        <f t="shared" si="10"/>
        <v>46166.66916212228</v>
      </c>
      <c r="Q39" s="9">
        <f t="shared" si="10"/>
        <v>46166.66916212228</v>
      </c>
      <c r="R39" s="9">
        <f t="shared" si="10"/>
        <v>46166.66916212228</v>
      </c>
      <c r="S39" s="9">
        <f t="shared" si="10"/>
        <v>46166.66916212228</v>
      </c>
      <c r="T39" s="9">
        <f t="shared" si="10"/>
        <v>0</v>
      </c>
      <c r="U39" s="9">
        <f t="shared" si="10"/>
        <v>0</v>
      </c>
      <c r="V39" s="9">
        <f t="shared" si="10"/>
        <v>0</v>
      </c>
      <c r="W39" s="9">
        <f t="shared" si="10"/>
        <v>0</v>
      </c>
      <c r="X39" s="9">
        <f t="shared" si="10"/>
        <v>0</v>
      </c>
      <c r="Y39" s="9">
        <f t="shared" si="10"/>
        <v>0</v>
      </c>
      <c r="Z39" s="9">
        <f t="shared" si="10"/>
        <v>0</v>
      </c>
      <c r="AA39" s="9">
        <f t="shared" si="10"/>
        <v>0</v>
      </c>
      <c r="AB39" s="9">
        <f t="shared" si="10"/>
        <v>0</v>
      </c>
      <c r="AC39" s="9">
        <f t="shared" si="10"/>
        <v>0</v>
      </c>
      <c r="AD39" s="30">
        <f t="shared" si="4"/>
        <v>646333.3682697121</v>
      </c>
      <c r="AE39" s="30">
        <f t="shared" si="13"/>
        <v>410682.418703023</v>
      </c>
      <c r="AF39" s="30">
        <f t="shared" si="14"/>
        <v>12878.140323210606</v>
      </c>
      <c r="AG39" s="30">
        <f t="shared" si="15"/>
        <v>1069893.9272959456</v>
      </c>
    </row>
    <row r="40" spans="1:33" ht="12.75">
      <c r="A40" s="15" t="s">
        <v>18</v>
      </c>
      <c r="B40" s="36">
        <f t="shared" si="8"/>
        <v>0.8208495645747469</v>
      </c>
      <c r="C40" s="37">
        <v>14</v>
      </c>
      <c r="D40" s="16">
        <f t="shared" si="11"/>
        <v>0.07142857142857142</v>
      </c>
      <c r="E40" s="9">
        <f t="shared" si="12"/>
        <v>626457.8515680351</v>
      </c>
      <c r="F40" s="9">
        <f t="shared" si="9"/>
        <v>44746.98939771679</v>
      </c>
      <c r="G40" s="9">
        <f t="shared" si="9"/>
        <v>44746.98939771679</v>
      </c>
      <c r="H40" s="9">
        <f t="shared" si="9"/>
        <v>44746.98939771679</v>
      </c>
      <c r="I40" s="9">
        <f t="shared" si="9"/>
        <v>44746.98939771679</v>
      </c>
      <c r="J40" s="9">
        <f t="shared" si="9"/>
        <v>44746.98939771679</v>
      </c>
      <c r="K40" s="9">
        <f t="shared" si="9"/>
        <v>44746.98939771679</v>
      </c>
      <c r="L40" s="9">
        <f t="shared" si="9"/>
        <v>44746.98939771679</v>
      </c>
      <c r="M40" s="9">
        <f t="shared" si="9"/>
        <v>44746.98939771679</v>
      </c>
      <c r="N40" s="9">
        <f t="shared" si="9"/>
        <v>44746.98939771679</v>
      </c>
      <c r="O40" s="9">
        <f t="shared" si="9"/>
        <v>44746.98939771679</v>
      </c>
      <c r="P40" s="9">
        <f t="shared" si="10"/>
        <v>44746.98939771679</v>
      </c>
      <c r="Q40" s="9">
        <f t="shared" si="10"/>
        <v>44746.98939771679</v>
      </c>
      <c r="R40" s="9">
        <f t="shared" si="10"/>
        <v>44746.98939771679</v>
      </c>
      <c r="S40" s="9">
        <f t="shared" si="10"/>
        <v>44746.98939771679</v>
      </c>
      <c r="T40" s="9">
        <f t="shared" si="10"/>
        <v>0</v>
      </c>
      <c r="U40" s="9">
        <f t="shared" si="10"/>
        <v>0</v>
      </c>
      <c r="V40" s="9">
        <f t="shared" si="10"/>
        <v>0</v>
      </c>
      <c r="W40" s="9">
        <f t="shared" si="10"/>
        <v>0</v>
      </c>
      <c r="X40" s="9">
        <f t="shared" si="10"/>
        <v>0</v>
      </c>
      <c r="Y40" s="9">
        <f t="shared" si="10"/>
        <v>0</v>
      </c>
      <c r="Z40" s="9">
        <f t="shared" si="10"/>
        <v>0</v>
      </c>
      <c r="AA40" s="9">
        <f t="shared" si="10"/>
        <v>0</v>
      </c>
      <c r="AB40" s="9">
        <f t="shared" si="10"/>
        <v>0</v>
      </c>
      <c r="AC40" s="9">
        <f t="shared" si="10"/>
        <v>0</v>
      </c>
      <c r="AD40" s="30">
        <f t="shared" si="4"/>
        <v>626457.851568035</v>
      </c>
      <c r="AE40" s="30">
        <f t="shared" si="13"/>
        <v>398053.44784566364</v>
      </c>
      <c r="AF40" s="30">
        <f t="shared" si="14"/>
        <v>12482.122253207914</v>
      </c>
      <c r="AG40" s="30">
        <f t="shared" si="15"/>
        <v>1036993.4216669066</v>
      </c>
    </row>
    <row r="41" spans="1:33" ht="12.75">
      <c r="A41" s="15" t="s">
        <v>19</v>
      </c>
      <c r="B41" s="36">
        <f t="shared" si="8"/>
        <v>0.6715984668883408</v>
      </c>
      <c r="C41" s="37">
        <v>9</v>
      </c>
      <c r="D41" s="16">
        <f t="shared" si="11"/>
        <v>0.1111111111111111</v>
      </c>
      <c r="E41" s="9">
        <f t="shared" si="12"/>
        <v>512552.056845179</v>
      </c>
      <c r="F41" s="9">
        <f t="shared" si="9"/>
        <v>56950.22853835322</v>
      </c>
      <c r="G41" s="9">
        <f t="shared" si="9"/>
        <v>56950.22853835322</v>
      </c>
      <c r="H41" s="9">
        <f t="shared" si="9"/>
        <v>56950.22853835322</v>
      </c>
      <c r="I41" s="9">
        <f t="shared" si="9"/>
        <v>56950.22853835322</v>
      </c>
      <c r="J41" s="9">
        <f t="shared" si="9"/>
        <v>56950.22853835322</v>
      </c>
      <c r="K41" s="9">
        <f t="shared" si="9"/>
        <v>56950.22853835322</v>
      </c>
      <c r="L41" s="9">
        <f t="shared" si="9"/>
        <v>56950.22853835322</v>
      </c>
      <c r="M41" s="9">
        <f t="shared" si="9"/>
        <v>56950.22853835322</v>
      </c>
      <c r="N41" s="9">
        <f t="shared" si="9"/>
        <v>56950.22853835322</v>
      </c>
      <c r="O41" s="9">
        <f t="shared" si="9"/>
        <v>0</v>
      </c>
      <c r="P41" s="9">
        <f t="shared" si="10"/>
        <v>0</v>
      </c>
      <c r="Q41" s="9">
        <f t="shared" si="10"/>
        <v>0</v>
      </c>
      <c r="R41" s="9">
        <f t="shared" si="10"/>
        <v>0</v>
      </c>
      <c r="S41" s="9">
        <f t="shared" si="10"/>
        <v>0</v>
      </c>
      <c r="T41" s="9">
        <f t="shared" si="10"/>
        <v>0</v>
      </c>
      <c r="U41" s="9">
        <f t="shared" si="10"/>
        <v>0</v>
      </c>
      <c r="V41" s="9">
        <f t="shared" si="10"/>
        <v>0</v>
      </c>
      <c r="W41" s="9">
        <f t="shared" si="10"/>
        <v>0</v>
      </c>
      <c r="X41" s="9">
        <f t="shared" si="10"/>
        <v>0</v>
      </c>
      <c r="Y41" s="9">
        <f t="shared" si="10"/>
        <v>0</v>
      </c>
      <c r="Z41" s="9">
        <f t="shared" si="10"/>
        <v>0</v>
      </c>
      <c r="AA41" s="9">
        <f t="shared" si="10"/>
        <v>0</v>
      </c>
      <c r="AB41" s="9">
        <f t="shared" si="10"/>
        <v>0</v>
      </c>
      <c r="AC41" s="9">
        <f t="shared" si="10"/>
        <v>0</v>
      </c>
      <c r="AD41" s="30">
        <f t="shared" si="4"/>
        <v>512552.056845179</v>
      </c>
      <c r="AE41" s="30">
        <f t="shared" si="13"/>
        <v>325677.3187804043</v>
      </c>
      <c r="AF41" s="30">
        <f t="shared" si="14"/>
        <v>23386.31259338517</v>
      </c>
      <c r="AG41" s="30">
        <f t="shared" si="15"/>
        <v>861615.6882189685</v>
      </c>
    </row>
    <row r="42" spans="1:33" ht="12.75">
      <c r="A42" s="15" t="s">
        <v>20</v>
      </c>
      <c r="B42" s="36">
        <f t="shared" si="8"/>
        <v>0.8243049688800121</v>
      </c>
      <c r="C42" s="37">
        <v>20</v>
      </c>
      <c r="D42" s="16">
        <f t="shared" si="11"/>
        <v>0.05</v>
      </c>
      <c r="E42" s="9">
        <f t="shared" si="12"/>
        <v>629094.9549433617</v>
      </c>
      <c r="F42" s="9">
        <f t="shared" si="9"/>
        <v>31454.747747168087</v>
      </c>
      <c r="G42" s="9">
        <f t="shared" si="9"/>
        <v>31454.747747168087</v>
      </c>
      <c r="H42" s="9">
        <f t="shared" si="9"/>
        <v>31454.747747168087</v>
      </c>
      <c r="I42" s="9">
        <f t="shared" si="9"/>
        <v>31454.747747168087</v>
      </c>
      <c r="J42" s="9">
        <f t="shared" si="9"/>
        <v>31454.747747168087</v>
      </c>
      <c r="K42" s="9">
        <f t="shared" si="9"/>
        <v>31454.747747168087</v>
      </c>
      <c r="L42" s="9">
        <f t="shared" si="9"/>
        <v>31454.747747168087</v>
      </c>
      <c r="M42" s="9">
        <f t="shared" si="9"/>
        <v>31454.747747168087</v>
      </c>
      <c r="N42" s="9">
        <f t="shared" si="9"/>
        <v>31454.747747168087</v>
      </c>
      <c r="O42" s="9">
        <f t="shared" si="9"/>
        <v>31454.747747168087</v>
      </c>
      <c r="P42" s="9">
        <f t="shared" si="10"/>
        <v>31454.747747168087</v>
      </c>
      <c r="Q42" s="9">
        <f t="shared" si="10"/>
        <v>31454.747747168087</v>
      </c>
      <c r="R42" s="9">
        <f t="shared" si="10"/>
        <v>31454.747747168087</v>
      </c>
      <c r="S42" s="9">
        <f t="shared" si="10"/>
        <v>31454.747747168087</v>
      </c>
      <c r="T42" s="9">
        <f t="shared" si="10"/>
        <v>31454.747747168087</v>
      </c>
      <c r="U42" s="9">
        <f t="shared" si="10"/>
        <v>31454.747747168087</v>
      </c>
      <c r="V42" s="9">
        <f t="shared" si="10"/>
        <v>31454.747747168087</v>
      </c>
      <c r="W42" s="9">
        <f t="shared" si="10"/>
        <v>31454.747747168087</v>
      </c>
      <c r="X42" s="9">
        <f t="shared" si="10"/>
        <v>31454.747747168087</v>
      </c>
      <c r="Y42" s="9">
        <f t="shared" si="10"/>
        <v>31454.747747168087</v>
      </c>
      <c r="Z42" s="9">
        <f t="shared" si="10"/>
        <v>0</v>
      </c>
      <c r="AA42" s="9">
        <f t="shared" si="10"/>
        <v>0</v>
      </c>
      <c r="AB42" s="9">
        <f t="shared" si="10"/>
        <v>0</v>
      </c>
      <c r="AC42" s="9">
        <f t="shared" si="10"/>
        <v>0</v>
      </c>
      <c r="AD42" s="30">
        <f t="shared" si="4"/>
        <v>629094.9549433615</v>
      </c>
      <c r="AE42" s="30">
        <f t="shared" si="13"/>
        <v>399729.07229229936</v>
      </c>
      <c r="AF42" s="30">
        <f t="shared" si="14"/>
        <v>3590.2093718001474</v>
      </c>
      <c r="AG42" s="30">
        <f t="shared" si="15"/>
        <v>1032414.236607461</v>
      </c>
    </row>
    <row r="43" spans="1:33" ht="12.75">
      <c r="A43" s="15" t="s">
        <v>22</v>
      </c>
      <c r="B43" s="36">
        <f t="shared" si="8"/>
        <v>0.11108830806400877</v>
      </c>
      <c r="C43" s="37">
        <v>9</v>
      </c>
      <c r="D43" s="16">
        <f t="shared" si="11"/>
        <v>0.1111111111111111</v>
      </c>
      <c r="E43" s="9">
        <f t="shared" si="12"/>
        <v>84780.62949349335</v>
      </c>
      <c r="F43" s="9">
        <f t="shared" si="9"/>
        <v>9420.069943721483</v>
      </c>
      <c r="G43" s="9">
        <f t="shared" si="9"/>
        <v>9420.069943721483</v>
      </c>
      <c r="H43" s="9">
        <f t="shared" si="9"/>
        <v>9420.069943721483</v>
      </c>
      <c r="I43" s="9">
        <f t="shared" si="9"/>
        <v>9420.069943721483</v>
      </c>
      <c r="J43" s="9">
        <f t="shared" si="9"/>
        <v>9420.069943721483</v>
      </c>
      <c r="K43" s="9">
        <f t="shared" si="9"/>
        <v>9420.069943721483</v>
      </c>
      <c r="L43" s="9">
        <f t="shared" si="9"/>
        <v>9420.069943721483</v>
      </c>
      <c r="M43" s="9">
        <f t="shared" si="9"/>
        <v>9420.069943721483</v>
      </c>
      <c r="N43" s="9">
        <f t="shared" si="9"/>
        <v>9420.069943721483</v>
      </c>
      <c r="O43" s="9">
        <f t="shared" si="9"/>
        <v>0</v>
      </c>
      <c r="P43" s="9">
        <f t="shared" si="10"/>
        <v>0</v>
      </c>
      <c r="Q43" s="9">
        <f t="shared" si="10"/>
        <v>0</v>
      </c>
      <c r="R43" s="9">
        <f t="shared" si="10"/>
        <v>0</v>
      </c>
      <c r="S43" s="9">
        <f t="shared" si="10"/>
        <v>0</v>
      </c>
      <c r="T43" s="9">
        <f t="shared" si="10"/>
        <v>0</v>
      </c>
      <c r="U43" s="9">
        <f t="shared" si="10"/>
        <v>0</v>
      </c>
      <c r="V43" s="9">
        <f t="shared" si="10"/>
        <v>0</v>
      </c>
      <c r="W43" s="9">
        <f t="shared" si="10"/>
        <v>0</v>
      </c>
      <c r="X43" s="9">
        <f t="shared" si="10"/>
        <v>0</v>
      </c>
      <c r="Y43" s="9">
        <f t="shared" si="10"/>
        <v>0</v>
      </c>
      <c r="Z43" s="9">
        <f t="shared" si="10"/>
        <v>0</v>
      </c>
      <c r="AA43" s="9">
        <f t="shared" si="10"/>
        <v>0</v>
      </c>
      <c r="AB43" s="9">
        <f t="shared" si="10"/>
        <v>0</v>
      </c>
      <c r="AC43" s="9">
        <f t="shared" si="10"/>
        <v>0</v>
      </c>
      <c r="AD43" s="30">
        <f t="shared" si="4"/>
        <v>84780.62949349332</v>
      </c>
      <c r="AE43" s="30">
        <f t="shared" si="13"/>
        <v>53869.900099329745</v>
      </c>
      <c r="AF43" s="30">
        <f t="shared" si="14"/>
        <v>3868.3023055308886</v>
      </c>
      <c r="AG43" s="30">
        <f t="shared" si="15"/>
        <v>142518.83189835396</v>
      </c>
    </row>
    <row r="44" spans="1:33" ht="12.75">
      <c r="A44" s="15" t="s">
        <v>25</v>
      </c>
      <c r="B44" s="36">
        <f>'Existing Space Heating Units'!B28</f>
        <v>0.1</v>
      </c>
      <c r="C44" s="37">
        <v>18</v>
      </c>
      <c r="D44" s="16">
        <f t="shared" si="11"/>
        <v>0.05555555555555555</v>
      </c>
      <c r="E44" s="9">
        <f t="shared" si="12"/>
        <v>76318.22913770817</v>
      </c>
      <c r="F44" s="9">
        <f t="shared" si="9"/>
        <v>4239.901618761565</v>
      </c>
      <c r="G44" s="9">
        <f t="shared" si="9"/>
        <v>4239.901618761565</v>
      </c>
      <c r="H44" s="9">
        <f t="shared" si="9"/>
        <v>4239.901618761565</v>
      </c>
      <c r="I44" s="9">
        <f t="shared" si="9"/>
        <v>4239.901618761565</v>
      </c>
      <c r="J44" s="9">
        <f t="shared" si="9"/>
        <v>4239.901618761565</v>
      </c>
      <c r="K44" s="9">
        <f t="shared" si="9"/>
        <v>4239.901618761565</v>
      </c>
      <c r="L44" s="9">
        <f t="shared" si="9"/>
        <v>4239.901618761565</v>
      </c>
      <c r="M44" s="9">
        <f t="shared" si="9"/>
        <v>4239.901618761565</v>
      </c>
      <c r="N44" s="9">
        <f t="shared" si="9"/>
        <v>4239.901618761565</v>
      </c>
      <c r="O44" s="9">
        <f t="shared" si="9"/>
        <v>4239.901618761565</v>
      </c>
      <c r="P44" s="9">
        <f t="shared" si="10"/>
        <v>4239.901618761565</v>
      </c>
      <c r="Q44" s="9">
        <f t="shared" si="10"/>
        <v>4239.901618761565</v>
      </c>
      <c r="R44" s="9">
        <f t="shared" si="10"/>
        <v>4239.901618761565</v>
      </c>
      <c r="S44" s="9">
        <f t="shared" si="10"/>
        <v>4239.901618761565</v>
      </c>
      <c r="T44" s="9">
        <f t="shared" si="10"/>
        <v>4239.901618761565</v>
      </c>
      <c r="U44" s="9">
        <f t="shared" si="10"/>
        <v>4239.901618761565</v>
      </c>
      <c r="V44" s="9">
        <f t="shared" si="10"/>
        <v>4239.901618761565</v>
      </c>
      <c r="W44" s="9">
        <f t="shared" si="10"/>
        <v>4239.901618761565</v>
      </c>
      <c r="X44" s="9">
        <f t="shared" si="10"/>
        <v>0</v>
      </c>
      <c r="Y44" s="9">
        <f t="shared" si="10"/>
        <v>0</v>
      </c>
      <c r="Z44" s="9">
        <f t="shared" si="10"/>
        <v>0</v>
      </c>
      <c r="AA44" s="9">
        <f t="shared" si="10"/>
        <v>0</v>
      </c>
      <c r="AB44" s="9">
        <f t="shared" si="10"/>
        <v>0</v>
      </c>
      <c r="AC44" s="9">
        <f t="shared" si="10"/>
        <v>0</v>
      </c>
      <c r="AD44" s="30">
        <f t="shared" si="4"/>
        <v>76318.22913770816</v>
      </c>
      <c r="AE44" s="30">
        <f t="shared" si="13"/>
        <v>48492.86215457531</v>
      </c>
      <c r="AF44" s="30">
        <f t="shared" si="14"/>
        <v>720.4257021380015</v>
      </c>
      <c r="AG44" s="30">
        <f t="shared" si="15"/>
        <v>125531.51699442147</v>
      </c>
    </row>
    <row r="45" spans="1:33" ht="12.75">
      <c r="A45" s="15"/>
      <c r="B45" s="16"/>
      <c r="C45" s="8"/>
      <c r="D45" s="16"/>
      <c r="E45" s="8"/>
      <c r="F45" s="8"/>
      <c r="G45" s="8"/>
      <c r="H45" s="8"/>
      <c r="I45" s="8"/>
      <c r="J45" s="8"/>
      <c r="K45" s="8"/>
      <c r="L45" s="8"/>
      <c r="M45" s="8"/>
      <c r="N45" s="8"/>
      <c r="O45" s="8"/>
      <c r="P45" s="8"/>
      <c r="Q45" s="8"/>
      <c r="R45" s="8"/>
      <c r="S45" s="8"/>
      <c r="T45" s="8"/>
      <c r="U45" s="8"/>
      <c r="V45" s="8"/>
      <c r="W45" s="8"/>
      <c r="X45" s="8"/>
      <c r="Y45" s="8"/>
      <c r="Z45" s="8"/>
      <c r="AA45" s="8"/>
      <c r="AB45" s="8"/>
      <c r="AC45" s="8"/>
      <c r="AD45" s="30"/>
      <c r="AE45" s="8"/>
      <c r="AF45" s="8"/>
      <c r="AG45" s="8"/>
    </row>
    <row r="46" spans="1:33" ht="24.75" customHeight="1">
      <c r="A46" s="14" t="s">
        <v>11</v>
      </c>
      <c r="B46" s="16"/>
      <c r="C46" s="16"/>
      <c r="D46" s="16"/>
      <c r="E46" s="8"/>
      <c r="F46" s="8"/>
      <c r="G46" s="8"/>
      <c r="H46" s="8"/>
      <c r="I46" s="8"/>
      <c r="J46" s="8"/>
      <c r="K46" s="8"/>
      <c r="L46" s="8"/>
      <c r="M46" s="8"/>
      <c r="N46" s="8"/>
      <c r="O46" s="8"/>
      <c r="P46" s="8"/>
      <c r="Q46" s="8"/>
      <c r="R46" s="8"/>
      <c r="S46" s="8"/>
      <c r="T46" s="8"/>
      <c r="U46" s="8"/>
      <c r="V46" s="8"/>
      <c r="W46" s="8"/>
      <c r="X46" s="8"/>
      <c r="Y46" s="8"/>
      <c r="Z46" s="8"/>
      <c r="AA46" s="8"/>
      <c r="AB46" s="8"/>
      <c r="AC46" s="8"/>
      <c r="AD46" s="30"/>
      <c r="AE46" s="8"/>
      <c r="AF46" s="8"/>
      <c r="AG46" s="8"/>
    </row>
    <row r="47" spans="1:33" ht="12.75">
      <c r="A47" s="15" t="s">
        <v>14</v>
      </c>
      <c r="B47" s="36">
        <f aca="true" t="shared" si="16" ref="B47:B54">B36</f>
        <v>0.6380307253225443</v>
      </c>
      <c r="C47" s="37">
        <v>12</v>
      </c>
      <c r="D47" s="16">
        <f>1/C47</f>
        <v>0.08333333333333333</v>
      </c>
      <c r="E47" s="9">
        <f>B47*E$13</f>
        <v>290109.1098312667</v>
      </c>
      <c r="F47" s="9">
        <f aca="true" t="shared" si="17" ref="F47:O55">IF((F$23-$B$21)&lt;($C47+1),$D47*$E47,0)</f>
        <v>24175.759152605555</v>
      </c>
      <c r="G47" s="9">
        <f t="shared" si="17"/>
        <v>24175.759152605555</v>
      </c>
      <c r="H47" s="9">
        <f t="shared" si="17"/>
        <v>24175.759152605555</v>
      </c>
      <c r="I47" s="9">
        <f t="shared" si="17"/>
        <v>24175.759152605555</v>
      </c>
      <c r="J47" s="9">
        <f t="shared" si="17"/>
        <v>24175.759152605555</v>
      </c>
      <c r="K47" s="9">
        <f t="shared" si="17"/>
        <v>24175.759152605555</v>
      </c>
      <c r="L47" s="9">
        <f t="shared" si="17"/>
        <v>24175.759152605555</v>
      </c>
      <c r="M47" s="9">
        <f t="shared" si="17"/>
        <v>24175.759152605555</v>
      </c>
      <c r="N47" s="9">
        <f t="shared" si="17"/>
        <v>24175.759152605555</v>
      </c>
      <c r="O47" s="9">
        <f t="shared" si="17"/>
        <v>24175.759152605555</v>
      </c>
      <c r="P47" s="9">
        <f aca="true" t="shared" si="18" ref="P47:AC55">IF((P$23-$B$21)&lt;($C47+1),$D47*$E47,0)</f>
        <v>24175.759152605555</v>
      </c>
      <c r="Q47" s="9">
        <f t="shared" si="18"/>
        <v>24175.759152605555</v>
      </c>
      <c r="R47" s="9">
        <f t="shared" si="18"/>
        <v>0</v>
      </c>
      <c r="S47" s="9">
        <f t="shared" si="18"/>
        <v>0</v>
      </c>
      <c r="T47" s="9">
        <f t="shared" si="18"/>
        <v>0</v>
      </c>
      <c r="U47" s="9">
        <f t="shared" si="18"/>
        <v>0</v>
      </c>
      <c r="V47" s="9">
        <f t="shared" si="18"/>
        <v>0</v>
      </c>
      <c r="W47" s="9">
        <f t="shared" si="18"/>
        <v>0</v>
      </c>
      <c r="X47" s="9">
        <f t="shared" si="18"/>
        <v>0</v>
      </c>
      <c r="Y47" s="9">
        <f t="shared" si="18"/>
        <v>0</v>
      </c>
      <c r="Z47" s="9">
        <f t="shared" si="18"/>
        <v>0</v>
      </c>
      <c r="AA47" s="9">
        <f t="shared" si="18"/>
        <v>0</v>
      </c>
      <c r="AB47" s="9">
        <f t="shared" si="18"/>
        <v>0</v>
      </c>
      <c r="AC47" s="9">
        <f t="shared" si="18"/>
        <v>0</v>
      </c>
      <c r="AD47" s="30">
        <f t="shared" si="4"/>
        <v>290109.1098312666</v>
      </c>
      <c r="AE47" s="30">
        <f>AD83</f>
        <v>154790.58323485916</v>
      </c>
      <c r="AF47" s="30">
        <f>AD118</f>
        <v>7203.6950482123575</v>
      </c>
      <c r="AG47" s="30">
        <f>SUM(AD47:AF47)</f>
        <v>452103.38811433816</v>
      </c>
    </row>
    <row r="48" spans="1:33" ht="12.75">
      <c r="A48" s="15" t="s">
        <v>15</v>
      </c>
      <c r="B48" s="36">
        <f t="shared" si="16"/>
        <v>1.1204469504317132</v>
      </c>
      <c r="C48" s="37">
        <v>19</v>
      </c>
      <c r="D48" s="16">
        <f aca="true" t="shared" si="19" ref="D48:D55">1/C48</f>
        <v>0.05263157894736842</v>
      </c>
      <c r="E48" s="9">
        <f aca="true" t="shared" si="20" ref="E48:E55">B48*E$13</f>
        <v>509461.15054032527</v>
      </c>
      <c r="F48" s="9">
        <f t="shared" si="17"/>
        <v>26813.744765280277</v>
      </c>
      <c r="G48" s="9">
        <f t="shared" si="17"/>
        <v>26813.744765280277</v>
      </c>
      <c r="H48" s="9">
        <f t="shared" si="17"/>
        <v>26813.744765280277</v>
      </c>
      <c r="I48" s="9">
        <f t="shared" si="17"/>
        <v>26813.744765280277</v>
      </c>
      <c r="J48" s="9">
        <f t="shared" si="17"/>
        <v>26813.744765280277</v>
      </c>
      <c r="K48" s="9">
        <f t="shared" si="17"/>
        <v>26813.744765280277</v>
      </c>
      <c r="L48" s="9">
        <f t="shared" si="17"/>
        <v>26813.744765280277</v>
      </c>
      <c r="M48" s="9">
        <f t="shared" si="17"/>
        <v>26813.744765280277</v>
      </c>
      <c r="N48" s="9">
        <f t="shared" si="17"/>
        <v>26813.744765280277</v>
      </c>
      <c r="O48" s="9">
        <f t="shared" si="17"/>
        <v>26813.744765280277</v>
      </c>
      <c r="P48" s="9">
        <f t="shared" si="18"/>
        <v>26813.744765280277</v>
      </c>
      <c r="Q48" s="9">
        <f t="shared" si="18"/>
        <v>26813.744765280277</v>
      </c>
      <c r="R48" s="9">
        <f t="shared" si="18"/>
        <v>26813.744765280277</v>
      </c>
      <c r="S48" s="9">
        <f t="shared" si="18"/>
        <v>26813.744765280277</v>
      </c>
      <c r="T48" s="9">
        <f t="shared" si="18"/>
        <v>26813.744765280277</v>
      </c>
      <c r="U48" s="9">
        <f t="shared" si="18"/>
        <v>26813.744765280277</v>
      </c>
      <c r="V48" s="9">
        <f t="shared" si="18"/>
        <v>26813.744765280277</v>
      </c>
      <c r="W48" s="9">
        <f t="shared" si="18"/>
        <v>26813.744765280277</v>
      </c>
      <c r="X48" s="9">
        <f t="shared" si="18"/>
        <v>26813.744765280277</v>
      </c>
      <c r="Y48" s="9">
        <f t="shared" si="18"/>
        <v>0</v>
      </c>
      <c r="Z48" s="9">
        <f t="shared" si="18"/>
        <v>0</v>
      </c>
      <c r="AA48" s="9">
        <f t="shared" si="18"/>
        <v>0</v>
      </c>
      <c r="AB48" s="9">
        <f t="shared" si="18"/>
        <v>0</v>
      </c>
      <c r="AC48" s="9">
        <f t="shared" si="18"/>
        <v>0</v>
      </c>
      <c r="AD48" s="30">
        <f t="shared" si="4"/>
        <v>509461.15054032527</v>
      </c>
      <c r="AE48" s="30">
        <f aca="true" t="shared" si="21" ref="AE48:AE55">AD84</f>
        <v>271828.0328167075</v>
      </c>
      <c r="AF48" s="30">
        <f aca="true" t="shared" si="22" ref="AF48:AF55">AD119</f>
        <v>3558.3858263695265</v>
      </c>
      <c r="AG48" s="30">
        <f aca="true" t="shared" si="23" ref="AG48:AG55">SUM(AD48:AF48)</f>
        <v>784847.5691834022</v>
      </c>
    </row>
    <row r="49" spans="1:33" ht="12.75">
      <c r="A49" s="15" t="s">
        <v>16</v>
      </c>
      <c r="B49" s="36">
        <f t="shared" si="16"/>
        <v>0.5673737735173195</v>
      </c>
      <c r="C49" s="37">
        <v>22</v>
      </c>
      <c r="D49" s="16">
        <f t="shared" si="19"/>
        <v>0.045454545454545456</v>
      </c>
      <c r="E49" s="9">
        <f t="shared" si="20"/>
        <v>257981.77712132235</v>
      </c>
      <c r="F49" s="9">
        <f t="shared" si="17"/>
        <v>11726.444414605561</v>
      </c>
      <c r="G49" s="9">
        <f t="shared" si="17"/>
        <v>11726.444414605561</v>
      </c>
      <c r="H49" s="9">
        <f t="shared" si="17"/>
        <v>11726.444414605561</v>
      </c>
      <c r="I49" s="9">
        <f t="shared" si="17"/>
        <v>11726.444414605561</v>
      </c>
      <c r="J49" s="9">
        <f t="shared" si="17"/>
        <v>11726.444414605561</v>
      </c>
      <c r="K49" s="9">
        <f t="shared" si="17"/>
        <v>11726.444414605561</v>
      </c>
      <c r="L49" s="9">
        <f t="shared" si="17"/>
        <v>11726.444414605561</v>
      </c>
      <c r="M49" s="9">
        <f t="shared" si="17"/>
        <v>11726.444414605561</v>
      </c>
      <c r="N49" s="9">
        <f t="shared" si="17"/>
        <v>11726.444414605561</v>
      </c>
      <c r="O49" s="9">
        <f t="shared" si="17"/>
        <v>11726.444414605561</v>
      </c>
      <c r="P49" s="9">
        <f t="shared" si="18"/>
        <v>11726.444414605561</v>
      </c>
      <c r="Q49" s="9">
        <f t="shared" si="18"/>
        <v>11726.444414605561</v>
      </c>
      <c r="R49" s="9">
        <f t="shared" si="18"/>
        <v>11726.444414605561</v>
      </c>
      <c r="S49" s="9">
        <f t="shared" si="18"/>
        <v>11726.444414605561</v>
      </c>
      <c r="T49" s="9">
        <f t="shared" si="18"/>
        <v>11726.444414605561</v>
      </c>
      <c r="U49" s="9">
        <f t="shared" si="18"/>
        <v>11726.444414605561</v>
      </c>
      <c r="V49" s="9">
        <f t="shared" si="18"/>
        <v>11726.444414605561</v>
      </c>
      <c r="W49" s="9">
        <f t="shared" si="18"/>
        <v>11726.444414605561</v>
      </c>
      <c r="X49" s="9">
        <f t="shared" si="18"/>
        <v>11726.444414605561</v>
      </c>
      <c r="Y49" s="9">
        <f t="shared" si="18"/>
        <v>11726.444414605561</v>
      </c>
      <c r="Z49" s="9">
        <f t="shared" si="18"/>
        <v>11726.444414605561</v>
      </c>
      <c r="AA49" s="9">
        <f t="shared" si="18"/>
        <v>11726.444414605561</v>
      </c>
      <c r="AB49" s="9">
        <f t="shared" si="18"/>
        <v>0</v>
      </c>
      <c r="AC49" s="9">
        <f t="shared" si="18"/>
        <v>0</v>
      </c>
      <c r="AD49" s="30">
        <f t="shared" si="4"/>
        <v>257981.77712132235</v>
      </c>
      <c r="AE49" s="30">
        <f t="shared" si="21"/>
        <v>137648.72729367533</v>
      </c>
      <c r="AF49" s="30">
        <f t="shared" si="22"/>
        <v>640.8096301608955</v>
      </c>
      <c r="AG49" s="30">
        <f t="shared" si="23"/>
        <v>396271.31404515856</v>
      </c>
    </row>
    <row r="50" spans="1:33" ht="12.75">
      <c r="A50" s="15" t="s">
        <v>17</v>
      </c>
      <c r="B50" s="36">
        <f t="shared" si="16"/>
        <v>0.8468925125391364</v>
      </c>
      <c r="C50" s="37">
        <v>14</v>
      </c>
      <c r="D50" s="16">
        <f t="shared" si="19"/>
        <v>0.07142857142857142</v>
      </c>
      <c r="E50" s="9">
        <f t="shared" si="20"/>
        <v>385077.43151599664</v>
      </c>
      <c r="F50" s="9">
        <f t="shared" si="17"/>
        <v>27505.530822571185</v>
      </c>
      <c r="G50" s="9">
        <f t="shared" si="17"/>
        <v>27505.530822571185</v>
      </c>
      <c r="H50" s="9">
        <f t="shared" si="17"/>
        <v>27505.530822571185</v>
      </c>
      <c r="I50" s="9">
        <f t="shared" si="17"/>
        <v>27505.530822571185</v>
      </c>
      <c r="J50" s="9">
        <f t="shared" si="17"/>
        <v>27505.530822571185</v>
      </c>
      <c r="K50" s="9">
        <f t="shared" si="17"/>
        <v>27505.530822571185</v>
      </c>
      <c r="L50" s="9">
        <f t="shared" si="17"/>
        <v>27505.530822571185</v>
      </c>
      <c r="M50" s="9">
        <f t="shared" si="17"/>
        <v>27505.530822571185</v>
      </c>
      <c r="N50" s="9">
        <f t="shared" si="17"/>
        <v>27505.530822571185</v>
      </c>
      <c r="O50" s="9">
        <f t="shared" si="17"/>
        <v>27505.530822571185</v>
      </c>
      <c r="P50" s="9">
        <f t="shared" si="18"/>
        <v>27505.530822571185</v>
      </c>
      <c r="Q50" s="9">
        <f t="shared" si="18"/>
        <v>27505.530822571185</v>
      </c>
      <c r="R50" s="9">
        <f t="shared" si="18"/>
        <v>27505.530822571185</v>
      </c>
      <c r="S50" s="9">
        <f t="shared" si="18"/>
        <v>27505.530822571185</v>
      </c>
      <c r="T50" s="9">
        <f t="shared" si="18"/>
        <v>0</v>
      </c>
      <c r="U50" s="9">
        <f t="shared" si="18"/>
        <v>0</v>
      </c>
      <c r="V50" s="9">
        <f t="shared" si="18"/>
        <v>0</v>
      </c>
      <c r="W50" s="9">
        <f t="shared" si="18"/>
        <v>0</v>
      </c>
      <c r="X50" s="9">
        <f t="shared" si="18"/>
        <v>0</v>
      </c>
      <c r="Y50" s="9">
        <f t="shared" si="18"/>
        <v>0</v>
      </c>
      <c r="Z50" s="9">
        <f t="shared" si="18"/>
        <v>0</v>
      </c>
      <c r="AA50" s="9">
        <f t="shared" si="18"/>
        <v>0</v>
      </c>
      <c r="AB50" s="9">
        <f t="shared" si="18"/>
        <v>0</v>
      </c>
      <c r="AC50" s="9">
        <f t="shared" si="18"/>
        <v>0</v>
      </c>
      <c r="AD50" s="30">
        <f t="shared" si="4"/>
        <v>385077.43151599664</v>
      </c>
      <c r="AE50" s="30">
        <f t="shared" si="21"/>
        <v>205461.8700171495</v>
      </c>
      <c r="AF50" s="30">
        <f t="shared" si="22"/>
        <v>6960.026938318733</v>
      </c>
      <c r="AG50" s="30">
        <f t="shared" si="23"/>
        <v>597499.3284714648</v>
      </c>
    </row>
    <row r="51" spans="1:33" ht="12.75">
      <c r="A51" s="15" t="s">
        <v>18</v>
      </c>
      <c r="B51" s="36">
        <f t="shared" si="16"/>
        <v>0.8208495645747469</v>
      </c>
      <c r="C51" s="37">
        <v>14</v>
      </c>
      <c r="D51" s="16">
        <f t="shared" si="19"/>
        <v>0.07142857142857142</v>
      </c>
      <c r="E51" s="9">
        <f t="shared" si="20"/>
        <v>373235.84434554866</v>
      </c>
      <c r="F51" s="9">
        <f t="shared" si="17"/>
        <v>26659.703167539188</v>
      </c>
      <c r="G51" s="9">
        <f t="shared" si="17"/>
        <v>26659.703167539188</v>
      </c>
      <c r="H51" s="9">
        <f t="shared" si="17"/>
        <v>26659.703167539188</v>
      </c>
      <c r="I51" s="9">
        <f t="shared" si="17"/>
        <v>26659.703167539188</v>
      </c>
      <c r="J51" s="9">
        <f t="shared" si="17"/>
        <v>26659.703167539188</v>
      </c>
      <c r="K51" s="9">
        <f t="shared" si="17"/>
        <v>26659.703167539188</v>
      </c>
      <c r="L51" s="9">
        <f t="shared" si="17"/>
        <v>26659.703167539188</v>
      </c>
      <c r="M51" s="9">
        <f t="shared" si="17"/>
        <v>26659.703167539188</v>
      </c>
      <c r="N51" s="9">
        <f t="shared" si="17"/>
        <v>26659.703167539188</v>
      </c>
      <c r="O51" s="9">
        <f t="shared" si="17"/>
        <v>26659.703167539188</v>
      </c>
      <c r="P51" s="9">
        <f t="shared" si="18"/>
        <v>26659.703167539188</v>
      </c>
      <c r="Q51" s="9">
        <f t="shared" si="18"/>
        <v>26659.703167539188</v>
      </c>
      <c r="R51" s="9">
        <f t="shared" si="18"/>
        <v>26659.703167539188</v>
      </c>
      <c r="S51" s="9">
        <f t="shared" si="18"/>
        <v>26659.703167539188</v>
      </c>
      <c r="T51" s="9">
        <f t="shared" si="18"/>
        <v>0</v>
      </c>
      <c r="U51" s="9">
        <f t="shared" si="18"/>
        <v>0</v>
      </c>
      <c r="V51" s="9">
        <f t="shared" si="18"/>
        <v>0</v>
      </c>
      <c r="W51" s="9">
        <f t="shared" si="18"/>
        <v>0</v>
      </c>
      <c r="X51" s="9">
        <f t="shared" si="18"/>
        <v>0</v>
      </c>
      <c r="Y51" s="9">
        <f t="shared" si="18"/>
        <v>0</v>
      </c>
      <c r="Z51" s="9">
        <f t="shared" si="18"/>
        <v>0</v>
      </c>
      <c r="AA51" s="9">
        <f t="shared" si="18"/>
        <v>0</v>
      </c>
      <c r="AB51" s="9">
        <f t="shared" si="18"/>
        <v>0</v>
      </c>
      <c r="AC51" s="9">
        <f t="shared" si="18"/>
        <v>0</v>
      </c>
      <c r="AD51" s="30">
        <f t="shared" si="4"/>
        <v>373235.84434554866</v>
      </c>
      <c r="AE51" s="30">
        <f t="shared" si="21"/>
        <v>199143.6741300705</v>
      </c>
      <c r="AF51" s="30">
        <f t="shared" si="22"/>
        <v>6745.997865323465</v>
      </c>
      <c r="AG51" s="30">
        <f t="shared" si="23"/>
        <v>579125.5163409426</v>
      </c>
    </row>
    <row r="52" spans="1:33" ht="12.75">
      <c r="A52" s="15" t="s">
        <v>19</v>
      </c>
      <c r="B52" s="36">
        <f t="shared" si="16"/>
        <v>0.6715984668883408</v>
      </c>
      <c r="C52" s="37">
        <v>9</v>
      </c>
      <c r="D52" s="16">
        <f t="shared" si="19"/>
        <v>0.1111111111111111</v>
      </c>
      <c r="E52" s="9">
        <f t="shared" si="20"/>
        <v>305372.17983432364</v>
      </c>
      <c r="F52" s="9">
        <f t="shared" si="17"/>
        <v>33930.24220381374</v>
      </c>
      <c r="G52" s="9">
        <f t="shared" si="17"/>
        <v>33930.24220381374</v>
      </c>
      <c r="H52" s="9">
        <f t="shared" si="17"/>
        <v>33930.24220381374</v>
      </c>
      <c r="I52" s="9">
        <f t="shared" si="17"/>
        <v>33930.24220381374</v>
      </c>
      <c r="J52" s="9">
        <f t="shared" si="17"/>
        <v>33930.24220381374</v>
      </c>
      <c r="K52" s="9">
        <f t="shared" si="17"/>
        <v>33930.24220381374</v>
      </c>
      <c r="L52" s="9">
        <f t="shared" si="17"/>
        <v>33930.24220381374</v>
      </c>
      <c r="M52" s="9">
        <f t="shared" si="17"/>
        <v>33930.24220381374</v>
      </c>
      <c r="N52" s="9">
        <f t="shared" si="17"/>
        <v>33930.24220381374</v>
      </c>
      <c r="O52" s="9">
        <f t="shared" si="17"/>
        <v>0</v>
      </c>
      <c r="P52" s="9">
        <f t="shared" si="18"/>
        <v>0</v>
      </c>
      <c r="Q52" s="9">
        <f t="shared" si="18"/>
        <v>0</v>
      </c>
      <c r="R52" s="9">
        <f t="shared" si="18"/>
        <v>0</v>
      </c>
      <c r="S52" s="9">
        <f t="shared" si="18"/>
        <v>0</v>
      </c>
      <c r="T52" s="9">
        <f t="shared" si="18"/>
        <v>0</v>
      </c>
      <c r="U52" s="9">
        <f t="shared" si="18"/>
        <v>0</v>
      </c>
      <c r="V52" s="9">
        <f t="shared" si="18"/>
        <v>0</v>
      </c>
      <c r="W52" s="9">
        <f t="shared" si="18"/>
        <v>0</v>
      </c>
      <c r="X52" s="9">
        <f t="shared" si="18"/>
        <v>0</v>
      </c>
      <c r="Y52" s="9">
        <f t="shared" si="18"/>
        <v>0</v>
      </c>
      <c r="Z52" s="9">
        <f t="shared" si="18"/>
        <v>0</v>
      </c>
      <c r="AA52" s="9">
        <f t="shared" si="18"/>
        <v>0</v>
      </c>
      <c r="AB52" s="9">
        <f t="shared" si="18"/>
        <v>0</v>
      </c>
      <c r="AC52" s="9">
        <f t="shared" si="18"/>
        <v>0</v>
      </c>
      <c r="AD52" s="30">
        <f t="shared" si="4"/>
        <v>305372.17983432364</v>
      </c>
      <c r="AE52" s="30">
        <f t="shared" si="21"/>
        <v>162934.34510811375</v>
      </c>
      <c r="AF52" s="30">
        <f t="shared" si="22"/>
        <v>12287.97964817508</v>
      </c>
      <c r="AG52" s="30">
        <f t="shared" si="23"/>
        <v>480594.5045906125</v>
      </c>
    </row>
    <row r="53" spans="1:33" ht="12.75">
      <c r="A53" s="15" t="s">
        <v>20</v>
      </c>
      <c r="B53" s="36">
        <f t="shared" si="16"/>
        <v>0.8243049688800121</v>
      </c>
      <c r="C53" s="37">
        <v>20</v>
      </c>
      <c r="D53" s="16">
        <f t="shared" si="19"/>
        <v>0.05</v>
      </c>
      <c r="E53" s="9">
        <f t="shared" si="20"/>
        <v>374806.9979394463</v>
      </c>
      <c r="F53" s="9">
        <f t="shared" si="17"/>
        <v>18740.349896972315</v>
      </c>
      <c r="G53" s="9">
        <f t="shared" si="17"/>
        <v>18740.349896972315</v>
      </c>
      <c r="H53" s="9">
        <f t="shared" si="17"/>
        <v>18740.349896972315</v>
      </c>
      <c r="I53" s="9">
        <f t="shared" si="17"/>
        <v>18740.349896972315</v>
      </c>
      <c r="J53" s="9">
        <f t="shared" si="17"/>
        <v>18740.349896972315</v>
      </c>
      <c r="K53" s="9">
        <f t="shared" si="17"/>
        <v>18740.349896972315</v>
      </c>
      <c r="L53" s="9">
        <f t="shared" si="17"/>
        <v>18740.349896972315</v>
      </c>
      <c r="M53" s="9">
        <f t="shared" si="17"/>
        <v>18740.349896972315</v>
      </c>
      <c r="N53" s="9">
        <f t="shared" si="17"/>
        <v>18740.349896972315</v>
      </c>
      <c r="O53" s="9">
        <f t="shared" si="17"/>
        <v>18740.349896972315</v>
      </c>
      <c r="P53" s="9">
        <f t="shared" si="18"/>
        <v>18740.349896972315</v>
      </c>
      <c r="Q53" s="9">
        <f t="shared" si="18"/>
        <v>18740.349896972315</v>
      </c>
      <c r="R53" s="9">
        <f t="shared" si="18"/>
        <v>18740.349896972315</v>
      </c>
      <c r="S53" s="9">
        <f t="shared" si="18"/>
        <v>18740.349896972315</v>
      </c>
      <c r="T53" s="9">
        <f t="shared" si="18"/>
        <v>18740.349896972315</v>
      </c>
      <c r="U53" s="9">
        <f t="shared" si="18"/>
        <v>18740.349896972315</v>
      </c>
      <c r="V53" s="9">
        <f t="shared" si="18"/>
        <v>18740.349896972315</v>
      </c>
      <c r="W53" s="9">
        <f t="shared" si="18"/>
        <v>18740.349896972315</v>
      </c>
      <c r="X53" s="9">
        <f t="shared" si="18"/>
        <v>18740.349896972315</v>
      </c>
      <c r="Y53" s="9">
        <f t="shared" si="18"/>
        <v>18740.349896972315</v>
      </c>
      <c r="Z53" s="9">
        <f t="shared" si="18"/>
        <v>0</v>
      </c>
      <c r="AA53" s="9">
        <f t="shared" si="18"/>
        <v>0</v>
      </c>
      <c r="AB53" s="9">
        <f t="shared" si="18"/>
        <v>0</v>
      </c>
      <c r="AC53" s="9">
        <f t="shared" si="18"/>
        <v>0</v>
      </c>
      <c r="AD53" s="30">
        <f t="shared" si="4"/>
        <v>374806.9979394461</v>
      </c>
      <c r="AE53" s="30">
        <f t="shared" si="21"/>
        <v>199981.97866070864</v>
      </c>
      <c r="AF53" s="30">
        <f t="shared" si="22"/>
        <v>2008.8696427463233</v>
      </c>
      <c r="AG53" s="30">
        <f t="shared" si="23"/>
        <v>576797.846242901</v>
      </c>
    </row>
    <row r="54" spans="1:33" ht="12.75">
      <c r="A54" s="15" t="s">
        <v>22</v>
      </c>
      <c r="B54" s="36">
        <f t="shared" si="16"/>
        <v>0.11108830806400877</v>
      </c>
      <c r="C54" s="37">
        <v>9</v>
      </c>
      <c r="D54" s="16">
        <f t="shared" si="19"/>
        <v>0.1111111111111111</v>
      </c>
      <c r="E54" s="9">
        <f t="shared" si="20"/>
        <v>50511.25108249135</v>
      </c>
      <c r="F54" s="9">
        <f t="shared" si="17"/>
        <v>5612.361231387928</v>
      </c>
      <c r="G54" s="9">
        <f t="shared" si="17"/>
        <v>5612.361231387928</v>
      </c>
      <c r="H54" s="9">
        <f t="shared" si="17"/>
        <v>5612.361231387928</v>
      </c>
      <c r="I54" s="9">
        <f t="shared" si="17"/>
        <v>5612.361231387928</v>
      </c>
      <c r="J54" s="9">
        <f t="shared" si="17"/>
        <v>5612.361231387928</v>
      </c>
      <c r="K54" s="9">
        <f t="shared" si="17"/>
        <v>5612.361231387928</v>
      </c>
      <c r="L54" s="9">
        <f t="shared" si="17"/>
        <v>5612.361231387928</v>
      </c>
      <c r="M54" s="9">
        <f t="shared" si="17"/>
        <v>5612.361231387928</v>
      </c>
      <c r="N54" s="9">
        <f t="shared" si="17"/>
        <v>5612.361231387928</v>
      </c>
      <c r="O54" s="9">
        <f t="shared" si="17"/>
        <v>0</v>
      </c>
      <c r="P54" s="9">
        <f t="shared" si="18"/>
        <v>0</v>
      </c>
      <c r="Q54" s="9">
        <f t="shared" si="18"/>
        <v>0</v>
      </c>
      <c r="R54" s="9">
        <f t="shared" si="18"/>
        <v>0</v>
      </c>
      <c r="S54" s="9">
        <f t="shared" si="18"/>
        <v>0</v>
      </c>
      <c r="T54" s="9">
        <f t="shared" si="18"/>
        <v>0</v>
      </c>
      <c r="U54" s="9">
        <f t="shared" si="18"/>
        <v>0</v>
      </c>
      <c r="V54" s="9">
        <f t="shared" si="18"/>
        <v>0</v>
      </c>
      <c r="W54" s="9">
        <f t="shared" si="18"/>
        <v>0</v>
      </c>
      <c r="X54" s="9">
        <f t="shared" si="18"/>
        <v>0</v>
      </c>
      <c r="Y54" s="9">
        <f t="shared" si="18"/>
        <v>0</v>
      </c>
      <c r="Z54" s="9">
        <f t="shared" si="18"/>
        <v>0</v>
      </c>
      <c r="AA54" s="9">
        <f t="shared" si="18"/>
        <v>0</v>
      </c>
      <c r="AB54" s="9">
        <f t="shared" si="18"/>
        <v>0</v>
      </c>
      <c r="AC54" s="9">
        <f t="shared" si="18"/>
        <v>0</v>
      </c>
      <c r="AD54" s="30">
        <f t="shared" si="4"/>
        <v>50511.25108249135</v>
      </c>
      <c r="AE54" s="30">
        <f t="shared" si="21"/>
        <v>26950.777311090795</v>
      </c>
      <c r="AF54" s="30">
        <f t="shared" si="22"/>
        <v>2032.5401797971872</v>
      </c>
      <c r="AG54" s="30">
        <f t="shared" si="23"/>
        <v>79494.56857337934</v>
      </c>
    </row>
    <row r="55" spans="1:33" ht="12.75">
      <c r="A55" s="15" t="s">
        <v>25</v>
      </c>
      <c r="B55" s="36">
        <f>'Existing Space Heating Units'!B41</f>
        <v>0.24952183731339672</v>
      </c>
      <c r="C55" s="37">
        <v>18</v>
      </c>
      <c r="D55" s="16">
        <f t="shared" si="19"/>
        <v>0.05555555555555555</v>
      </c>
      <c r="E55" s="9">
        <f t="shared" si="20"/>
        <v>113456.22590488412</v>
      </c>
      <c r="F55" s="9">
        <f t="shared" si="17"/>
        <v>6303.123661382451</v>
      </c>
      <c r="G55" s="9">
        <f t="shared" si="17"/>
        <v>6303.123661382451</v>
      </c>
      <c r="H55" s="9">
        <f t="shared" si="17"/>
        <v>6303.123661382451</v>
      </c>
      <c r="I55" s="9">
        <f t="shared" si="17"/>
        <v>6303.123661382451</v>
      </c>
      <c r="J55" s="9">
        <f t="shared" si="17"/>
        <v>6303.123661382451</v>
      </c>
      <c r="K55" s="9">
        <f t="shared" si="17"/>
        <v>6303.123661382451</v>
      </c>
      <c r="L55" s="9">
        <f t="shared" si="17"/>
        <v>6303.123661382451</v>
      </c>
      <c r="M55" s="9">
        <f t="shared" si="17"/>
        <v>6303.123661382451</v>
      </c>
      <c r="N55" s="9">
        <f t="shared" si="17"/>
        <v>6303.123661382451</v>
      </c>
      <c r="O55" s="9">
        <f t="shared" si="17"/>
        <v>6303.123661382451</v>
      </c>
      <c r="P55" s="9">
        <f t="shared" si="18"/>
        <v>6303.123661382451</v>
      </c>
      <c r="Q55" s="9">
        <f t="shared" si="18"/>
        <v>6303.123661382451</v>
      </c>
      <c r="R55" s="9">
        <f t="shared" si="18"/>
        <v>6303.123661382451</v>
      </c>
      <c r="S55" s="9">
        <f t="shared" si="18"/>
        <v>6303.123661382451</v>
      </c>
      <c r="T55" s="9">
        <f t="shared" si="18"/>
        <v>6303.123661382451</v>
      </c>
      <c r="U55" s="9">
        <f t="shared" si="18"/>
        <v>6303.123661382451</v>
      </c>
      <c r="V55" s="9">
        <f t="shared" si="18"/>
        <v>6303.123661382451</v>
      </c>
      <c r="W55" s="9">
        <f t="shared" si="18"/>
        <v>6303.123661382451</v>
      </c>
      <c r="X55" s="9">
        <f t="shared" si="18"/>
        <v>0</v>
      </c>
      <c r="Y55" s="9">
        <f t="shared" si="18"/>
        <v>0</v>
      </c>
      <c r="Z55" s="9">
        <f t="shared" si="18"/>
        <v>0</v>
      </c>
      <c r="AA55" s="9">
        <f t="shared" si="18"/>
        <v>0</v>
      </c>
      <c r="AB55" s="9">
        <f t="shared" si="18"/>
        <v>0</v>
      </c>
      <c r="AC55" s="9">
        <f t="shared" si="18"/>
        <v>0</v>
      </c>
      <c r="AD55" s="30">
        <f t="shared" si="4"/>
        <v>113456.22590488408</v>
      </c>
      <c r="AE55" s="30">
        <f t="shared" si="21"/>
        <v>60535.69082907236</v>
      </c>
      <c r="AF55" s="30">
        <f t="shared" si="22"/>
        <v>994.1639067698322</v>
      </c>
      <c r="AG55" s="30">
        <f t="shared" si="23"/>
        <v>174986.08064072626</v>
      </c>
    </row>
    <row r="56" ht="12.75"/>
    <row r="57" ht="12.75"/>
    <row r="58" spans="1:27" ht="13.5" thickBot="1">
      <c r="A58" s="12" t="s">
        <v>78</v>
      </c>
      <c r="L58" s="24"/>
      <c r="M58" s="24"/>
      <c r="N58" s="24"/>
      <c r="O58" s="24"/>
      <c r="P58" s="24"/>
      <c r="Q58" s="24"/>
      <c r="R58" s="24"/>
      <c r="S58" s="24"/>
      <c r="Y58"/>
      <c r="Z58"/>
      <c r="AA58"/>
    </row>
    <row r="59" spans="1:30" ht="51">
      <c r="A59" s="57" t="s">
        <v>3</v>
      </c>
      <c r="B59" s="58" t="s">
        <v>24</v>
      </c>
      <c r="C59" s="58"/>
      <c r="D59" s="58"/>
      <c r="E59" s="58">
        <v>2001</v>
      </c>
      <c r="F59" s="58">
        <v>2002</v>
      </c>
      <c r="G59" s="58">
        <v>2003</v>
      </c>
      <c r="H59" s="58">
        <v>2004</v>
      </c>
      <c r="I59" s="58">
        <v>2005</v>
      </c>
      <c r="J59" s="58">
        <v>2006</v>
      </c>
      <c r="K59" s="58">
        <v>2007</v>
      </c>
      <c r="L59" s="58">
        <v>2008</v>
      </c>
      <c r="M59" s="58">
        <v>2009</v>
      </c>
      <c r="N59" s="58">
        <v>2010</v>
      </c>
      <c r="O59" s="58">
        <v>2011</v>
      </c>
      <c r="P59" s="58">
        <v>2012</v>
      </c>
      <c r="Q59" s="58">
        <v>2013</v>
      </c>
      <c r="R59" s="58">
        <v>2014</v>
      </c>
      <c r="S59" s="58">
        <v>2015</v>
      </c>
      <c r="T59" s="58">
        <v>2016</v>
      </c>
      <c r="U59" s="58">
        <v>2017</v>
      </c>
      <c r="V59" s="58">
        <v>2018</v>
      </c>
      <c r="W59" s="58">
        <v>2019</v>
      </c>
      <c r="X59" s="58">
        <v>2020</v>
      </c>
      <c r="Y59" s="58">
        <v>2021</v>
      </c>
      <c r="Z59" s="58">
        <v>2022</v>
      </c>
      <c r="AA59" s="58">
        <v>2023</v>
      </c>
      <c r="AB59" s="58">
        <v>2024</v>
      </c>
      <c r="AC59" s="58">
        <v>2025</v>
      </c>
      <c r="AD59" s="59" t="s">
        <v>40</v>
      </c>
    </row>
    <row r="60" spans="1:30" ht="25.5">
      <c r="A60" s="185" t="s">
        <v>0</v>
      </c>
      <c r="B60" s="8"/>
      <c r="C60" s="8"/>
      <c r="D60" s="8"/>
      <c r="E60" s="8"/>
      <c r="F60" s="8"/>
      <c r="G60" s="8"/>
      <c r="H60" s="8"/>
      <c r="I60" s="8"/>
      <c r="J60" s="8"/>
      <c r="K60" s="8"/>
      <c r="L60" s="8"/>
      <c r="M60" s="8"/>
      <c r="N60" s="8"/>
      <c r="O60" s="8"/>
      <c r="P60" s="8"/>
      <c r="Q60" s="8"/>
      <c r="R60" s="8"/>
      <c r="S60" s="8"/>
      <c r="T60" s="8"/>
      <c r="U60" s="8"/>
      <c r="V60" s="8"/>
      <c r="W60" s="8"/>
      <c r="X60" s="8"/>
      <c r="Y60" s="8"/>
      <c r="Z60" s="186"/>
      <c r="AA60" s="186"/>
      <c r="AB60" s="186"/>
      <c r="AC60" s="186"/>
      <c r="AD60" s="187"/>
    </row>
    <row r="61" spans="1:30" ht="12.75">
      <c r="A61" s="60" t="s">
        <v>14</v>
      </c>
      <c r="B61" s="36">
        <f>B25</f>
        <v>0.6380307253225443</v>
      </c>
      <c r="C61" s="37">
        <f>C25</f>
        <v>12</v>
      </c>
      <c r="D61" s="16"/>
      <c r="E61" s="9"/>
      <c r="F61" s="9">
        <f aca="true" t="shared" si="24" ref="F61:U61">$B61*F$17</f>
        <v>30483.206301232007</v>
      </c>
      <c r="G61" s="9">
        <f t="shared" si="24"/>
        <v>31369.269674572024</v>
      </c>
      <c r="H61" s="9">
        <f t="shared" si="24"/>
        <v>32281.088484981763</v>
      </c>
      <c r="I61" s="9">
        <f t="shared" si="24"/>
        <v>33219.41137252311</v>
      </c>
      <c r="J61" s="9">
        <f t="shared" si="24"/>
        <v>34185.008738175486</v>
      </c>
      <c r="K61" s="9">
        <f t="shared" si="24"/>
        <v>35178.673376366176</v>
      </c>
      <c r="L61" s="9">
        <f t="shared" si="24"/>
        <v>36201.22112588654</v>
      </c>
      <c r="M61" s="9">
        <f t="shared" si="24"/>
        <v>37253.491539728624</v>
      </c>
      <c r="N61" s="9">
        <f t="shared" si="24"/>
        <v>38336.34857439206</v>
      </c>
      <c r="O61" s="9">
        <f t="shared" si="24"/>
        <v>39450.68129922723</v>
      </c>
      <c r="P61" s="9">
        <f t="shared" si="24"/>
        <v>40597.40462639714</v>
      </c>
      <c r="Q61" s="9">
        <f t="shared" si="24"/>
        <v>41777.46006205717</v>
      </c>
      <c r="R61" s="9">
        <f t="shared" si="24"/>
        <v>42991.81647936976</v>
      </c>
      <c r="S61" s="9">
        <f t="shared" si="24"/>
        <v>44241.47091398826</v>
      </c>
      <c r="T61" s="9">
        <f t="shared" si="24"/>
        <v>45527.4493826636</v>
      </c>
      <c r="U61" s="9">
        <f t="shared" si="24"/>
        <v>46850.80772564537</v>
      </c>
      <c r="V61" s="9">
        <f aca="true" t="shared" si="25" ref="G61:AC69">$B61*V$17</f>
        <v>48212.63247356934</v>
      </c>
      <c r="W61" s="9">
        <f t="shared" si="25"/>
        <v>49614.04173954301</v>
      </c>
      <c r="X61" s="9">
        <f t="shared" si="25"/>
        <v>51056.18613716155</v>
      </c>
      <c r="Y61" s="9">
        <f t="shared" si="25"/>
        <v>52540.24972520809</v>
      </c>
      <c r="Z61" s="9">
        <f t="shared" si="25"/>
        <v>54067.45097981375</v>
      </c>
      <c r="AA61" s="9">
        <f t="shared" si="25"/>
        <v>55639.04379487579</v>
      </c>
      <c r="AB61" s="9">
        <f t="shared" si="25"/>
        <v>57256.31851155506</v>
      </c>
      <c r="AC61" s="9">
        <f t="shared" si="25"/>
        <v>58920.60297769827</v>
      </c>
      <c r="AD61" s="188">
        <f>SUM(E61:AC61)</f>
        <v>1037251.3360166312</v>
      </c>
    </row>
    <row r="62" spans="1:30" ht="12.75">
      <c r="A62" s="60" t="s">
        <v>15</v>
      </c>
      <c r="B62" s="36">
        <f aca="true" t="shared" si="26" ref="B62:C69">B26</f>
        <v>1.1204469504317132</v>
      </c>
      <c r="C62" s="37">
        <f t="shared" si="26"/>
        <v>19</v>
      </c>
      <c r="D62" s="16"/>
      <c r="E62" s="9"/>
      <c r="F62" s="9">
        <f aca="true" t="shared" si="27" ref="F62:F69">$B62*F$17</f>
        <v>53531.61561667718</v>
      </c>
      <c r="G62" s="9">
        <f t="shared" si="25"/>
        <v>55087.633164337094</v>
      </c>
      <c r="H62" s="9">
        <f t="shared" si="25"/>
        <v>56688.87988322103</v>
      </c>
      <c r="I62" s="9">
        <f t="shared" si="25"/>
        <v>58336.67046154231</v>
      </c>
      <c r="J62" s="9">
        <f t="shared" si="25"/>
        <v>60032.357801902246</v>
      </c>
      <c r="K62" s="9">
        <f t="shared" si="25"/>
        <v>61777.33413207781</v>
      </c>
      <c r="L62" s="9">
        <f t="shared" si="25"/>
        <v>63573.032148096885</v>
      </c>
      <c r="M62" s="9">
        <f t="shared" si="25"/>
        <v>65420.92619053952</v>
      </c>
      <c r="N62" s="9">
        <f t="shared" si="25"/>
        <v>67322.53345503108</v>
      </c>
      <c r="O62" s="9">
        <f t="shared" si="25"/>
        <v>69279.41523792116</v>
      </c>
      <c r="P62" s="9">
        <f t="shared" si="25"/>
        <v>71293.1782181709</v>
      </c>
      <c r="Q62" s="9">
        <f t="shared" si="25"/>
        <v>73365.47577650125</v>
      </c>
      <c r="R62" s="9">
        <f t="shared" si="25"/>
        <v>75498.0093528854</v>
      </c>
      <c r="S62" s="9">
        <f t="shared" si="25"/>
        <v>77692.52984349962</v>
      </c>
      <c r="T62" s="9">
        <f t="shared" si="25"/>
        <v>79950.83903827974</v>
      </c>
      <c r="U62" s="9">
        <f t="shared" si="25"/>
        <v>82274.79110026344</v>
      </c>
      <c r="V62" s="9">
        <f t="shared" si="25"/>
        <v>84666.29408793303</v>
      </c>
      <c r="W62" s="9">
        <f t="shared" si="25"/>
        <v>87127.31152180841</v>
      </c>
      <c r="X62" s="9">
        <f t="shared" si="25"/>
        <v>89659.8639965768</v>
      </c>
      <c r="Y62" s="9">
        <f t="shared" si="25"/>
        <v>92266.03084008246</v>
      </c>
      <c r="Z62" s="9">
        <f t="shared" si="25"/>
        <v>94947.95182053895</v>
      </c>
      <c r="AA62" s="9">
        <f t="shared" si="25"/>
        <v>97707.82890336512</v>
      </c>
      <c r="AB62" s="9">
        <f t="shared" si="25"/>
        <v>100547.92805908767</v>
      </c>
      <c r="AC62" s="9">
        <f t="shared" si="25"/>
        <v>103470.58112379446</v>
      </c>
      <c r="AD62" s="188">
        <f aca="true" t="shared" si="28" ref="AD62:AD69">SUM(E62:AC62)</f>
        <v>1821519.0117741332</v>
      </c>
    </row>
    <row r="63" spans="1:30" ht="12.75">
      <c r="A63" s="60" t="s">
        <v>16</v>
      </c>
      <c r="B63" s="36">
        <f t="shared" si="26"/>
        <v>0.5673737735173195</v>
      </c>
      <c r="C63" s="37">
        <f t="shared" si="26"/>
        <v>22</v>
      </c>
      <c r="D63" s="16"/>
      <c r="E63" s="9"/>
      <c r="F63" s="9">
        <f t="shared" si="27"/>
        <v>27107.42774855175</v>
      </c>
      <c r="G63" s="9">
        <f t="shared" si="25"/>
        <v>27895.36647901534</v>
      </c>
      <c r="H63" s="9">
        <f t="shared" si="25"/>
        <v>28706.208431751573</v>
      </c>
      <c r="I63" s="9">
        <f t="shared" si="25"/>
        <v>29540.619340744815</v>
      </c>
      <c r="J63" s="9">
        <f t="shared" si="25"/>
        <v>30399.284291044216</v>
      </c>
      <c r="K63" s="9">
        <f t="shared" si="25"/>
        <v>31282.9082812462</v>
      </c>
      <c r="L63" s="9">
        <f t="shared" si="25"/>
        <v>32192.21680232678</v>
      </c>
      <c r="M63" s="9">
        <f t="shared" si="25"/>
        <v>33127.95643329893</v>
      </c>
      <c r="N63" s="9">
        <f t="shared" si="25"/>
        <v>34090.89545418414</v>
      </c>
      <c r="O63" s="9">
        <f t="shared" si="25"/>
        <v>35081.824476801274</v>
      </c>
      <c r="P63" s="9">
        <f t="shared" si="25"/>
        <v>36101.55709389086</v>
      </c>
      <c r="Q63" s="9">
        <f t="shared" si="25"/>
        <v>37150.930547107535</v>
      </c>
      <c r="R63" s="9">
        <f t="shared" si="25"/>
        <v>38230.806414429295</v>
      </c>
      <c r="S63" s="9">
        <f t="shared" si="25"/>
        <v>39342.07131754774</v>
      </c>
      <c r="T63" s="9">
        <f t="shared" si="25"/>
        <v>40485.63764982038</v>
      </c>
      <c r="U63" s="9">
        <f t="shared" si="25"/>
        <v>41662.44432538231</v>
      </c>
      <c r="V63" s="9">
        <f t="shared" si="25"/>
        <v>42873.457550032734</v>
      </c>
      <c r="W63" s="9">
        <f t="shared" si="25"/>
        <v>44119.67161452885</v>
      </c>
      <c r="X63" s="9">
        <f t="shared" si="25"/>
        <v>45402.109710938785</v>
      </c>
      <c r="Y63" s="9">
        <f t="shared" si="25"/>
        <v>46721.82477272354</v>
      </c>
      <c r="Z63" s="9">
        <f t="shared" si="25"/>
        <v>48079.90033923794</v>
      </c>
      <c r="AA63" s="9">
        <f t="shared" si="25"/>
        <v>49477.45144536011</v>
      </c>
      <c r="AB63" s="9">
        <f t="shared" si="25"/>
        <v>50915.62553698022</v>
      </c>
      <c r="AC63" s="9">
        <f t="shared" si="25"/>
        <v>52395.60341309985</v>
      </c>
      <c r="AD63" s="188">
        <f t="shared" si="28"/>
        <v>922383.7994700451</v>
      </c>
    </row>
    <row r="64" spans="1:30" ht="12.75">
      <c r="A64" s="60" t="s">
        <v>17</v>
      </c>
      <c r="B64" s="36">
        <f t="shared" si="26"/>
        <v>0.8468925125391364</v>
      </c>
      <c r="C64" s="37">
        <f t="shared" si="26"/>
        <v>14</v>
      </c>
      <c r="D64" s="16"/>
      <c r="E64" s="9"/>
      <c r="F64" s="9">
        <f t="shared" si="27"/>
        <v>40461.999947805685</v>
      </c>
      <c r="G64" s="9">
        <f t="shared" si="25"/>
        <v>41638.11954006745</v>
      </c>
      <c r="H64" s="9">
        <f t="shared" si="25"/>
        <v>42848.42570978674</v>
      </c>
      <c r="I64" s="9">
        <f t="shared" si="25"/>
        <v>44093.91216720013</v>
      </c>
      <c r="J64" s="9">
        <f t="shared" si="25"/>
        <v>45375.60150698092</v>
      </c>
      <c r="K64" s="9">
        <f t="shared" si="25"/>
        <v>46694.546047830714</v>
      </c>
      <c r="L64" s="9">
        <f t="shared" si="25"/>
        <v>48051.82869647551</v>
      </c>
      <c r="M64" s="9">
        <f t="shared" si="25"/>
        <v>49448.56383677586</v>
      </c>
      <c r="N64" s="9">
        <f t="shared" si="25"/>
        <v>50885.89824468104</v>
      </c>
      <c r="O64" s="9">
        <f t="shared" si="25"/>
        <v>52365.0120297784</v>
      </c>
      <c r="P64" s="9">
        <f t="shared" si="25"/>
        <v>53887.11960421099</v>
      </c>
      <c r="Q64" s="9">
        <f t="shared" si="25"/>
        <v>55453.47067975892</v>
      </c>
      <c r="R64" s="9">
        <f t="shared" si="25"/>
        <v>57065.35129390328</v>
      </c>
      <c r="S64" s="9">
        <f t="shared" si="25"/>
        <v>58724.084865714765</v>
      </c>
      <c r="T64" s="9">
        <f t="shared" si="25"/>
        <v>60431.03328243423</v>
      </c>
      <c r="U64" s="9">
        <f t="shared" si="25"/>
        <v>62187.59801763706</v>
      </c>
      <c r="V64" s="9">
        <f t="shared" si="25"/>
        <v>63995.22128189956</v>
      </c>
      <c r="W64" s="9">
        <f t="shared" si="25"/>
        <v>65855.38720691216</v>
      </c>
      <c r="X64" s="9">
        <f t="shared" si="25"/>
        <v>67769.62306401132</v>
      </c>
      <c r="Y64" s="9">
        <f t="shared" si="25"/>
        <v>69739.50051813111</v>
      </c>
      <c r="Z64" s="9">
        <f t="shared" si="25"/>
        <v>71766.6369182035</v>
      </c>
      <c r="AA64" s="9">
        <f t="shared" si="25"/>
        <v>73852.69662506714</v>
      </c>
      <c r="AB64" s="9">
        <f t="shared" si="25"/>
        <v>75999.39237797483</v>
      </c>
      <c r="AC64" s="9">
        <f t="shared" si="25"/>
        <v>78208.48670082167</v>
      </c>
      <c r="AD64" s="188">
        <f t="shared" si="28"/>
        <v>1376799.5101640632</v>
      </c>
    </row>
    <row r="65" spans="1:30" ht="12.75">
      <c r="A65" s="60" t="s">
        <v>18</v>
      </c>
      <c r="B65" s="36">
        <f t="shared" si="26"/>
        <v>0.8208495645747469</v>
      </c>
      <c r="C65" s="37">
        <f t="shared" si="26"/>
        <v>14</v>
      </c>
      <c r="D65" s="16"/>
      <c r="E65" s="9"/>
      <c r="F65" s="9">
        <f t="shared" si="27"/>
        <v>39217.74551932277</v>
      </c>
      <c r="G65" s="9">
        <f t="shared" si="25"/>
        <v>40357.69804092602</v>
      </c>
      <c r="H65" s="9">
        <f t="shared" si="25"/>
        <v>41530.78586223357</v>
      </c>
      <c r="I65" s="9">
        <f t="shared" si="25"/>
        <v>42737.97213571509</v>
      </c>
      <c r="J65" s="9">
        <f t="shared" si="25"/>
        <v>43980.24801004636</v>
      </c>
      <c r="K65" s="9">
        <f t="shared" si="25"/>
        <v>45258.63344388235</v>
      </c>
      <c r="L65" s="9">
        <f t="shared" si="25"/>
        <v>46574.178043284446</v>
      </c>
      <c r="M65" s="9">
        <f t="shared" si="25"/>
        <v>47927.96192348945</v>
      </c>
      <c r="N65" s="9">
        <f t="shared" si="25"/>
        <v>49321.09659572774</v>
      </c>
      <c r="O65" s="9">
        <f t="shared" si="25"/>
        <v>50754.72587981893</v>
      </c>
      <c r="P65" s="9">
        <f t="shared" si="25"/>
        <v>52230.026843294116</v>
      </c>
      <c r="Q65" s="9">
        <f t="shared" si="25"/>
        <v>53748.21076781581</v>
      </c>
      <c r="R65" s="9">
        <f t="shared" si="25"/>
        <v>55310.52414368915</v>
      </c>
      <c r="S65" s="9">
        <f t="shared" si="25"/>
        <v>56918.24969328073</v>
      </c>
      <c r="T65" s="9">
        <f t="shared" si="25"/>
        <v>58572.707424185486</v>
      </c>
      <c r="U65" s="9">
        <f t="shared" si="25"/>
        <v>60275.25571300621</v>
      </c>
      <c r="V65" s="9">
        <f t="shared" si="25"/>
        <v>62027.29242063561</v>
      </c>
      <c r="W65" s="9">
        <f t="shared" si="25"/>
        <v>63830.256039956555</v>
      </c>
      <c r="X65" s="9">
        <f t="shared" si="25"/>
        <v>65685.62687690277</v>
      </c>
      <c r="Y65" s="9">
        <f t="shared" si="25"/>
        <v>67594.92826584983</v>
      </c>
      <c r="Z65" s="9">
        <f t="shared" si="25"/>
        <v>69559.7278203342</v>
      </c>
      <c r="AA65" s="9">
        <f t="shared" si="25"/>
        <v>71581.63872012717</v>
      </c>
      <c r="AB65" s="9">
        <f t="shared" si="25"/>
        <v>73662.3210357207</v>
      </c>
      <c r="AC65" s="9">
        <f t="shared" si="25"/>
        <v>75803.48309131221</v>
      </c>
      <c r="AD65" s="188">
        <f t="shared" si="28"/>
        <v>1334461.2943105572</v>
      </c>
    </row>
    <row r="66" spans="1:30" ht="12.75">
      <c r="A66" s="60" t="s">
        <v>19</v>
      </c>
      <c r="B66" s="36">
        <f t="shared" si="26"/>
        <v>0.6715984668883408</v>
      </c>
      <c r="C66" s="37">
        <f t="shared" si="26"/>
        <v>9</v>
      </c>
      <c r="D66" s="16"/>
      <c r="E66" s="9"/>
      <c r="F66" s="9">
        <f t="shared" si="27"/>
        <v>32086.972939115047</v>
      </c>
      <c r="G66" s="9">
        <f t="shared" si="25"/>
        <v>33019.65341904058</v>
      </c>
      <c r="H66" s="9">
        <f t="shared" si="25"/>
        <v>33979.44436773127</v>
      </c>
      <c r="I66" s="9">
        <f t="shared" si="25"/>
        <v>34967.13381231159</v>
      </c>
      <c r="J66" s="9">
        <f t="shared" si="25"/>
        <v>35983.53268569771</v>
      </c>
      <c r="K66" s="9">
        <f t="shared" si="25"/>
        <v>37029.475492406054</v>
      </c>
      <c r="L66" s="9">
        <f t="shared" si="25"/>
        <v>38105.82099371531</v>
      </c>
      <c r="M66" s="9">
        <f t="shared" si="25"/>
        <v>39213.45291274404</v>
      </c>
      <c r="N66" s="9">
        <f t="shared" si="25"/>
        <v>40353.2806600231</v>
      </c>
      <c r="O66" s="9">
        <f t="shared" si="25"/>
        <v>41526.24008015836</v>
      </c>
      <c r="P66" s="9">
        <f t="shared" si="25"/>
        <v>42733.29422019695</v>
      </c>
      <c r="Q66" s="9">
        <f t="shared" si="25"/>
        <v>43975.43412032776</v>
      </c>
      <c r="R66" s="9">
        <f t="shared" si="25"/>
        <v>45253.67962756545</v>
      </c>
      <c r="S66" s="9">
        <f t="shared" si="25"/>
        <v>46569.08023308602</v>
      </c>
      <c r="T66" s="9">
        <f t="shared" si="25"/>
        <v>47922.715933901476</v>
      </c>
      <c r="U66" s="9">
        <f t="shared" si="25"/>
        <v>49315.698119580935</v>
      </c>
      <c r="V66" s="9">
        <f t="shared" si="25"/>
        <v>50749.1704847464</v>
      </c>
      <c r="W66" s="9">
        <f t="shared" si="25"/>
        <v>52224.30996809218</v>
      </c>
      <c r="X66" s="9">
        <f t="shared" si="25"/>
        <v>53742.32771869908</v>
      </c>
      <c r="Y66" s="9">
        <f t="shared" si="25"/>
        <v>55304.47009043675</v>
      </c>
      <c r="Z66" s="9">
        <f t="shared" si="25"/>
        <v>56912.01966527048</v>
      </c>
      <c r="AA66" s="9">
        <f t="shared" si="25"/>
        <v>58566.29630631284</v>
      </c>
      <c r="AB66" s="9">
        <f t="shared" si="25"/>
        <v>60268.65824148451</v>
      </c>
      <c r="AC66" s="9">
        <f t="shared" si="25"/>
        <v>62020.50317867435</v>
      </c>
      <c r="AD66" s="188">
        <f t="shared" si="28"/>
        <v>1091822.665271318</v>
      </c>
    </row>
    <row r="67" spans="1:30" ht="12.75">
      <c r="A67" s="60" t="s">
        <v>20</v>
      </c>
      <c r="B67" s="36">
        <f t="shared" si="26"/>
        <v>0.8243049688800121</v>
      </c>
      <c r="C67" s="37">
        <f t="shared" si="26"/>
        <v>20</v>
      </c>
      <c r="D67" s="16"/>
      <c r="E67" s="9"/>
      <c r="F67" s="9">
        <f t="shared" si="27"/>
        <v>39382.834437632024</v>
      </c>
      <c r="G67" s="9">
        <f t="shared" si="25"/>
        <v>40527.58564223511</v>
      </c>
      <c r="H67" s="9">
        <f t="shared" si="25"/>
        <v>41705.611631123094</v>
      </c>
      <c r="I67" s="9">
        <f t="shared" si="25"/>
        <v>42917.87961120064</v>
      </c>
      <c r="J67" s="9">
        <f t="shared" si="25"/>
        <v>44165.38490342984</v>
      </c>
      <c r="K67" s="9">
        <f t="shared" si="25"/>
        <v>45449.1517600289</v>
      </c>
      <c r="L67" s="9">
        <f t="shared" si="25"/>
        <v>46770.23420542462</v>
      </c>
      <c r="M67" s="9">
        <f t="shared" si="25"/>
        <v>48129.71690164895</v>
      </c>
      <c r="N67" s="9">
        <f t="shared" si="25"/>
        <v>49528.71603889035</v>
      </c>
      <c r="O67" s="9">
        <f t="shared" si="25"/>
        <v>50968.380251931</v>
      </c>
      <c r="P67" s="9">
        <f t="shared" si="25"/>
        <v>52449.89156322234</v>
      </c>
      <c r="Q67" s="9">
        <f t="shared" si="25"/>
        <v>53974.46635337323</v>
      </c>
      <c r="R67" s="9">
        <f t="shared" si="25"/>
        <v>55543.35635984754</v>
      </c>
      <c r="S67" s="9">
        <f t="shared" si="25"/>
        <v>57157.84970469112</v>
      </c>
      <c r="T67" s="9">
        <f t="shared" si="25"/>
        <v>58819.27195213213</v>
      </c>
      <c r="U67" s="9">
        <f t="shared" si="25"/>
        <v>60528.987196922615</v>
      </c>
      <c r="V67" s="9">
        <f t="shared" si="25"/>
        <v>62288.39918431557</v>
      </c>
      <c r="W67" s="9">
        <f t="shared" si="25"/>
        <v>64098.95246259633</v>
      </c>
      <c r="X67" s="9">
        <f t="shared" si="25"/>
        <v>65962.1335691151</v>
      </c>
      <c r="Y67" s="9">
        <f t="shared" si="25"/>
        <v>67879.47225079416</v>
      </c>
      <c r="Z67" s="9">
        <f t="shared" si="25"/>
        <v>69852.54272011181</v>
      </c>
      <c r="AA67" s="9">
        <f t="shared" si="25"/>
        <v>71882.96494759446</v>
      </c>
      <c r="AB67" s="9">
        <f t="shared" si="25"/>
        <v>73972.4059918777</v>
      </c>
      <c r="AC67" s="9">
        <f t="shared" si="25"/>
        <v>76122.58136842895</v>
      </c>
      <c r="AD67" s="188">
        <f t="shared" si="28"/>
        <v>1340078.7710085677</v>
      </c>
    </row>
    <row r="68" spans="1:30" ht="12.75">
      <c r="A68" s="60" t="s">
        <v>22</v>
      </c>
      <c r="B68" s="36">
        <f t="shared" si="26"/>
        <v>0.11108830806400877</v>
      </c>
      <c r="C68" s="37">
        <f t="shared" si="26"/>
        <v>9</v>
      </c>
      <c r="D68" s="16"/>
      <c r="E68" s="9"/>
      <c r="F68" s="9">
        <f t="shared" si="27"/>
        <v>5307.468242470769</v>
      </c>
      <c r="G68" s="9">
        <f t="shared" si="25"/>
        <v>5461.74181751227</v>
      </c>
      <c r="H68" s="9">
        <f t="shared" si="25"/>
        <v>5620.499703126867</v>
      </c>
      <c r="I68" s="9">
        <f t="shared" si="25"/>
        <v>5783.872245949171</v>
      </c>
      <c r="J68" s="9">
        <f t="shared" si="25"/>
        <v>5951.993581433697</v>
      </c>
      <c r="K68" s="9">
        <f t="shared" si="25"/>
        <v>6125.001743985487</v>
      </c>
      <c r="L68" s="9">
        <f t="shared" si="25"/>
        <v>6303.038780291931</v>
      </c>
      <c r="M68" s="9">
        <f t="shared" si="25"/>
        <v>6486.250865948837</v>
      </c>
      <c r="N68" s="9">
        <f t="shared" si="25"/>
        <v>6674.7884254764895</v>
      </c>
      <c r="O68" s="9">
        <f t="shared" si="25"/>
        <v>6868.806255824263</v>
      </c>
      <c r="P68" s="9">
        <f t="shared" si="25"/>
        <v>7068.463653465164</v>
      </c>
      <c r="Q68" s="9">
        <f t="shared" si="25"/>
        <v>7273.924545184665</v>
      </c>
      <c r="R68" s="9">
        <f t="shared" si="25"/>
        <v>7485.357622671222</v>
      </c>
      <c r="S68" s="9">
        <f t="shared" si="25"/>
        <v>7702.936481018955</v>
      </c>
      <c r="T68" s="9">
        <f t="shared" si="25"/>
        <v>7926.839761256235</v>
      </c>
      <c r="U68" s="9">
        <f t="shared" si="25"/>
        <v>8157.2512970171765</v>
      </c>
      <c r="V68" s="9">
        <f t="shared" si="25"/>
        <v>8394.36026547648</v>
      </c>
      <c r="W68" s="9">
        <f t="shared" si="25"/>
        <v>8638.36134267153</v>
      </c>
      <c r="X68" s="9">
        <f t="shared" si="25"/>
        <v>8889.454863339273</v>
      </c>
      <c r="Y68" s="9">
        <f t="shared" si="25"/>
        <v>9147.846985399146</v>
      </c>
      <c r="Z68" s="9">
        <f t="shared" si="25"/>
        <v>9413.749859217032</v>
      </c>
      <c r="AA68" s="9">
        <f t="shared" si="25"/>
        <v>9687.38180178929</v>
      </c>
      <c r="AB68" s="9">
        <f t="shared" si="25"/>
        <v>9968.967475989815</v>
      </c>
      <c r="AC68" s="9">
        <f t="shared" si="25"/>
        <v>10258.738075027342</v>
      </c>
      <c r="AD68" s="188">
        <f t="shared" si="28"/>
        <v>180597.09569154307</v>
      </c>
    </row>
    <row r="69" spans="1:30" ht="12.75">
      <c r="A69" s="60" t="s">
        <v>25</v>
      </c>
      <c r="B69" s="36">
        <f t="shared" si="26"/>
        <v>0.22611176020100568</v>
      </c>
      <c r="C69" s="37">
        <f t="shared" si="26"/>
        <v>18</v>
      </c>
      <c r="D69" s="16"/>
      <c r="E69" s="8"/>
      <c r="F69" s="9">
        <f t="shared" si="27"/>
        <v>10802.945939409936</v>
      </c>
      <c r="G69" s="9">
        <f t="shared" si="25"/>
        <v>11116.958009744432</v>
      </c>
      <c r="H69" s="9">
        <f t="shared" si="25"/>
        <v>11440.097551499111</v>
      </c>
      <c r="I69" s="9">
        <f t="shared" si="25"/>
        <v>11772.629875285882</v>
      </c>
      <c r="J69" s="9">
        <f t="shared" si="25"/>
        <v>12114.82800356997</v>
      </c>
      <c r="K69" s="9">
        <f t="shared" si="25"/>
        <v>12466.972894832394</v>
      </c>
      <c r="L69" s="9">
        <f t="shared" si="25"/>
        <v>12829.353674248216</v>
      </c>
      <c r="M69" s="9">
        <f t="shared" si="25"/>
        <v>13202.267871069997</v>
      </c>
      <c r="N69" s="9">
        <f t="shared" si="25"/>
        <v>13586.02166291131</v>
      </c>
      <c r="O69" s="9">
        <f t="shared" si="25"/>
        <v>13980.930127130943</v>
      </c>
      <c r="P69" s="9">
        <f t="shared" si="25"/>
        <v>14387.317499524117</v>
      </c>
      <c r="Q69" s="9">
        <f t="shared" si="25"/>
        <v>14805.517440533178</v>
      </c>
      <c r="R69" s="9">
        <f t="shared" si="25"/>
        <v>15235.873309196284</v>
      </c>
      <c r="S69" s="9">
        <f t="shared" si="25"/>
        <v>15678.73844505904</v>
      </c>
      <c r="T69" s="9">
        <f t="shared" si="25"/>
        <v>16134.476458280551</v>
      </c>
      <c r="U69" s="9">
        <f t="shared" si="25"/>
        <v>16603.461528172014</v>
      </c>
      <c r="V69" s="9">
        <f t="shared" si="25"/>
        <v>17086.078710413065</v>
      </c>
      <c r="W69" s="9">
        <f t="shared" si="25"/>
        <v>17582.724253198037</v>
      </c>
      <c r="X69" s="9">
        <f t="shared" si="25"/>
        <v>18093.80592257172</v>
      </c>
      <c r="Y69" s="9">
        <f t="shared" si="25"/>
        <v>18619.74333722175</v>
      </c>
      <c r="Z69" s="9">
        <f t="shared" si="25"/>
        <v>19160.968313002504</v>
      </c>
      <c r="AA69" s="9">
        <f t="shared" si="25"/>
        <v>19717.92521747335</v>
      </c>
      <c r="AB69" s="9">
        <f t="shared" si="25"/>
        <v>20291.071334742333</v>
      </c>
      <c r="AC69" s="9">
        <f t="shared" si="25"/>
        <v>20880.877240914946</v>
      </c>
      <c r="AD69" s="188">
        <f t="shared" si="28"/>
        <v>367591.58462000516</v>
      </c>
    </row>
    <row r="70" spans="1:30" ht="12.75">
      <c r="A70" s="189"/>
      <c r="B70" s="16"/>
      <c r="C70" s="16"/>
      <c r="D70" s="16"/>
      <c r="E70" s="8"/>
      <c r="F70" s="8"/>
      <c r="G70" s="8"/>
      <c r="H70" s="8"/>
      <c r="I70" s="8"/>
      <c r="J70" s="8"/>
      <c r="K70" s="8"/>
      <c r="L70" s="8"/>
      <c r="M70" s="8"/>
      <c r="N70" s="8"/>
      <c r="O70" s="8"/>
      <c r="P70" s="8"/>
      <c r="Q70" s="8"/>
      <c r="R70" s="8"/>
      <c r="S70" s="8"/>
      <c r="T70" s="8"/>
      <c r="U70" s="8"/>
      <c r="V70" s="8"/>
      <c r="W70" s="8"/>
      <c r="X70" s="8"/>
      <c r="Y70" s="8"/>
      <c r="Z70" s="8"/>
      <c r="AA70" s="8"/>
      <c r="AB70" s="8"/>
      <c r="AC70" s="8"/>
      <c r="AD70" s="187"/>
    </row>
    <row r="71" spans="1:30" ht="25.5">
      <c r="A71" s="185" t="s">
        <v>65</v>
      </c>
      <c r="B71" s="16"/>
      <c r="C71" s="9"/>
      <c r="D71" s="16"/>
      <c r="E71" s="8"/>
      <c r="F71" s="8"/>
      <c r="G71" s="8"/>
      <c r="H71" s="8"/>
      <c r="I71" s="8"/>
      <c r="J71" s="8"/>
      <c r="K71" s="8"/>
      <c r="L71" s="8"/>
      <c r="M71" s="8"/>
      <c r="N71" s="8"/>
      <c r="O71" s="8"/>
      <c r="P71" s="8"/>
      <c r="Q71" s="8"/>
      <c r="R71" s="8"/>
      <c r="S71" s="8"/>
      <c r="T71" s="8"/>
      <c r="U71" s="8"/>
      <c r="V71" s="8"/>
      <c r="W71" s="8"/>
      <c r="X71" s="8"/>
      <c r="Y71" s="8"/>
      <c r="Z71" s="8"/>
      <c r="AA71" s="8"/>
      <c r="AB71" s="8"/>
      <c r="AC71" s="8"/>
      <c r="AD71" s="187"/>
    </row>
    <row r="72" spans="1:30" ht="12.75">
      <c r="A72" s="60" t="s">
        <v>14</v>
      </c>
      <c r="B72" s="38">
        <f aca="true" t="shared" si="29" ref="B72:C80">B36</f>
        <v>0.6380307253225443</v>
      </c>
      <c r="C72" s="39">
        <f t="shared" si="29"/>
        <v>12</v>
      </c>
      <c r="D72" s="16"/>
      <c r="E72" s="9"/>
      <c r="F72" s="9">
        <f aca="true" t="shared" si="30" ref="F72:U72">$B72*F$18</f>
        <v>11792.603767379309</v>
      </c>
      <c r="G72" s="9">
        <f t="shared" si="30"/>
        <v>11882.892538992925</v>
      </c>
      <c r="H72" s="9">
        <f t="shared" si="30"/>
        <v>11973.872596639745</v>
      </c>
      <c r="I72" s="9">
        <f t="shared" si="30"/>
        <v>12065.549233075126</v>
      </c>
      <c r="J72" s="9">
        <f t="shared" si="30"/>
        <v>12157.927781577826</v>
      </c>
      <c r="K72" s="9">
        <f t="shared" si="30"/>
        <v>12251.013616260263</v>
      </c>
      <c r="L72" s="9">
        <f t="shared" si="30"/>
        <v>12344.81215238115</v>
      </c>
      <c r="M72" s="9">
        <f t="shared" si="30"/>
        <v>12439.328846660537</v>
      </c>
      <c r="N72" s="9">
        <f t="shared" si="30"/>
        <v>12534.56919759725</v>
      </c>
      <c r="O72" s="9">
        <f t="shared" si="30"/>
        <v>12630.538745788763</v>
      </c>
      <c r="P72" s="9">
        <f t="shared" si="30"/>
        <v>12727.243074253527</v>
      </c>
      <c r="Q72" s="9">
        <f t="shared" si="30"/>
        <v>12824.687808755756</v>
      </c>
      <c r="R72" s="9">
        <f t="shared" si="30"/>
        <v>12922.878618132709</v>
      </c>
      <c r="S72" s="9">
        <f t="shared" si="30"/>
        <v>13021.821214624473</v>
      </c>
      <c r="T72" s="9">
        <f t="shared" si="30"/>
        <v>13121.521354206274</v>
      </c>
      <c r="U72" s="9">
        <f t="shared" si="30"/>
        <v>13221.984836923324</v>
      </c>
      <c r="V72" s="9">
        <f aca="true" t="shared" si="31" ref="G72:AC80">$B72*V$18</f>
        <v>13323.217507228244</v>
      </c>
      <c r="W72" s="9">
        <f t="shared" si="31"/>
        <v>13425.225254321065</v>
      </c>
      <c r="X72" s="9">
        <f t="shared" si="31"/>
        <v>13528.014012491825</v>
      </c>
      <c r="Y72" s="9">
        <f t="shared" si="31"/>
        <v>13631.589761465804</v>
      </c>
      <c r="Z72" s="9">
        <f t="shared" si="31"/>
        <v>13735.958526751388</v>
      </c>
      <c r="AA72" s="9">
        <f t="shared" si="31"/>
        <v>13841.126379990605</v>
      </c>
      <c r="AB72" s="9">
        <f t="shared" si="31"/>
        <v>13947.099439312338</v>
      </c>
      <c r="AC72" s="9">
        <f t="shared" si="31"/>
        <v>14053.883869688254</v>
      </c>
      <c r="AD72" s="188">
        <f>SUM(E72:AC72)</f>
        <v>309399.3601344985</v>
      </c>
    </row>
    <row r="73" spans="1:30" ht="12.75">
      <c r="A73" s="60" t="s">
        <v>15</v>
      </c>
      <c r="B73" s="38">
        <f t="shared" si="29"/>
        <v>1.1204469504317132</v>
      </c>
      <c r="C73" s="39">
        <f t="shared" si="29"/>
        <v>19</v>
      </c>
      <c r="D73" s="16"/>
      <c r="E73" s="9"/>
      <c r="F73" s="9">
        <f aca="true" t="shared" si="32" ref="F73:F80">$B73*F$18</f>
        <v>20709.01353869769</v>
      </c>
      <c r="G73" s="9">
        <f t="shared" si="31"/>
        <v>20867.56981944978</v>
      </c>
      <c r="H73" s="9">
        <f t="shared" si="31"/>
        <v>21027.34006889811</v>
      </c>
      <c r="I73" s="9">
        <f t="shared" si="31"/>
        <v>21188.333581660263</v>
      </c>
      <c r="J73" s="9">
        <f t="shared" si="31"/>
        <v>21350.559723517043</v>
      </c>
      <c r="K73" s="9">
        <f t="shared" si="31"/>
        <v>21514.027931957316</v>
      </c>
      <c r="L73" s="9">
        <f t="shared" si="31"/>
        <v>21678.74771672705</v>
      </c>
      <c r="M73" s="9">
        <f t="shared" si="31"/>
        <v>21844.72866038253</v>
      </c>
      <c r="N73" s="9">
        <f t="shared" si="31"/>
        <v>22011.98041884783</v>
      </c>
      <c r="O73" s="9">
        <f t="shared" si="31"/>
        <v>22180.51272197654</v>
      </c>
      <c r="P73" s="9">
        <f t="shared" si="31"/>
        <v>22350.33537411781</v>
      </c>
      <c r="Q73" s="9">
        <f t="shared" si="31"/>
        <v>22521.458254686695</v>
      </c>
      <c r="R73" s="9">
        <f t="shared" si="31"/>
        <v>22693.89131873892</v>
      </c>
      <c r="S73" s="9">
        <f t="shared" si="31"/>
        <v>22867.64459754998</v>
      </c>
      <c r="T73" s="9">
        <f t="shared" si="31"/>
        <v>23042.728199198747</v>
      </c>
      <c r="U73" s="9">
        <f t="shared" si="31"/>
        <v>23219.152309155463</v>
      </c>
      <c r="V73" s="9">
        <f t="shared" si="31"/>
        <v>23396.927190874314</v>
      </c>
      <c r="W73" s="9">
        <f t="shared" si="31"/>
        <v>23576.063186390485</v>
      </c>
      <c r="X73" s="9">
        <f t="shared" si="31"/>
        <v>23756.570716921826</v>
      </c>
      <c r="Y73" s="9">
        <f t="shared" si="31"/>
        <v>23938.46028347508</v>
      </c>
      <c r="Z73" s="9">
        <f t="shared" si="31"/>
        <v>24121.7424674568</v>
      </c>
      <c r="AA73" s="9">
        <f t="shared" si="31"/>
        <v>24306.427931288905</v>
      </c>
      <c r="AB73" s="9">
        <f t="shared" si="31"/>
        <v>24492.52741902898</v>
      </c>
      <c r="AC73" s="9">
        <f t="shared" si="31"/>
        <v>24680.051756995304</v>
      </c>
      <c r="AD73" s="188">
        <f aca="true" t="shared" si="33" ref="AD73:AD80">SUM(E73:AC73)</f>
        <v>543336.7951879933</v>
      </c>
    </row>
    <row r="74" spans="1:30" ht="12.75">
      <c r="A74" s="60" t="s">
        <v>16</v>
      </c>
      <c r="B74" s="38">
        <f t="shared" si="29"/>
        <v>0.5673737735173195</v>
      </c>
      <c r="C74" s="39">
        <f t="shared" si="29"/>
        <v>22</v>
      </c>
      <c r="D74" s="16"/>
      <c r="E74" s="9"/>
      <c r="F74" s="9">
        <f t="shared" si="32"/>
        <v>10486.664409006546</v>
      </c>
      <c r="G74" s="9">
        <f t="shared" si="31"/>
        <v>10566.954399791493</v>
      </c>
      <c r="H74" s="9">
        <f t="shared" si="31"/>
        <v>10647.859122045746</v>
      </c>
      <c r="I74" s="9">
        <f t="shared" si="31"/>
        <v>10729.383282393075</v>
      </c>
      <c r="J74" s="9">
        <f t="shared" si="31"/>
        <v>10811.531623493001</v>
      </c>
      <c r="K74" s="9">
        <f t="shared" si="31"/>
        <v>10894.308924316694</v>
      </c>
      <c r="L74" s="9">
        <f t="shared" si="31"/>
        <v>10977.720000424988</v>
      </c>
      <c r="M74" s="9">
        <f t="shared" si="31"/>
        <v>11061.769704248529</v>
      </c>
      <c r="N74" s="9">
        <f t="shared" si="31"/>
        <v>11146.462925370064</v>
      </c>
      <c r="O74" s="9">
        <f t="shared" si="31"/>
        <v>11231.804590808895</v>
      </c>
      <c r="P74" s="9">
        <f t="shared" si="31"/>
        <v>11317.7996653075</v>
      </c>
      <c r="Q74" s="9">
        <f t="shared" si="31"/>
        <v>11404.453151620364</v>
      </c>
      <c r="R74" s="9">
        <f t="shared" si="31"/>
        <v>11491.770090805005</v>
      </c>
      <c r="S74" s="9">
        <f t="shared" si="31"/>
        <v>11579.755562515249</v>
      </c>
      <c r="T74" s="9">
        <f t="shared" si="31"/>
        <v>11668.414685296733</v>
      </c>
      <c r="U74" s="9">
        <f t="shared" si="31"/>
        <v>11757.752616884665</v>
      </c>
      <c r="V74" s="9">
        <f t="shared" si="31"/>
        <v>11847.774554503894</v>
      </c>
      <c r="W74" s="9">
        <f t="shared" si="31"/>
        <v>11938.485735171245</v>
      </c>
      <c r="X74" s="9">
        <f t="shared" si="31"/>
        <v>12029.891436000185</v>
      </c>
      <c r="Y74" s="9">
        <f t="shared" si="31"/>
        <v>12121.996974507818</v>
      </c>
      <c r="Z74" s="9">
        <f t="shared" si="31"/>
        <v>12214.807708924236</v>
      </c>
      <c r="AA74" s="9">
        <f t="shared" si="31"/>
        <v>12308.329038504226</v>
      </c>
      <c r="AB74" s="9">
        <f t="shared" si="31"/>
        <v>12402.566403841374</v>
      </c>
      <c r="AC74" s="9">
        <f t="shared" si="31"/>
        <v>12497.525287184575</v>
      </c>
      <c r="AD74" s="188">
        <f t="shared" si="33"/>
        <v>275135.78189296613</v>
      </c>
    </row>
    <row r="75" spans="1:30" ht="12.75">
      <c r="A75" s="60" t="s">
        <v>17</v>
      </c>
      <c r="B75" s="38">
        <f t="shared" si="29"/>
        <v>0.8468925125391364</v>
      </c>
      <c r="C75" s="39">
        <f t="shared" si="29"/>
        <v>14</v>
      </c>
      <c r="D75" s="16"/>
      <c r="E75" s="9"/>
      <c r="F75" s="9">
        <f t="shared" si="32"/>
        <v>15652.957510605114</v>
      </c>
      <c r="G75" s="9">
        <f t="shared" si="31"/>
        <v>15772.802655378153</v>
      </c>
      <c r="H75" s="9">
        <f t="shared" si="31"/>
        <v>15893.565381299417</v>
      </c>
      <c r="I75" s="9">
        <f t="shared" si="31"/>
        <v>16015.252713727878</v>
      </c>
      <c r="J75" s="9">
        <f t="shared" si="31"/>
        <v>16137.871731811403</v>
      </c>
      <c r="K75" s="9">
        <f t="shared" si="31"/>
        <v>16261.429568898573</v>
      </c>
      <c r="L75" s="9">
        <f t="shared" si="31"/>
        <v>16385.93341295366</v>
      </c>
      <c r="M75" s="9">
        <f t="shared" si="31"/>
        <v>16511.390506974793</v>
      </c>
      <c r="N75" s="9">
        <f t="shared" si="31"/>
        <v>16637.80814941533</v>
      </c>
      <c r="O75" s="9">
        <f t="shared" si="31"/>
        <v>16765.193694608424</v>
      </c>
      <c r="P75" s="9">
        <f t="shared" si="31"/>
        <v>16893.554553194866</v>
      </c>
      <c r="Q75" s="9">
        <f t="shared" si="31"/>
        <v>17022.898192554214</v>
      </c>
      <c r="R75" s="9">
        <f t="shared" si="31"/>
        <v>17153.23213723918</v>
      </c>
      <c r="S75" s="9">
        <f t="shared" si="31"/>
        <v>17284.5639694134</v>
      </c>
      <c r="T75" s="9">
        <f t="shared" si="31"/>
        <v>17416.901329292505</v>
      </c>
      <c r="U75" s="9">
        <f t="shared" si="31"/>
        <v>17550.251915588586</v>
      </c>
      <c r="V75" s="9">
        <f t="shared" si="31"/>
        <v>17684.623485958084</v>
      </c>
      <c r="W75" s="9">
        <f t="shared" si="31"/>
        <v>17820.02385745308</v>
      </c>
      <c r="X75" s="9">
        <f t="shared" si="31"/>
        <v>17956.46090697606</v>
      </c>
      <c r="Y75" s="9">
        <f t="shared" si="31"/>
        <v>18093.94257173813</v>
      </c>
      <c r="Z75" s="9">
        <f t="shared" si="31"/>
        <v>18232.4768497208</v>
      </c>
      <c r="AA75" s="9">
        <f t="shared" si="31"/>
        <v>18372.07180014122</v>
      </c>
      <c r="AB75" s="9">
        <f t="shared" si="31"/>
        <v>18512.73554392107</v>
      </c>
      <c r="AC75" s="9">
        <f t="shared" si="31"/>
        <v>18654.47626415896</v>
      </c>
      <c r="AD75" s="188">
        <f t="shared" si="33"/>
        <v>410682.418703023</v>
      </c>
    </row>
    <row r="76" spans="1:30" ht="12.75">
      <c r="A76" s="60" t="s">
        <v>18</v>
      </c>
      <c r="B76" s="38">
        <f t="shared" si="29"/>
        <v>0.8208495645747469</v>
      </c>
      <c r="C76" s="39">
        <f t="shared" si="29"/>
        <v>14</v>
      </c>
      <c r="D76" s="16"/>
      <c r="E76" s="9"/>
      <c r="F76" s="9">
        <f t="shared" si="32"/>
        <v>15171.610525123706</v>
      </c>
      <c r="G76" s="9">
        <f t="shared" si="31"/>
        <v>15287.77028972996</v>
      </c>
      <c r="H76" s="9">
        <f t="shared" si="31"/>
        <v>15404.819418777193</v>
      </c>
      <c r="I76" s="9">
        <f t="shared" si="31"/>
        <v>15522.764721586267</v>
      </c>
      <c r="J76" s="9">
        <f t="shared" si="31"/>
        <v>15641.613059612864</v>
      </c>
      <c r="K76" s="9">
        <f t="shared" si="31"/>
        <v>15761.371346846643</v>
      </c>
      <c r="L76" s="9">
        <f t="shared" si="31"/>
        <v>15882.046550213467</v>
      </c>
      <c r="M76" s="9">
        <f t="shared" si="31"/>
        <v>16003.64568998069</v>
      </c>
      <c r="N76" s="9">
        <f t="shared" si="31"/>
        <v>16126.17584016558</v>
      </c>
      <c r="O76" s="9">
        <f t="shared" si="31"/>
        <v>16249.644128946838</v>
      </c>
      <c r="P76" s="9">
        <f t="shared" si="31"/>
        <v>16374.057739079275</v>
      </c>
      <c r="Q76" s="9">
        <f t="shared" si="31"/>
        <v>16499.423908311674</v>
      </c>
      <c r="R76" s="9">
        <f t="shared" si="31"/>
        <v>16625.749929807847</v>
      </c>
      <c r="S76" s="9">
        <f t="shared" si="31"/>
        <v>16753.043152570906</v>
      </c>
      <c r="T76" s="9">
        <f t="shared" si="31"/>
        <v>16881.310981870804</v>
      </c>
      <c r="U76" s="9">
        <f t="shared" si="31"/>
        <v>17010.560879675122</v>
      </c>
      <c r="V76" s="9">
        <f t="shared" si="31"/>
        <v>17140.80036508317</v>
      </c>
      <c r="W76" s="9">
        <f t="shared" si="31"/>
        <v>17272.037014763424</v>
      </c>
      <c r="X76" s="9">
        <f t="shared" si="31"/>
        <v>17404.27846339428</v>
      </c>
      <c r="Y76" s="9">
        <f t="shared" si="31"/>
        <v>17537.532404108206</v>
      </c>
      <c r="Z76" s="9">
        <f t="shared" si="31"/>
        <v>17671.8065889393</v>
      </c>
      <c r="AA76" s="9">
        <f t="shared" si="31"/>
        <v>17807.108829274246</v>
      </c>
      <c r="AB76" s="9">
        <f t="shared" si="31"/>
        <v>17943.446996306757</v>
      </c>
      <c r="AC76" s="9">
        <f t="shared" si="31"/>
        <v>18080.829021495465</v>
      </c>
      <c r="AD76" s="188">
        <f t="shared" si="33"/>
        <v>398053.44784566364</v>
      </c>
    </row>
    <row r="77" spans="1:30" ht="12.75">
      <c r="A77" s="60" t="s">
        <v>19</v>
      </c>
      <c r="B77" s="38">
        <f t="shared" si="29"/>
        <v>0.6715984668883408</v>
      </c>
      <c r="C77" s="39">
        <f t="shared" si="29"/>
        <v>9</v>
      </c>
      <c r="D77" s="16"/>
      <c r="E77" s="9"/>
      <c r="F77" s="9">
        <f t="shared" si="32"/>
        <v>12413.030119811021</v>
      </c>
      <c r="G77" s="9">
        <f t="shared" si="31"/>
        <v>12508.069117442808</v>
      </c>
      <c r="H77" s="9">
        <f t="shared" si="31"/>
        <v>12603.835770689997</v>
      </c>
      <c r="I77" s="9">
        <f t="shared" si="31"/>
        <v>12700.335650767649</v>
      </c>
      <c r="J77" s="9">
        <f t="shared" si="31"/>
        <v>12797.574371546212</v>
      </c>
      <c r="K77" s="9">
        <f t="shared" si="31"/>
        <v>12895.557589878123</v>
      </c>
      <c r="L77" s="9">
        <f t="shared" si="31"/>
        <v>12994.291005926876</v>
      </c>
      <c r="M77" s="9">
        <f t="shared" si="31"/>
        <v>13093.780363498645</v>
      </c>
      <c r="N77" s="9">
        <f t="shared" si="31"/>
        <v>13194.031450376426</v>
      </c>
      <c r="O77" s="9">
        <f t="shared" si="31"/>
        <v>13295.050098656733</v>
      </c>
      <c r="P77" s="9">
        <f t="shared" si="31"/>
        <v>13396.842185088886</v>
      </c>
      <c r="Q77" s="9">
        <f t="shared" si="31"/>
        <v>13499.41363141689</v>
      </c>
      <c r="R77" s="9">
        <f t="shared" si="31"/>
        <v>13602.770404723928</v>
      </c>
      <c r="S77" s="9">
        <f t="shared" si="31"/>
        <v>13706.918517779497</v>
      </c>
      <c r="T77" s="9">
        <f t="shared" si="31"/>
        <v>13811.864029389211</v>
      </c>
      <c r="U77" s="9">
        <f t="shared" si="31"/>
        <v>13917.613044747251</v>
      </c>
      <c r="V77" s="9">
        <f t="shared" si="31"/>
        <v>14024.171715791545</v>
      </c>
      <c r="W77" s="9">
        <f t="shared" si="31"/>
        <v>14131.546241561662</v>
      </c>
      <c r="X77" s="9">
        <f t="shared" si="31"/>
        <v>14239.74286855943</v>
      </c>
      <c r="Y77" s="9">
        <f t="shared" si="31"/>
        <v>14348.767891112335</v>
      </c>
      <c r="Z77" s="9">
        <f t="shared" si="31"/>
        <v>14458.627651739682</v>
      </c>
      <c r="AA77" s="9">
        <f t="shared" si="31"/>
        <v>14569.32854152158</v>
      </c>
      <c r="AB77" s="9">
        <f t="shared" si="31"/>
        <v>14680.877000470737</v>
      </c>
      <c r="AC77" s="9">
        <f t="shared" si="31"/>
        <v>14793.27951790711</v>
      </c>
      <c r="AD77" s="188">
        <f t="shared" si="33"/>
        <v>325677.3187804043</v>
      </c>
    </row>
    <row r="78" spans="1:30" ht="12.75">
      <c r="A78" s="60" t="s">
        <v>20</v>
      </c>
      <c r="B78" s="38">
        <f t="shared" si="29"/>
        <v>0.8243049688800121</v>
      </c>
      <c r="C78" s="39">
        <f t="shared" si="29"/>
        <v>20</v>
      </c>
      <c r="D78" s="16"/>
      <c r="E78" s="9"/>
      <c r="F78" s="9">
        <f t="shared" si="32"/>
        <v>15235.476123144068</v>
      </c>
      <c r="G78" s="9">
        <f t="shared" si="31"/>
        <v>15352.124867665818</v>
      </c>
      <c r="H78" s="9">
        <f t="shared" si="31"/>
        <v>15469.666720449399</v>
      </c>
      <c r="I78" s="9">
        <f t="shared" si="31"/>
        <v>15588.108519479827</v>
      </c>
      <c r="J78" s="9">
        <f t="shared" si="31"/>
        <v>15707.457155096401</v>
      </c>
      <c r="K78" s="9">
        <f t="shared" si="31"/>
        <v>15827.719570393541</v>
      </c>
      <c r="L78" s="9">
        <f t="shared" si="31"/>
        <v>15948.902761624702</v>
      </c>
      <c r="M78" s="9">
        <f t="shared" si="31"/>
        <v>16071.013778609387</v>
      </c>
      <c r="N78" s="9">
        <f t="shared" si="31"/>
        <v>16194.059725143265</v>
      </c>
      <c r="O78" s="9">
        <f t="shared" si="31"/>
        <v>16318.04775941143</v>
      </c>
      <c r="P78" s="9">
        <f t="shared" si="31"/>
        <v>16442.985094404838</v>
      </c>
      <c r="Q78" s="9">
        <f t="shared" si="31"/>
        <v>16568.87899833991</v>
      </c>
      <c r="R78" s="9">
        <f t="shared" si="31"/>
        <v>16695.736795081368</v>
      </c>
      <c r="S78" s="9">
        <f t="shared" si="31"/>
        <v>16823.565864568296</v>
      </c>
      <c r="T78" s="9">
        <f t="shared" si="31"/>
        <v>16952.373643243474</v>
      </c>
      <c r="U78" s="9">
        <f t="shared" si="31"/>
        <v>17082.167624485977</v>
      </c>
      <c r="V78" s="9">
        <f t="shared" si="31"/>
        <v>17212.95535904712</v>
      </c>
      <c r="W78" s="9">
        <f t="shared" si="31"/>
        <v>17344.74445548971</v>
      </c>
      <c r="X78" s="9">
        <f t="shared" si="31"/>
        <v>17477.542580630674</v>
      </c>
      <c r="Y78" s="9">
        <f t="shared" si="31"/>
        <v>17611.357459987084</v>
      </c>
      <c r="Z78" s="9">
        <f t="shared" si="31"/>
        <v>17746.196878225583</v>
      </c>
      <c r="AA78" s="9">
        <f t="shared" si="31"/>
        <v>17882.068679615248</v>
      </c>
      <c r="AB78" s="9">
        <f t="shared" si="31"/>
        <v>18018.980768483947</v>
      </c>
      <c r="AC78" s="9">
        <f t="shared" si="31"/>
        <v>18156.941109678162</v>
      </c>
      <c r="AD78" s="188">
        <f t="shared" si="33"/>
        <v>399729.07229229936</v>
      </c>
    </row>
    <row r="79" spans="1:30" ht="12.75">
      <c r="A79" s="60" t="s">
        <v>22</v>
      </c>
      <c r="B79" s="38">
        <f t="shared" si="29"/>
        <v>0.11108830806400877</v>
      </c>
      <c r="C79" s="39">
        <f t="shared" si="29"/>
        <v>9</v>
      </c>
      <c r="D79" s="16"/>
      <c r="E79" s="9"/>
      <c r="F79" s="9">
        <f t="shared" si="32"/>
        <v>2053.2246304050122</v>
      </c>
      <c r="G79" s="9">
        <f t="shared" si="31"/>
        <v>2068.9449185943686</v>
      </c>
      <c r="H79" s="9">
        <f t="shared" si="31"/>
        <v>2084.785567438422</v>
      </c>
      <c r="I79" s="9">
        <f t="shared" si="31"/>
        <v>2100.7474984652663</v>
      </c>
      <c r="J79" s="9">
        <f t="shared" si="31"/>
        <v>2116.8316402585724</v>
      </c>
      <c r="K79" s="9">
        <f t="shared" si="31"/>
        <v>2133.038928511611</v>
      </c>
      <c r="L79" s="9">
        <f t="shared" si="31"/>
        <v>2149.3703060816847</v>
      </c>
      <c r="M79" s="9">
        <f t="shared" si="31"/>
        <v>2165.826723044978</v>
      </c>
      <c r="N79" s="9">
        <f t="shared" si="31"/>
        <v>2182.409136751831</v>
      </c>
      <c r="O79" s="9">
        <f t="shared" si="31"/>
        <v>2199.1185118824296</v>
      </c>
      <c r="P79" s="9">
        <f t="shared" si="31"/>
        <v>2215.9558205029293</v>
      </c>
      <c r="Q79" s="9">
        <f t="shared" si="31"/>
        <v>2232.9220421220007</v>
      </c>
      <c r="R79" s="9">
        <f t="shared" si="31"/>
        <v>2250.018163747816</v>
      </c>
      <c r="S79" s="9">
        <f t="shared" si="31"/>
        <v>2267.245179945466</v>
      </c>
      <c r="T79" s="9">
        <f t="shared" si="31"/>
        <v>2284.604092894821</v>
      </c>
      <c r="U79" s="9">
        <f t="shared" si="31"/>
        <v>2302.095912448829</v>
      </c>
      <c r="V79" s="9">
        <f t="shared" si="31"/>
        <v>2319.7216561922673</v>
      </c>
      <c r="W79" s="9">
        <f t="shared" si="31"/>
        <v>2337.4823495009387</v>
      </c>
      <c r="X79" s="9">
        <f t="shared" si="31"/>
        <v>2355.379025601322</v>
      </c>
      <c r="Y79" s="9">
        <f t="shared" si="31"/>
        <v>2373.4127256306824</v>
      </c>
      <c r="Z79" s="9">
        <f t="shared" si="31"/>
        <v>2391.584498697636</v>
      </c>
      <c r="AA79" s="9">
        <f t="shared" si="31"/>
        <v>2409.895401943185</v>
      </c>
      <c r="AB79" s="9">
        <f t="shared" si="31"/>
        <v>2428.346500602214</v>
      </c>
      <c r="AC79" s="9">
        <f t="shared" si="31"/>
        <v>2446.938868065462</v>
      </c>
      <c r="AD79" s="188">
        <f t="shared" si="33"/>
        <v>53869.900099329745</v>
      </c>
    </row>
    <row r="80" spans="1:30" ht="12.75">
      <c r="A80" s="60" t="s">
        <v>25</v>
      </c>
      <c r="B80" s="38">
        <f t="shared" si="29"/>
        <v>0.1</v>
      </c>
      <c r="C80" s="39">
        <f t="shared" si="29"/>
        <v>18</v>
      </c>
      <c r="D80" s="16"/>
      <c r="E80" s="8"/>
      <c r="F80" s="9">
        <f t="shared" si="32"/>
        <v>1848.2814854124435</v>
      </c>
      <c r="G80" s="9">
        <f t="shared" si="31"/>
        <v>1862.4326489897103</v>
      </c>
      <c r="H80" s="9">
        <f t="shared" si="31"/>
        <v>1876.6921593919449</v>
      </c>
      <c r="I80" s="9">
        <f t="shared" si="31"/>
        <v>1891.0608461646761</v>
      </c>
      <c r="J80" s="9">
        <f t="shared" si="31"/>
        <v>1905.5395452047576</v>
      </c>
      <c r="K80" s="9">
        <f t="shared" si="31"/>
        <v>1920.1290988089947</v>
      </c>
      <c r="L80" s="9">
        <f t="shared" si="31"/>
        <v>1934.8303557231457</v>
      </c>
      <c r="M80" s="9">
        <f t="shared" si="31"/>
        <v>1949.6441711912967</v>
      </c>
      <c r="N80" s="9">
        <f t="shared" si="31"/>
        <v>1964.5714070056165</v>
      </c>
      <c r="O80" s="9">
        <f t="shared" si="31"/>
        <v>1979.6129315564913</v>
      </c>
      <c r="P80" s="9">
        <f t="shared" si="31"/>
        <v>1994.769619883041</v>
      </c>
      <c r="Q80" s="9">
        <f t="shared" si="31"/>
        <v>2010.0423537240276</v>
      </c>
      <c r="R80" s="9">
        <f t="shared" si="31"/>
        <v>2025.4320215691482</v>
      </c>
      <c r="S80" s="9">
        <f t="shared" si="31"/>
        <v>2040.9395187107232</v>
      </c>
      <c r="T80" s="9">
        <f t="shared" si="31"/>
        <v>2056.5657472957805</v>
      </c>
      <c r="U80" s="9">
        <f t="shared" si="31"/>
        <v>2072.3116163785376</v>
      </c>
      <c r="V80" s="9">
        <f t="shared" si="31"/>
        <v>2088.1780419732836</v>
      </c>
      <c r="W80" s="9">
        <f t="shared" si="31"/>
        <v>2104.1659471076723</v>
      </c>
      <c r="X80" s="9">
        <f t="shared" si="31"/>
        <v>2120.276261876416</v>
      </c>
      <c r="Y80" s="9">
        <f t="shared" si="31"/>
        <v>2136.509923495395</v>
      </c>
      <c r="Z80" s="9">
        <f t="shared" si="31"/>
        <v>2152.8678763561797</v>
      </c>
      <c r="AA80" s="9">
        <f t="shared" si="31"/>
        <v>2169.35107208097</v>
      </c>
      <c r="AB80" s="9">
        <f t="shared" si="31"/>
        <v>2185.9604695779576</v>
      </c>
      <c r="AC80" s="9">
        <f t="shared" si="31"/>
        <v>2202.6970350971073</v>
      </c>
      <c r="AD80" s="188">
        <f t="shared" si="33"/>
        <v>48492.86215457531</v>
      </c>
    </row>
    <row r="81" spans="1:30" ht="12.75">
      <c r="A81" s="189"/>
      <c r="B81" s="16"/>
      <c r="C81" s="16"/>
      <c r="D81" s="16"/>
      <c r="E81" s="8"/>
      <c r="F81" s="8"/>
      <c r="G81" s="8"/>
      <c r="H81" s="8"/>
      <c r="I81" s="8"/>
      <c r="J81" s="8"/>
      <c r="K81" s="8"/>
      <c r="L81" s="8"/>
      <c r="M81" s="8"/>
      <c r="N81" s="8"/>
      <c r="O81" s="8"/>
      <c r="P81" s="8"/>
      <c r="Q81" s="8"/>
      <c r="R81" s="8"/>
      <c r="S81" s="8"/>
      <c r="T81" s="8"/>
      <c r="U81" s="8"/>
      <c r="V81" s="8"/>
      <c r="W81" s="8"/>
      <c r="X81" s="8"/>
      <c r="Y81" s="8"/>
      <c r="Z81" s="8"/>
      <c r="AA81" s="8"/>
      <c r="AB81" s="8"/>
      <c r="AC81" s="8"/>
      <c r="AD81" s="187"/>
    </row>
    <row r="82" spans="1:30" ht="25.5">
      <c r="A82" s="185" t="s">
        <v>11</v>
      </c>
      <c r="B82" s="16"/>
      <c r="C82" s="16"/>
      <c r="D82" s="16"/>
      <c r="E82" s="8"/>
      <c r="F82" s="8"/>
      <c r="G82" s="8"/>
      <c r="H82" s="8"/>
      <c r="I82" s="8"/>
      <c r="J82" s="8"/>
      <c r="K82" s="8"/>
      <c r="L82" s="8"/>
      <c r="M82" s="8"/>
      <c r="N82" s="8"/>
      <c r="O82" s="8"/>
      <c r="P82" s="8"/>
      <c r="Q82" s="8"/>
      <c r="R82" s="8"/>
      <c r="S82" s="8"/>
      <c r="T82" s="8"/>
      <c r="U82" s="8"/>
      <c r="V82" s="8"/>
      <c r="W82" s="8"/>
      <c r="X82" s="8"/>
      <c r="Y82" s="8"/>
      <c r="Z82" s="8"/>
      <c r="AA82" s="8"/>
      <c r="AB82" s="8"/>
      <c r="AC82" s="8"/>
      <c r="AD82" s="187"/>
    </row>
    <row r="83" spans="1:30" ht="12.75">
      <c r="A83" s="60" t="s">
        <v>14</v>
      </c>
      <c r="B83" s="38">
        <f aca="true" t="shared" si="34" ref="B83:C91">B47</f>
        <v>0.6380307253225443</v>
      </c>
      <c r="C83" s="39">
        <f t="shared" si="34"/>
        <v>12</v>
      </c>
      <c r="D83" s="16"/>
      <c r="E83" s="9"/>
      <c r="F83" s="9">
        <f aca="true" t="shared" si="35" ref="F83:U83">$B83*F$19</f>
        <v>5102.48979177366</v>
      </c>
      <c r="G83" s="9">
        <f t="shared" si="35"/>
        <v>5203.361165282624</v>
      </c>
      <c r="H83" s="9">
        <f t="shared" si="35"/>
        <v>5306.226669972407</v>
      </c>
      <c r="I83" s="9">
        <f t="shared" si="35"/>
        <v>5411.125727921126</v>
      </c>
      <c r="J83" s="9">
        <f t="shared" si="35"/>
        <v>5518.098540543916</v>
      </c>
      <c r="K83" s="9">
        <f t="shared" si="35"/>
        <v>5627.186103999677</v>
      </c>
      <c r="L83" s="9">
        <f t="shared" si="35"/>
        <v>5738.430224902405</v>
      </c>
      <c r="M83" s="9">
        <f t="shared" si="35"/>
        <v>5851.873536343122</v>
      </c>
      <c r="N83" s="9">
        <f t="shared" si="35"/>
        <v>5967.559514228538</v>
      </c>
      <c r="O83" s="9">
        <f t="shared" si="35"/>
        <v>6085.532493942717</v>
      </c>
      <c r="P83" s="9">
        <f t="shared" si="35"/>
        <v>6205.837687338128</v>
      </c>
      <c r="Q83" s="9">
        <f t="shared" si="35"/>
        <v>6328.521200062588</v>
      </c>
      <c r="R83" s="9">
        <f t="shared" si="35"/>
        <v>6453.630049228754</v>
      </c>
      <c r="S83" s="9">
        <f t="shared" si="35"/>
        <v>6581.212181432911</v>
      </c>
      <c r="T83" s="9">
        <f t="shared" si="35"/>
        <v>6711.316491129984</v>
      </c>
      <c r="U83" s="9">
        <f t="shared" si="35"/>
        <v>6843.992839371794</v>
      </c>
      <c r="V83" s="9">
        <f aca="true" t="shared" si="36" ref="G83:AC91">$B83*V$19</f>
        <v>6979.292072915771</v>
      </c>
      <c r="W83" s="9">
        <f t="shared" si="36"/>
        <v>7117.266043711414</v>
      </c>
      <c r="X83" s="9">
        <f t="shared" si="36"/>
        <v>7257.967628771975</v>
      </c>
      <c r="Y83" s="9">
        <f t="shared" si="36"/>
        <v>7401.450750439004</v>
      </c>
      <c r="Z83" s="9">
        <f t="shared" si="36"/>
        <v>7547.770397047491</v>
      </c>
      <c r="AA83" s="9">
        <f t="shared" si="36"/>
        <v>7696.982643999549</v>
      </c>
      <c r="AB83" s="9">
        <f t="shared" si="36"/>
        <v>7849.144675254689</v>
      </c>
      <c r="AC83" s="9">
        <f t="shared" si="36"/>
        <v>8004.314805244953</v>
      </c>
      <c r="AD83" s="188">
        <f>SUM(E83:AC83)</f>
        <v>154790.58323485916</v>
      </c>
    </row>
    <row r="84" spans="1:30" ht="12.75">
      <c r="A84" s="60" t="s">
        <v>15</v>
      </c>
      <c r="B84" s="38">
        <f t="shared" si="34"/>
        <v>1.1204469504317132</v>
      </c>
      <c r="C84" s="39">
        <f t="shared" si="34"/>
        <v>19</v>
      </c>
      <c r="D84" s="16"/>
      <c r="E84" s="9"/>
      <c r="F84" s="9">
        <f aca="true" t="shared" si="37" ref="F84:F91">$B84*F$19</f>
        <v>8960.491869590744</v>
      </c>
      <c r="G84" s="9">
        <f t="shared" si="36"/>
        <v>9137.632277330264</v>
      </c>
      <c r="H84" s="9">
        <f t="shared" si="36"/>
        <v>9318.274582567245</v>
      </c>
      <c r="I84" s="9">
        <f t="shared" si="36"/>
        <v>9502.48801448682</v>
      </c>
      <c r="J84" s="9">
        <f t="shared" si="36"/>
        <v>9690.343170869322</v>
      </c>
      <c r="K84" s="9">
        <f t="shared" si="36"/>
        <v>9881.912045146095</v>
      </c>
      <c r="L84" s="9">
        <f t="shared" si="36"/>
        <v>10077.268053990196</v>
      </c>
      <c r="M84" s="9">
        <f t="shared" si="36"/>
        <v>10276.486065452527</v>
      </c>
      <c r="N84" s="9">
        <f t="shared" si="36"/>
        <v>10479.642427654204</v>
      </c>
      <c r="O84" s="9">
        <f t="shared" si="36"/>
        <v>10686.814998046128</v>
      </c>
      <c r="P84" s="9">
        <f t="shared" si="36"/>
        <v>10898.083173247001</v>
      </c>
      <c r="Q84" s="9">
        <f t="shared" si="36"/>
        <v>11113.527919471224</v>
      </c>
      <c r="R84" s="9">
        <f t="shared" si="36"/>
        <v>11333.231803558292</v>
      </c>
      <c r="S84" s="9">
        <f t="shared" si="36"/>
        <v>11557.279024615646</v>
      </c>
      <c r="T84" s="9">
        <f t="shared" si="36"/>
        <v>11785.755446287052</v>
      </c>
      <c r="U84" s="9">
        <f t="shared" si="36"/>
        <v>12018.748629658907</v>
      </c>
      <c r="V84" s="9">
        <f t="shared" si="36"/>
        <v>12256.347866817057</v>
      </c>
      <c r="W84" s="9">
        <f t="shared" si="36"/>
        <v>12498.644215067026</v>
      </c>
      <c r="X84" s="9">
        <f t="shared" si="36"/>
        <v>12745.730531830717</v>
      </c>
      <c r="Y84" s="9">
        <f t="shared" si="36"/>
        <v>12997.701510233008</v>
      </c>
      <c r="Z84" s="9">
        <f t="shared" si="36"/>
        <v>13254.653715391854</v>
      </c>
      <c r="AA84" s="9">
        <f t="shared" si="36"/>
        <v>13516.685621425815</v>
      </c>
      <c r="AB84" s="9">
        <f t="shared" si="36"/>
        <v>13783.897649193177</v>
      </c>
      <c r="AC84" s="9">
        <f t="shared" si="36"/>
        <v>14056.392204777145</v>
      </c>
      <c r="AD84" s="188">
        <f aca="true" t="shared" si="38" ref="AD84:AD91">SUM(E84:AC84)</f>
        <v>271828.0328167075</v>
      </c>
    </row>
    <row r="85" spans="1:30" ht="12.75">
      <c r="A85" s="60" t="s">
        <v>16</v>
      </c>
      <c r="B85" s="38">
        <f t="shared" si="34"/>
        <v>0.5673737735173195</v>
      </c>
      <c r="C85" s="39">
        <f t="shared" si="34"/>
        <v>22</v>
      </c>
      <c r="D85" s="16"/>
      <c r="E85" s="9"/>
      <c r="F85" s="9">
        <f t="shared" si="37"/>
        <v>4537.428641902318</v>
      </c>
      <c r="G85" s="9">
        <f t="shared" si="36"/>
        <v>4627.129293542133</v>
      </c>
      <c r="H85" s="9">
        <f t="shared" si="36"/>
        <v>4718.603241808654</v>
      </c>
      <c r="I85" s="9">
        <f t="shared" si="36"/>
        <v>4811.885543090759</v>
      </c>
      <c r="J85" s="9">
        <f t="shared" si="36"/>
        <v>4907.01194680881</v>
      </c>
      <c r="K85" s="9">
        <f t="shared" si="36"/>
        <v>5004.018909115234</v>
      </c>
      <c r="L85" s="9">
        <f t="shared" si="36"/>
        <v>5102.9436068659425</v>
      </c>
      <c r="M85" s="9">
        <f t="shared" si="36"/>
        <v>5203.823951867952</v>
      </c>
      <c r="N85" s="9">
        <f t="shared" si="36"/>
        <v>5306.69860540867</v>
      </c>
      <c r="O85" s="9">
        <f t="shared" si="36"/>
        <v>5411.606993072412</v>
      </c>
      <c r="P85" s="9">
        <f t="shared" si="36"/>
        <v>5518.5893198498225</v>
      </c>
      <c r="Q85" s="9">
        <f t="shared" si="36"/>
        <v>5627.686585545998</v>
      </c>
      <c r="R85" s="9">
        <f t="shared" si="36"/>
        <v>5738.9406004932125</v>
      </c>
      <c r="S85" s="9">
        <f t="shared" si="36"/>
        <v>5852.394001574273</v>
      </c>
      <c r="T85" s="9">
        <f t="shared" si="36"/>
        <v>5968.090268562632</v>
      </c>
      <c r="U85" s="9">
        <f t="shared" si="36"/>
        <v>6086.0737407855395</v>
      </c>
      <c r="V85" s="9">
        <f t="shared" si="36"/>
        <v>6206.389634116603</v>
      </c>
      <c r="W85" s="9">
        <f t="shared" si="36"/>
        <v>6329.084058304275</v>
      </c>
      <c r="X85" s="9">
        <f t="shared" si="36"/>
        <v>6454.2040346429085</v>
      </c>
      <c r="Y85" s="9">
        <f t="shared" si="36"/>
        <v>6581.797513993159</v>
      </c>
      <c r="Z85" s="9">
        <f t="shared" si="36"/>
        <v>6711.913395158615</v>
      </c>
      <c r="AA85" s="9">
        <f t="shared" si="36"/>
        <v>6844.601543625743</v>
      </c>
      <c r="AB85" s="9">
        <f t="shared" si="36"/>
        <v>6979.912810674278</v>
      </c>
      <c r="AC85" s="9">
        <f t="shared" si="36"/>
        <v>7117.899052865424</v>
      </c>
      <c r="AD85" s="188">
        <f t="shared" si="38"/>
        <v>137648.72729367533</v>
      </c>
    </row>
    <row r="86" spans="1:30" ht="12.75">
      <c r="A86" s="60" t="s">
        <v>17</v>
      </c>
      <c r="B86" s="38">
        <f t="shared" si="34"/>
        <v>0.8468925125391364</v>
      </c>
      <c r="C86" s="39">
        <f t="shared" si="34"/>
        <v>14</v>
      </c>
      <c r="D86" s="16"/>
      <c r="E86" s="9"/>
      <c r="F86" s="9">
        <f t="shared" si="37"/>
        <v>6772.809252682868</v>
      </c>
      <c r="G86" s="9">
        <f t="shared" si="36"/>
        <v>6906.701254374627</v>
      </c>
      <c r="H86" s="9">
        <f t="shared" si="36"/>
        <v>7043.240173681838</v>
      </c>
      <c r="I86" s="9">
        <f t="shared" si="36"/>
        <v>7182.478337649991</v>
      </c>
      <c r="J86" s="9">
        <f t="shared" si="36"/>
        <v>7324.469107780526</v>
      </c>
      <c r="K86" s="9">
        <f t="shared" si="36"/>
        <v>7469.266900481055</v>
      </c>
      <c r="L86" s="9">
        <f t="shared" si="36"/>
        <v>7616.927207919842</v>
      </c>
      <c r="M86" s="9">
        <f t="shared" si="36"/>
        <v>7767.506619292579</v>
      </c>
      <c r="N86" s="9">
        <f t="shared" si="36"/>
        <v>7921.062842509569</v>
      </c>
      <c r="O86" s="9">
        <f t="shared" si="36"/>
        <v>8077.654726311657</v>
      </c>
      <c r="P86" s="9">
        <f t="shared" si="36"/>
        <v>8237.342282823358</v>
      </c>
      <c r="Q86" s="9">
        <f t="shared" si="36"/>
        <v>8400.186710551852</v>
      </c>
      <c r="R86" s="9">
        <f t="shared" si="36"/>
        <v>8566.250417840636</v>
      </c>
      <c r="S86" s="9">
        <f t="shared" si="36"/>
        <v>8735.597046786848</v>
      </c>
      <c r="T86" s="9">
        <f t="shared" si="36"/>
        <v>8908.291497631393</v>
      </c>
      <c r="U86" s="9">
        <f t="shared" si="36"/>
        <v>9084.399953631253</v>
      </c>
      <c r="V86" s="9">
        <f t="shared" si="36"/>
        <v>9263.9899064235</v>
      </c>
      <c r="W86" s="9">
        <f t="shared" si="36"/>
        <v>9447.130181890723</v>
      </c>
      <c r="X86" s="9">
        <f t="shared" si="36"/>
        <v>9633.890966537794</v>
      </c>
      <c r="Y86" s="9">
        <f t="shared" si="36"/>
        <v>9824.343834390073</v>
      </c>
      <c r="Z86" s="9">
        <f t="shared" si="36"/>
        <v>10018.561774423379</v>
      </c>
      <c r="AA86" s="9">
        <f t="shared" si="36"/>
        <v>10216.619218536209</v>
      </c>
      <c r="AB86" s="9">
        <f t="shared" si="36"/>
        <v>10418.592070074948</v>
      </c>
      <c r="AC86" s="9">
        <f t="shared" si="36"/>
        <v>10624.557732922996</v>
      </c>
      <c r="AD86" s="188">
        <f t="shared" si="38"/>
        <v>205461.8700171495</v>
      </c>
    </row>
    <row r="87" spans="1:30" ht="12.75">
      <c r="A87" s="60" t="s">
        <v>18</v>
      </c>
      <c r="B87" s="38">
        <f t="shared" si="34"/>
        <v>0.8208495645747469</v>
      </c>
      <c r="C87" s="39">
        <f t="shared" si="34"/>
        <v>14</v>
      </c>
      <c r="D87" s="16"/>
      <c r="E87" s="9"/>
      <c r="F87" s="9">
        <f t="shared" si="37"/>
        <v>6564.537345293434</v>
      </c>
      <c r="G87" s="9">
        <f t="shared" si="36"/>
        <v>6694.312009328668</v>
      </c>
      <c r="H87" s="9">
        <f t="shared" si="36"/>
        <v>6826.652195127219</v>
      </c>
      <c r="I87" s="9">
        <f t="shared" si="36"/>
        <v>6961.608620615942</v>
      </c>
      <c r="J87" s="9">
        <f t="shared" si="36"/>
        <v>7099.233006366899</v>
      </c>
      <c r="K87" s="9">
        <f t="shared" si="36"/>
        <v>7239.578095418705</v>
      </c>
      <c r="L87" s="9">
        <f t="shared" si="36"/>
        <v>7382.697673489718</v>
      </c>
      <c r="M87" s="9">
        <f t="shared" si="36"/>
        <v>7528.646589590829</v>
      </c>
      <c r="N87" s="9">
        <f t="shared" si="36"/>
        <v>7677.480777045738</v>
      </c>
      <c r="O87" s="9">
        <f t="shared" si="36"/>
        <v>7829.2572749268</v>
      </c>
      <c r="P87" s="9">
        <f t="shared" si="36"/>
        <v>7984.034249914613</v>
      </c>
      <c r="Q87" s="9">
        <f t="shared" si="36"/>
        <v>8141.8710185897635</v>
      </c>
      <c r="R87" s="9">
        <f t="shared" si="36"/>
        <v>8302.828070165264</v>
      </c>
      <c r="S87" s="9">
        <f t="shared" si="36"/>
        <v>8466.967089668375</v>
      </c>
      <c r="T87" s="9">
        <f t="shared" si="36"/>
        <v>8634.350981580712</v>
      </c>
      <c r="U87" s="9">
        <f t="shared" si="36"/>
        <v>8805.04389394571</v>
      </c>
      <c r="V87" s="9">
        <f t="shared" si="36"/>
        <v>8979.111242952653</v>
      </c>
      <c r="W87" s="9">
        <f t="shared" si="36"/>
        <v>9156.619738006708</v>
      </c>
      <c r="X87" s="9">
        <f t="shared" si="36"/>
        <v>9337.63740729458</v>
      </c>
      <c r="Y87" s="9">
        <f t="shared" si="36"/>
        <v>9522.23362385557</v>
      </c>
      <c r="Z87" s="9">
        <f t="shared" si="36"/>
        <v>9710.479132168028</v>
      </c>
      <c r="AA87" s="9">
        <f t="shared" si="36"/>
        <v>9902.446075261401</v>
      </c>
      <c r="AB87" s="9">
        <f t="shared" si="36"/>
        <v>10098.20802236426</v>
      </c>
      <c r="AC87" s="9">
        <f t="shared" si="36"/>
        <v>10297.839997098901</v>
      </c>
      <c r="AD87" s="188">
        <f t="shared" si="38"/>
        <v>199143.6741300705</v>
      </c>
    </row>
    <row r="88" spans="1:30" ht="12.75">
      <c r="A88" s="60" t="s">
        <v>19</v>
      </c>
      <c r="B88" s="38">
        <f t="shared" si="34"/>
        <v>0.6715984668883408</v>
      </c>
      <c r="C88" s="39">
        <f t="shared" si="34"/>
        <v>9</v>
      </c>
      <c r="D88" s="16"/>
      <c r="E88" s="9"/>
      <c r="F88" s="9">
        <f t="shared" si="37"/>
        <v>5370.939337970335</v>
      </c>
      <c r="G88" s="9">
        <f t="shared" si="36"/>
        <v>5477.117703859054</v>
      </c>
      <c r="H88" s="9">
        <f t="shared" si="36"/>
        <v>5585.395115123894</v>
      </c>
      <c r="I88" s="9">
        <f t="shared" si="36"/>
        <v>5695.8130678969</v>
      </c>
      <c r="J88" s="9">
        <f t="shared" si="36"/>
        <v>5808.413878649204</v>
      </c>
      <c r="K88" s="9">
        <f t="shared" si="36"/>
        <v>5923.240700408354</v>
      </c>
      <c r="L88" s="9">
        <f t="shared" si="36"/>
        <v>6040.337539296238</v>
      </c>
      <c r="M88" s="9">
        <f t="shared" si="36"/>
        <v>6159.749271393947</v>
      </c>
      <c r="N88" s="9">
        <f t="shared" si="36"/>
        <v>6281.521659940043</v>
      </c>
      <c r="O88" s="9">
        <f t="shared" si="36"/>
        <v>6405.701372868818</v>
      </c>
      <c r="P88" s="9">
        <f t="shared" si="36"/>
        <v>6532.336000695272</v>
      </c>
      <c r="Q88" s="9">
        <f t="shared" si="36"/>
        <v>6661.474074753651</v>
      </c>
      <c r="R88" s="9">
        <f t="shared" si="36"/>
        <v>6793.165085796552</v>
      </c>
      <c r="S88" s="9">
        <f t="shared" si="36"/>
        <v>6927.459502961716</v>
      </c>
      <c r="T88" s="9">
        <f t="shared" si="36"/>
        <v>7064.408793113765</v>
      </c>
      <c r="U88" s="9">
        <f t="shared" si="36"/>
        <v>7204.065440568318</v>
      </c>
      <c r="V88" s="9">
        <f t="shared" si="36"/>
        <v>7346.482967206031</v>
      </c>
      <c r="W88" s="9">
        <f t="shared" si="36"/>
        <v>7491.715952984273</v>
      </c>
      <c r="X88" s="9">
        <f t="shared" si="36"/>
        <v>7639.82005685429</v>
      </c>
      <c r="Y88" s="9">
        <f t="shared" si="36"/>
        <v>7790.852038091894</v>
      </c>
      <c r="Z88" s="9">
        <f t="shared" si="36"/>
        <v>7944.869778049835</v>
      </c>
      <c r="AA88" s="9">
        <f t="shared" si="36"/>
        <v>8101.932302340193</v>
      </c>
      <c r="AB88" s="9">
        <f t="shared" si="36"/>
        <v>8262.099803455296</v>
      </c>
      <c r="AC88" s="9">
        <f t="shared" si="36"/>
        <v>8425.433663835833</v>
      </c>
      <c r="AD88" s="188">
        <f t="shared" si="38"/>
        <v>162934.34510811375</v>
      </c>
    </row>
    <row r="89" spans="1:30" ht="12.75">
      <c r="A89" s="60" t="s">
        <v>20</v>
      </c>
      <c r="B89" s="38">
        <f t="shared" si="34"/>
        <v>0.8243049688800121</v>
      </c>
      <c r="C89" s="39">
        <f t="shared" si="34"/>
        <v>20</v>
      </c>
      <c r="D89" s="16"/>
      <c r="E89" s="9"/>
      <c r="F89" s="9">
        <f t="shared" si="37"/>
        <v>6592.17106964919</v>
      </c>
      <c r="G89" s="9">
        <f t="shared" si="36"/>
        <v>6722.492026150395</v>
      </c>
      <c r="H89" s="9">
        <f t="shared" si="36"/>
        <v>6855.389304097743</v>
      </c>
      <c r="I89" s="9">
        <f t="shared" si="36"/>
        <v>6990.913834917554</v>
      </c>
      <c r="J89" s="9">
        <f t="shared" si="36"/>
        <v>7129.117556902039</v>
      </c>
      <c r="K89" s="9">
        <f t="shared" si="36"/>
        <v>7270.053435114078</v>
      </c>
      <c r="L89" s="9">
        <f t="shared" si="36"/>
        <v>7413.775481685504</v>
      </c>
      <c r="M89" s="9">
        <f t="shared" si="36"/>
        <v>7560.338776516663</v>
      </c>
      <c r="N89" s="9">
        <f t="shared" si="36"/>
        <v>7709.799488385177</v>
      </c>
      <c r="O89" s="9">
        <f t="shared" si="36"/>
        <v>7862.214896472018</v>
      </c>
      <c r="P89" s="9">
        <f t="shared" si="36"/>
        <v>8017.643412313124</v>
      </c>
      <c r="Q89" s="9">
        <f t="shared" si="36"/>
        <v>8176.14460218498</v>
      </c>
      <c r="R89" s="9">
        <f t="shared" si="36"/>
        <v>8337.779209932743</v>
      </c>
      <c r="S89" s="9">
        <f t="shared" si="36"/>
        <v>8502.609180249658</v>
      </c>
      <c r="T89" s="9">
        <f t="shared" si="36"/>
        <v>8670.697682416672</v>
      </c>
      <c r="U89" s="9">
        <f t="shared" si="36"/>
        <v>8842.109134511382</v>
      </c>
      <c r="V89" s="9">
        <f t="shared" si="36"/>
        <v>9016.909228095556</v>
      </c>
      <c r="W89" s="9">
        <f t="shared" si="36"/>
        <v>9195.164953390695</v>
      </c>
      <c r="X89" s="9">
        <f t="shared" si="36"/>
        <v>9376.944624951311</v>
      </c>
      <c r="Y89" s="9">
        <f t="shared" si="36"/>
        <v>9562.317907845729</v>
      </c>
      <c r="Z89" s="9">
        <f t="shared" si="36"/>
        <v>9751.355844354463</v>
      </c>
      <c r="AA89" s="9">
        <f t="shared" si="36"/>
        <v>9944.130881196386</v>
      </c>
      <c r="AB89" s="9">
        <f t="shared" si="36"/>
        <v>10140.71689729315</v>
      </c>
      <c r="AC89" s="9">
        <f t="shared" si="36"/>
        <v>10341.189232082466</v>
      </c>
      <c r="AD89" s="188">
        <f t="shared" si="38"/>
        <v>199981.97866070864</v>
      </c>
    </row>
    <row r="90" spans="1:30" ht="12.75">
      <c r="A90" s="60" t="s">
        <v>22</v>
      </c>
      <c r="B90" s="38">
        <f t="shared" si="34"/>
        <v>0.11108830806400877</v>
      </c>
      <c r="C90" s="39">
        <f t="shared" si="34"/>
        <v>9</v>
      </c>
      <c r="D90" s="16"/>
      <c r="E90" s="9"/>
      <c r="F90" s="9">
        <f t="shared" si="37"/>
        <v>888.4007233279614</v>
      </c>
      <c r="G90" s="9">
        <f t="shared" si="36"/>
        <v>905.963561245428</v>
      </c>
      <c r="H90" s="9">
        <f t="shared" si="36"/>
        <v>923.8735997758789</v>
      </c>
      <c r="I90" s="9">
        <f t="shared" si="36"/>
        <v>942.1377027454353</v>
      </c>
      <c r="J90" s="9">
        <f t="shared" si="36"/>
        <v>960.7628696715367</v>
      </c>
      <c r="K90" s="9">
        <f t="shared" si="36"/>
        <v>979.7562384454299</v>
      </c>
      <c r="L90" s="9">
        <f t="shared" si="36"/>
        <v>999.1250880676871</v>
      </c>
      <c r="M90" s="9">
        <f t="shared" si="36"/>
        <v>1018.8768414378042</v>
      </c>
      <c r="N90" s="9">
        <f t="shared" si="36"/>
        <v>1039.019068198944</v>
      </c>
      <c r="O90" s="9">
        <f t="shared" si="36"/>
        <v>1059.559487638921</v>
      </c>
      <c r="P90" s="9">
        <f t="shared" si="36"/>
        <v>1080.5059716485323</v>
      </c>
      <c r="Q90" s="9">
        <f t="shared" si="36"/>
        <v>1101.8665477383747</v>
      </c>
      <c r="R90" s="9">
        <f t="shared" si="36"/>
        <v>1123.6494021152996</v>
      </c>
      <c r="S90" s="9">
        <f t="shared" si="36"/>
        <v>1145.8628828196868</v>
      </c>
      <c r="T90" s="9">
        <f t="shared" si="36"/>
        <v>1168.5155029247405</v>
      </c>
      <c r="U90" s="9">
        <f t="shared" si="36"/>
        <v>1191.615943799031</v>
      </c>
      <c r="V90" s="9">
        <f t="shared" si="36"/>
        <v>1215.173058433533</v>
      </c>
      <c r="W90" s="9">
        <f t="shared" si="36"/>
        <v>1239.1958748344396</v>
      </c>
      <c r="X90" s="9">
        <f t="shared" si="36"/>
        <v>1263.6935994830455</v>
      </c>
      <c r="Y90" s="9">
        <f t="shared" si="36"/>
        <v>1288.6756208640295</v>
      </c>
      <c r="Z90" s="9">
        <f t="shared" si="36"/>
        <v>1314.1515130634898</v>
      </c>
      <c r="AA90" s="9">
        <f t="shared" si="36"/>
        <v>1340.1310394381069</v>
      </c>
      <c r="AB90" s="9">
        <f t="shared" si="36"/>
        <v>1366.6241563568433</v>
      </c>
      <c r="AC90" s="9">
        <f t="shared" si="36"/>
        <v>1393.6410170166128</v>
      </c>
      <c r="AD90" s="188">
        <f t="shared" si="38"/>
        <v>26950.777311090795</v>
      </c>
    </row>
    <row r="91" spans="1:30" ht="13.5" thickBot="1">
      <c r="A91" s="62" t="s">
        <v>25</v>
      </c>
      <c r="B91" s="81">
        <f t="shared" si="34"/>
        <v>0.24952183731339672</v>
      </c>
      <c r="C91" s="83">
        <f t="shared" si="34"/>
        <v>18</v>
      </c>
      <c r="D91" s="114"/>
      <c r="E91" s="76"/>
      <c r="F91" s="76">
        <f t="shared" si="37"/>
        <v>1995.4879556506958</v>
      </c>
      <c r="G91" s="76">
        <f t="shared" si="36"/>
        <v>2034.936855917307</v>
      </c>
      <c r="H91" s="76">
        <f t="shared" si="36"/>
        <v>2075.1656234478814</v>
      </c>
      <c r="I91" s="76">
        <f t="shared" si="36"/>
        <v>2116.189675477001</v>
      </c>
      <c r="J91" s="76">
        <f t="shared" si="36"/>
        <v>2158.024734023322</v>
      </c>
      <c r="K91" s="76">
        <f t="shared" si="36"/>
        <v>2200.6868319148657</v>
      </c>
      <c r="L91" s="76">
        <f t="shared" si="36"/>
        <v>2244.1923189334257</v>
      </c>
      <c r="M91" s="76">
        <f t="shared" si="36"/>
        <v>2288.557868080442</v>
      </c>
      <c r="N91" s="76">
        <f t="shared" si="36"/>
        <v>2333.8004819667453</v>
      </c>
      <c r="O91" s="76">
        <f t="shared" si="36"/>
        <v>2379.9374993286237</v>
      </c>
      <c r="P91" s="76">
        <f t="shared" si="36"/>
        <v>2426.986601672701</v>
      </c>
      <c r="Q91" s="76">
        <f t="shared" si="36"/>
        <v>2474.9658200521817</v>
      </c>
      <c r="R91" s="76">
        <f t="shared" si="36"/>
        <v>2523.8935419770546</v>
      </c>
      <c r="S91" s="76">
        <f t="shared" si="36"/>
        <v>2573.7885184609045</v>
      </c>
      <c r="T91" s="76">
        <f t="shared" si="36"/>
        <v>2624.669871207033</v>
      </c>
      <c r="U91" s="76">
        <f t="shared" si="36"/>
        <v>2676.557099936641</v>
      </c>
      <c r="V91" s="76">
        <f t="shared" si="36"/>
        <v>2729.4700898618844</v>
      </c>
      <c r="W91" s="76">
        <f t="shared" si="36"/>
        <v>2783.4291193066647</v>
      </c>
      <c r="X91" s="76">
        <f t="shared" si="36"/>
        <v>2838.4548674780717</v>
      </c>
      <c r="Y91" s="76">
        <f t="shared" si="36"/>
        <v>2894.5684223914645</v>
      </c>
      <c r="Z91" s="76">
        <f t="shared" si="36"/>
        <v>2951.7912889522245</v>
      </c>
      <c r="AA91" s="76">
        <f t="shared" si="36"/>
        <v>3010.145397197272</v>
      </c>
      <c r="AB91" s="76">
        <f t="shared" si="36"/>
        <v>3069.653110699513</v>
      </c>
      <c r="AC91" s="76">
        <f t="shared" si="36"/>
        <v>3130.3372351384355</v>
      </c>
      <c r="AD91" s="191">
        <f t="shared" si="38"/>
        <v>60535.69082907236</v>
      </c>
    </row>
    <row r="92" ht="12.75">
      <c r="A92" s="181"/>
    </row>
    <row r="93" spans="1:31" ht="13.5" thickBot="1">
      <c r="A93" s="12" t="s">
        <v>79</v>
      </c>
      <c r="AD93"/>
      <c r="AE93"/>
    </row>
    <row r="94" spans="1:31" ht="40.5" customHeight="1">
      <c r="A94" s="57" t="s">
        <v>3</v>
      </c>
      <c r="B94" s="58" t="s">
        <v>24</v>
      </c>
      <c r="C94" s="58" t="s">
        <v>29</v>
      </c>
      <c r="D94" s="58" t="s">
        <v>30</v>
      </c>
      <c r="E94" s="58">
        <v>2001</v>
      </c>
      <c r="F94" s="58">
        <v>2002</v>
      </c>
      <c r="G94" s="58">
        <v>2003</v>
      </c>
      <c r="H94" s="58">
        <v>2004</v>
      </c>
      <c r="I94" s="58">
        <v>2005</v>
      </c>
      <c r="J94" s="58">
        <v>2006</v>
      </c>
      <c r="K94" s="58">
        <v>2007</v>
      </c>
      <c r="L94" s="58">
        <v>2008</v>
      </c>
      <c r="M94" s="58">
        <v>2009</v>
      </c>
      <c r="N94" s="58">
        <v>2010</v>
      </c>
      <c r="O94" s="58">
        <v>2011</v>
      </c>
      <c r="P94" s="58">
        <v>2012</v>
      </c>
      <c r="Q94" s="58">
        <v>2013</v>
      </c>
      <c r="R94" s="58">
        <v>2014</v>
      </c>
      <c r="S94" s="58">
        <v>2015</v>
      </c>
      <c r="T94" s="58">
        <v>2016</v>
      </c>
      <c r="U94" s="58">
        <v>2017</v>
      </c>
      <c r="V94" s="58">
        <v>2018</v>
      </c>
      <c r="W94" s="58">
        <v>2019</v>
      </c>
      <c r="X94" s="58">
        <v>2020</v>
      </c>
      <c r="Y94" s="58">
        <v>2021</v>
      </c>
      <c r="Z94" s="58">
        <v>2022</v>
      </c>
      <c r="AA94" s="58">
        <v>2023</v>
      </c>
      <c r="AB94" s="58">
        <v>2024</v>
      </c>
      <c r="AC94" s="58">
        <v>2025</v>
      </c>
      <c r="AD94" s="59" t="s">
        <v>34</v>
      </c>
      <c r="AE94"/>
    </row>
    <row r="95" spans="1:31" ht="25.5">
      <c r="A95" s="185" t="s">
        <v>0</v>
      </c>
      <c r="B95" s="8"/>
      <c r="C95" s="8"/>
      <c r="D95" s="8"/>
      <c r="E95" s="8"/>
      <c r="F95" s="8"/>
      <c r="G95" s="8"/>
      <c r="H95" s="8"/>
      <c r="I95" s="8"/>
      <c r="J95" s="8"/>
      <c r="K95" s="8"/>
      <c r="L95" s="8"/>
      <c r="M95" s="8"/>
      <c r="N95" s="8"/>
      <c r="O95" s="186"/>
      <c r="P95" s="186"/>
      <c r="Q95" s="186"/>
      <c r="R95" s="186"/>
      <c r="S95" s="186"/>
      <c r="T95" s="186"/>
      <c r="U95" s="186"/>
      <c r="V95" s="186"/>
      <c r="W95" s="186"/>
      <c r="X95" s="186"/>
      <c r="Y95" s="186"/>
      <c r="Z95" s="186"/>
      <c r="AA95" s="186"/>
      <c r="AB95" s="186"/>
      <c r="AC95" s="186"/>
      <c r="AD95" s="187"/>
      <c r="AE95"/>
    </row>
    <row r="96" spans="1:31" ht="12.75">
      <c r="A96" s="60" t="s">
        <v>14</v>
      </c>
      <c r="B96" s="38">
        <f aca="true" t="shared" si="39" ref="B96:C104">B61</f>
        <v>0.6380307253225443</v>
      </c>
      <c r="C96" s="40">
        <f t="shared" si="39"/>
        <v>12</v>
      </c>
      <c r="D96" s="16">
        <f>1/C96</f>
        <v>0.08333333333333333</v>
      </c>
      <c r="E96" s="9">
        <f aca="true" t="shared" si="40" ref="E96:E104">IF((E$94-$E$94)&lt;($C96+1),0,(E61*$D96*$B$17))</f>
        <v>0</v>
      </c>
      <c r="F96" s="9">
        <f aca="true" t="shared" si="41" ref="F96:F104">IF((F$94-$E$94)&lt;($C96+1),0,(F61*$D96))</f>
        <v>0</v>
      </c>
      <c r="G96" s="9">
        <f aca="true" t="shared" si="42" ref="G96:AC96">IF((G$94-$E$94)&lt;($C96+1),0,(G61*$D96))</f>
        <v>0</v>
      </c>
      <c r="H96" s="9">
        <f t="shared" si="42"/>
        <v>0</v>
      </c>
      <c r="I96" s="9">
        <f t="shared" si="42"/>
        <v>0</v>
      </c>
      <c r="J96" s="9">
        <f t="shared" si="42"/>
        <v>0</v>
      </c>
      <c r="K96" s="9">
        <f t="shared" si="42"/>
        <v>0</v>
      </c>
      <c r="L96" s="9">
        <f t="shared" si="42"/>
        <v>0</v>
      </c>
      <c r="M96" s="9">
        <f t="shared" si="42"/>
        <v>0</v>
      </c>
      <c r="N96" s="9">
        <f t="shared" si="42"/>
        <v>0</v>
      </c>
      <c r="O96" s="9">
        <f t="shared" si="42"/>
        <v>0</v>
      </c>
      <c r="P96" s="9">
        <f t="shared" si="42"/>
        <v>0</v>
      </c>
      <c r="Q96" s="9">
        <f t="shared" si="42"/>
        <v>0</v>
      </c>
      <c r="R96" s="9">
        <f t="shared" si="42"/>
        <v>3582.651373280813</v>
      </c>
      <c r="S96" s="9">
        <f t="shared" si="42"/>
        <v>3686.789242832355</v>
      </c>
      <c r="T96" s="9">
        <f t="shared" si="42"/>
        <v>3793.9541152219667</v>
      </c>
      <c r="U96" s="9">
        <f t="shared" si="42"/>
        <v>3904.233977137114</v>
      </c>
      <c r="V96" s="9">
        <f t="shared" si="42"/>
        <v>4017.719372797445</v>
      </c>
      <c r="W96" s="9">
        <f t="shared" si="42"/>
        <v>4134.503478295251</v>
      </c>
      <c r="X96" s="9">
        <f t="shared" si="42"/>
        <v>4254.682178096796</v>
      </c>
      <c r="Y96" s="9">
        <f t="shared" si="42"/>
        <v>4378.35414376734</v>
      </c>
      <c r="Z96" s="9">
        <f t="shared" si="42"/>
        <v>4505.620914984479</v>
      </c>
      <c r="AA96" s="9">
        <f t="shared" si="42"/>
        <v>4636.586982906316</v>
      </c>
      <c r="AB96" s="9">
        <f t="shared" si="42"/>
        <v>4771.359875962921</v>
      </c>
      <c r="AC96" s="9">
        <f t="shared" si="42"/>
        <v>4910.050248141522</v>
      </c>
      <c r="AD96" s="188">
        <f>SUM(E96:AC96)</f>
        <v>50576.505903424324</v>
      </c>
      <c r="AE96"/>
    </row>
    <row r="97" spans="1:31" ht="12.75">
      <c r="A97" s="60" t="s">
        <v>15</v>
      </c>
      <c r="B97" s="38">
        <f t="shared" si="39"/>
        <v>1.1204469504317132</v>
      </c>
      <c r="C97" s="40">
        <f t="shared" si="39"/>
        <v>19</v>
      </c>
      <c r="D97" s="16">
        <f aca="true" t="shared" si="43" ref="D97:D104">1/C97</f>
        <v>0.05263157894736842</v>
      </c>
      <c r="E97" s="9">
        <f t="shared" si="40"/>
        <v>0</v>
      </c>
      <c r="F97" s="9">
        <f t="shared" si="41"/>
        <v>0</v>
      </c>
      <c r="G97" s="9">
        <f aca="true" t="shared" si="44" ref="G97:U97">IF((G$94-$E$94)&lt;($C97+1),0,(G62*$D97))</f>
        <v>0</v>
      </c>
      <c r="H97" s="9">
        <f t="shared" si="44"/>
        <v>0</v>
      </c>
      <c r="I97" s="9">
        <f t="shared" si="44"/>
        <v>0</v>
      </c>
      <c r="J97" s="9">
        <f t="shared" si="44"/>
        <v>0</v>
      </c>
      <c r="K97" s="9">
        <f t="shared" si="44"/>
        <v>0</v>
      </c>
      <c r="L97" s="9">
        <f t="shared" si="44"/>
        <v>0</v>
      </c>
      <c r="M97" s="9">
        <f t="shared" si="44"/>
        <v>0</v>
      </c>
      <c r="N97" s="9">
        <f t="shared" si="44"/>
        <v>0</v>
      </c>
      <c r="O97" s="9">
        <f t="shared" si="44"/>
        <v>0</v>
      </c>
      <c r="P97" s="9">
        <f t="shared" si="44"/>
        <v>0</v>
      </c>
      <c r="Q97" s="9">
        <f t="shared" si="44"/>
        <v>0</v>
      </c>
      <c r="R97" s="9">
        <f t="shared" si="44"/>
        <v>0</v>
      </c>
      <c r="S97" s="9">
        <f t="shared" si="44"/>
        <v>0</v>
      </c>
      <c r="T97" s="9">
        <f t="shared" si="44"/>
        <v>0</v>
      </c>
      <c r="U97" s="9">
        <f t="shared" si="44"/>
        <v>0</v>
      </c>
      <c r="V97" s="9">
        <f aca="true" t="shared" si="45" ref="V97:AC97">IF((V$94-$E$94)&lt;($C97+1),0,(V62*$D97))</f>
        <v>0</v>
      </c>
      <c r="W97" s="9">
        <f t="shared" si="45"/>
        <v>0</v>
      </c>
      <c r="X97" s="9">
        <f t="shared" si="45"/>
        <v>0</v>
      </c>
      <c r="Y97" s="9">
        <f t="shared" si="45"/>
        <v>4856.106886320129</v>
      </c>
      <c r="Z97" s="9">
        <f t="shared" si="45"/>
        <v>4997.260622133628</v>
      </c>
      <c r="AA97" s="9">
        <f t="shared" si="45"/>
        <v>5142.517310703427</v>
      </c>
      <c r="AB97" s="9">
        <f t="shared" si="45"/>
        <v>5291.996213636193</v>
      </c>
      <c r="AC97" s="9">
        <f t="shared" si="45"/>
        <v>5445.820059147077</v>
      </c>
      <c r="AD97" s="188">
        <f aca="true" t="shared" si="46" ref="AD97:AD104">SUM(E97:AC97)</f>
        <v>25733.701091940457</v>
      </c>
      <c r="AE97"/>
    </row>
    <row r="98" spans="1:31" ht="12.75">
      <c r="A98" s="60" t="s">
        <v>16</v>
      </c>
      <c r="B98" s="38">
        <f t="shared" si="39"/>
        <v>0.5673737735173195</v>
      </c>
      <c r="C98" s="40">
        <f t="shared" si="39"/>
        <v>22</v>
      </c>
      <c r="D98" s="16">
        <f t="shared" si="43"/>
        <v>0.045454545454545456</v>
      </c>
      <c r="E98" s="9">
        <f t="shared" si="40"/>
        <v>0</v>
      </c>
      <c r="F98" s="9">
        <f t="shared" si="41"/>
        <v>0</v>
      </c>
      <c r="G98" s="9">
        <f aca="true" t="shared" si="47" ref="G98:U98">IF((G$94-$E$94)&lt;($C98+1),0,(G63*$D98))</f>
        <v>0</v>
      </c>
      <c r="H98" s="9">
        <f t="shared" si="47"/>
        <v>0</v>
      </c>
      <c r="I98" s="9">
        <f t="shared" si="47"/>
        <v>0</v>
      </c>
      <c r="J98" s="9">
        <f t="shared" si="47"/>
        <v>0</v>
      </c>
      <c r="K98" s="9">
        <f t="shared" si="47"/>
        <v>0</v>
      </c>
      <c r="L98" s="9">
        <f t="shared" si="47"/>
        <v>0</v>
      </c>
      <c r="M98" s="9">
        <f t="shared" si="47"/>
        <v>0</v>
      </c>
      <c r="N98" s="9">
        <f t="shared" si="47"/>
        <v>0</v>
      </c>
      <c r="O98" s="9">
        <f t="shared" si="47"/>
        <v>0</v>
      </c>
      <c r="P98" s="9">
        <f t="shared" si="47"/>
        <v>0</v>
      </c>
      <c r="Q98" s="9">
        <f t="shared" si="47"/>
        <v>0</v>
      </c>
      <c r="R98" s="9">
        <f t="shared" si="47"/>
        <v>0</v>
      </c>
      <c r="S98" s="9">
        <f t="shared" si="47"/>
        <v>0</v>
      </c>
      <c r="T98" s="9">
        <f t="shared" si="47"/>
        <v>0</v>
      </c>
      <c r="U98" s="9">
        <f t="shared" si="47"/>
        <v>0</v>
      </c>
      <c r="V98" s="9">
        <f aca="true" t="shared" si="48" ref="V98:AC98">IF((V$94-$E$94)&lt;($C98+1),0,(V63*$D98))</f>
        <v>0</v>
      </c>
      <c r="W98" s="9">
        <f t="shared" si="48"/>
        <v>0</v>
      </c>
      <c r="X98" s="9">
        <f t="shared" si="48"/>
        <v>0</v>
      </c>
      <c r="Y98" s="9">
        <f t="shared" si="48"/>
        <v>0</v>
      </c>
      <c r="Z98" s="9">
        <f t="shared" si="48"/>
        <v>0</v>
      </c>
      <c r="AA98" s="9">
        <f t="shared" si="48"/>
        <v>0</v>
      </c>
      <c r="AB98" s="9">
        <f t="shared" si="48"/>
        <v>2314.3466153172826</v>
      </c>
      <c r="AC98" s="9">
        <f t="shared" si="48"/>
        <v>2381.6183369590844</v>
      </c>
      <c r="AD98" s="188">
        <f t="shared" si="46"/>
        <v>4695.964952276367</v>
      </c>
      <c r="AE98"/>
    </row>
    <row r="99" spans="1:31" ht="12.75">
      <c r="A99" s="60" t="s">
        <v>17</v>
      </c>
      <c r="B99" s="38">
        <f t="shared" si="39"/>
        <v>0.8468925125391364</v>
      </c>
      <c r="C99" s="40">
        <f t="shared" si="39"/>
        <v>14</v>
      </c>
      <c r="D99" s="16">
        <f t="shared" si="43"/>
        <v>0.07142857142857142</v>
      </c>
      <c r="E99" s="9">
        <f t="shared" si="40"/>
        <v>0</v>
      </c>
      <c r="F99" s="9">
        <f t="shared" si="41"/>
        <v>0</v>
      </c>
      <c r="G99" s="9">
        <f aca="true" t="shared" si="49" ref="G99:U99">IF((G$94-$E$94)&lt;($C99+1),0,(G64*$D99))</f>
        <v>0</v>
      </c>
      <c r="H99" s="9">
        <f t="shared" si="49"/>
        <v>0</v>
      </c>
      <c r="I99" s="9">
        <f t="shared" si="49"/>
        <v>0</v>
      </c>
      <c r="J99" s="9">
        <f t="shared" si="49"/>
        <v>0</v>
      </c>
      <c r="K99" s="9">
        <f t="shared" si="49"/>
        <v>0</v>
      </c>
      <c r="L99" s="9">
        <f t="shared" si="49"/>
        <v>0</v>
      </c>
      <c r="M99" s="9">
        <f t="shared" si="49"/>
        <v>0</v>
      </c>
      <c r="N99" s="9">
        <f t="shared" si="49"/>
        <v>0</v>
      </c>
      <c r="O99" s="9">
        <f t="shared" si="49"/>
        <v>0</v>
      </c>
      <c r="P99" s="9">
        <f t="shared" si="49"/>
        <v>0</v>
      </c>
      <c r="Q99" s="9">
        <f t="shared" si="49"/>
        <v>0</v>
      </c>
      <c r="R99" s="9">
        <f t="shared" si="49"/>
        <v>0</v>
      </c>
      <c r="S99" s="9">
        <f t="shared" si="49"/>
        <v>0</v>
      </c>
      <c r="T99" s="9">
        <f t="shared" si="49"/>
        <v>4316.50237731673</v>
      </c>
      <c r="U99" s="9">
        <f t="shared" si="49"/>
        <v>4441.971286974075</v>
      </c>
      <c r="V99" s="9">
        <f aca="true" t="shared" si="50" ref="V99:AC99">IF((V$94-$E$94)&lt;($C99+1),0,(V64*$D99))</f>
        <v>4571.087234421397</v>
      </c>
      <c r="W99" s="9">
        <f t="shared" si="50"/>
        <v>4703.956229065154</v>
      </c>
      <c r="X99" s="9">
        <f t="shared" si="50"/>
        <v>4840.687361715094</v>
      </c>
      <c r="Y99" s="9">
        <f t="shared" si="50"/>
        <v>4981.392894152222</v>
      </c>
      <c r="Z99" s="9">
        <f t="shared" si="50"/>
        <v>5126.188351300249</v>
      </c>
      <c r="AA99" s="9">
        <f t="shared" si="50"/>
        <v>5275.192616076224</v>
      </c>
      <c r="AB99" s="9">
        <f t="shared" si="50"/>
        <v>5428.528026998202</v>
      </c>
      <c r="AC99" s="9">
        <f t="shared" si="50"/>
        <v>5586.3204786301185</v>
      </c>
      <c r="AD99" s="188">
        <f t="shared" si="46"/>
        <v>49271.826856649466</v>
      </c>
      <c r="AE99"/>
    </row>
    <row r="100" spans="1:31" ht="12.75">
      <c r="A100" s="60" t="s">
        <v>18</v>
      </c>
      <c r="B100" s="38">
        <f t="shared" si="39"/>
        <v>0.8208495645747469</v>
      </c>
      <c r="C100" s="40">
        <f t="shared" si="39"/>
        <v>14</v>
      </c>
      <c r="D100" s="16">
        <f t="shared" si="43"/>
        <v>0.07142857142857142</v>
      </c>
      <c r="E100" s="9">
        <f t="shared" si="40"/>
        <v>0</v>
      </c>
      <c r="F100" s="9">
        <f t="shared" si="41"/>
        <v>0</v>
      </c>
      <c r="G100" s="9">
        <f aca="true" t="shared" si="51" ref="G100:U100">IF((G$94-$E$94)&lt;($C100+1),0,(G65*$D100))</f>
        <v>0</v>
      </c>
      <c r="H100" s="9">
        <f t="shared" si="51"/>
        <v>0</v>
      </c>
      <c r="I100" s="9">
        <f t="shared" si="51"/>
        <v>0</v>
      </c>
      <c r="J100" s="9">
        <f t="shared" si="51"/>
        <v>0</v>
      </c>
      <c r="K100" s="9">
        <f t="shared" si="51"/>
        <v>0</v>
      </c>
      <c r="L100" s="9">
        <f t="shared" si="51"/>
        <v>0</v>
      </c>
      <c r="M100" s="9">
        <f t="shared" si="51"/>
        <v>0</v>
      </c>
      <c r="N100" s="9">
        <f t="shared" si="51"/>
        <v>0</v>
      </c>
      <c r="O100" s="9">
        <f t="shared" si="51"/>
        <v>0</v>
      </c>
      <c r="P100" s="9">
        <f t="shared" si="51"/>
        <v>0</v>
      </c>
      <c r="Q100" s="9">
        <f t="shared" si="51"/>
        <v>0</v>
      </c>
      <c r="R100" s="9">
        <f t="shared" si="51"/>
        <v>0</v>
      </c>
      <c r="S100" s="9">
        <f t="shared" si="51"/>
        <v>0</v>
      </c>
      <c r="T100" s="9">
        <f t="shared" si="51"/>
        <v>4183.7648160132485</v>
      </c>
      <c r="U100" s="9">
        <f t="shared" si="51"/>
        <v>4305.375408071872</v>
      </c>
      <c r="V100" s="9">
        <f aca="true" t="shared" si="52" ref="V100:AC100">IF((V$94-$E$94)&lt;($C100+1),0,(V65*$D100))</f>
        <v>4430.520887188258</v>
      </c>
      <c r="W100" s="9">
        <f t="shared" si="52"/>
        <v>4559.304002854039</v>
      </c>
      <c r="X100" s="9">
        <f t="shared" si="52"/>
        <v>4691.83049120734</v>
      </c>
      <c r="Y100" s="9">
        <f t="shared" si="52"/>
        <v>4828.209161846416</v>
      </c>
      <c r="Z100" s="9">
        <f t="shared" si="52"/>
        <v>4968.551987166728</v>
      </c>
      <c r="AA100" s="9">
        <f t="shared" si="52"/>
        <v>5112.974194294798</v>
      </c>
      <c r="AB100" s="9">
        <f t="shared" si="52"/>
        <v>5261.594359694335</v>
      </c>
      <c r="AC100" s="9">
        <f t="shared" si="52"/>
        <v>5414.534506522301</v>
      </c>
      <c r="AD100" s="188">
        <f t="shared" si="46"/>
        <v>47756.659814859326</v>
      </c>
      <c r="AE100"/>
    </row>
    <row r="101" spans="1:31" ht="12.75">
      <c r="A101" s="60" t="s">
        <v>19</v>
      </c>
      <c r="B101" s="38">
        <f t="shared" si="39"/>
        <v>0.6715984668883408</v>
      </c>
      <c r="C101" s="40">
        <f t="shared" si="39"/>
        <v>9</v>
      </c>
      <c r="D101" s="16">
        <f t="shared" si="43"/>
        <v>0.1111111111111111</v>
      </c>
      <c r="E101" s="9">
        <f t="shared" si="40"/>
        <v>0</v>
      </c>
      <c r="F101" s="9">
        <f t="shared" si="41"/>
        <v>0</v>
      </c>
      <c r="G101" s="9">
        <f aca="true" t="shared" si="53" ref="G101:U101">IF((G$94-$E$94)&lt;($C101+1),0,(G66*$D101))</f>
        <v>0</v>
      </c>
      <c r="H101" s="9">
        <f t="shared" si="53"/>
        <v>0</v>
      </c>
      <c r="I101" s="9">
        <f t="shared" si="53"/>
        <v>0</v>
      </c>
      <c r="J101" s="9">
        <f t="shared" si="53"/>
        <v>0</v>
      </c>
      <c r="K101" s="9">
        <f t="shared" si="53"/>
        <v>0</v>
      </c>
      <c r="L101" s="9">
        <f t="shared" si="53"/>
        <v>0</v>
      </c>
      <c r="M101" s="9">
        <f t="shared" si="53"/>
        <v>0</v>
      </c>
      <c r="N101" s="9">
        <f t="shared" si="53"/>
        <v>0</v>
      </c>
      <c r="O101" s="9">
        <f t="shared" si="53"/>
        <v>4614.026675573151</v>
      </c>
      <c r="P101" s="9">
        <f t="shared" si="53"/>
        <v>4748.143802244105</v>
      </c>
      <c r="Q101" s="9">
        <f t="shared" si="53"/>
        <v>4886.159346703084</v>
      </c>
      <c r="R101" s="9">
        <f t="shared" si="53"/>
        <v>5028.18662528505</v>
      </c>
      <c r="S101" s="9">
        <f t="shared" si="53"/>
        <v>5174.342248120668</v>
      </c>
      <c r="T101" s="9">
        <f t="shared" si="53"/>
        <v>5324.746214877941</v>
      </c>
      <c r="U101" s="9">
        <f t="shared" si="53"/>
        <v>5479.52201328677</v>
      </c>
      <c r="V101" s="9">
        <f aca="true" t="shared" si="54" ref="V101:AC101">IF((V$94-$E$94)&lt;($C101+1),0,(V66*$D101))</f>
        <v>5638.796720527377</v>
      </c>
      <c r="W101" s="9">
        <f t="shared" si="54"/>
        <v>5802.701107565797</v>
      </c>
      <c r="X101" s="9">
        <f t="shared" si="54"/>
        <v>5971.36974652212</v>
      </c>
      <c r="Y101" s="9">
        <f t="shared" si="54"/>
        <v>6144.941121159639</v>
      </c>
      <c r="Z101" s="9">
        <f t="shared" si="54"/>
        <v>6323.557740585609</v>
      </c>
      <c r="AA101" s="9">
        <f t="shared" si="54"/>
        <v>6507.366256256982</v>
      </c>
      <c r="AB101" s="9">
        <f t="shared" si="54"/>
        <v>6696.517582387168</v>
      </c>
      <c r="AC101" s="9">
        <f t="shared" si="54"/>
        <v>6891.167019852705</v>
      </c>
      <c r="AD101" s="188">
        <f t="shared" si="46"/>
        <v>85231.54422094816</v>
      </c>
      <c r="AE101"/>
    </row>
    <row r="102" spans="1:31" ht="12.75">
      <c r="A102" s="60" t="s">
        <v>20</v>
      </c>
      <c r="B102" s="38">
        <f t="shared" si="39"/>
        <v>0.8243049688800121</v>
      </c>
      <c r="C102" s="40">
        <f t="shared" si="39"/>
        <v>20</v>
      </c>
      <c r="D102" s="16">
        <f t="shared" si="43"/>
        <v>0.05</v>
      </c>
      <c r="E102" s="9">
        <f t="shared" si="40"/>
        <v>0</v>
      </c>
      <c r="F102" s="9">
        <f t="shared" si="41"/>
        <v>0</v>
      </c>
      <c r="G102" s="9">
        <f aca="true" t="shared" si="55" ref="G102:U102">IF((G$94-$E$94)&lt;($C102+1),0,(G67*$D102))</f>
        <v>0</v>
      </c>
      <c r="H102" s="9">
        <f t="shared" si="55"/>
        <v>0</v>
      </c>
      <c r="I102" s="9">
        <f t="shared" si="55"/>
        <v>0</v>
      </c>
      <c r="J102" s="9">
        <f t="shared" si="55"/>
        <v>0</v>
      </c>
      <c r="K102" s="9">
        <f t="shared" si="55"/>
        <v>0</v>
      </c>
      <c r="L102" s="9">
        <f t="shared" si="55"/>
        <v>0</v>
      </c>
      <c r="M102" s="9">
        <f t="shared" si="55"/>
        <v>0</v>
      </c>
      <c r="N102" s="9">
        <f t="shared" si="55"/>
        <v>0</v>
      </c>
      <c r="O102" s="9">
        <f t="shared" si="55"/>
        <v>0</v>
      </c>
      <c r="P102" s="9">
        <f t="shared" si="55"/>
        <v>0</v>
      </c>
      <c r="Q102" s="9">
        <f t="shared" si="55"/>
        <v>0</v>
      </c>
      <c r="R102" s="9">
        <f t="shared" si="55"/>
        <v>0</v>
      </c>
      <c r="S102" s="9">
        <f t="shared" si="55"/>
        <v>0</v>
      </c>
      <c r="T102" s="9">
        <f t="shared" si="55"/>
        <v>0</v>
      </c>
      <c r="U102" s="9">
        <f t="shared" si="55"/>
        <v>0</v>
      </c>
      <c r="V102" s="9">
        <f aca="true" t="shared" si="56" ref="V102:AC102">IF((V$94-$E$94)&lt;($C102+1),0,(V67*$D102))</f>
        <v>0</v>
      </c>
      <c r="W102" s="9">
        <f t="shared" si="56"/>
        <v>0</v>
      </c>
      <c r="X102" s="9">
        <f t="shared" si="56"/>
        <v>0</v>
      </c>
      <c r="Y102" s="9">
        <f t="shared" si="56"/>
        <v>0</v>
      </c>
      <c r="Z102" s="9">
        <f t="shared" si="56"/>
        <v>3492.6271360055907</v>
      </c>
      <c r="AA102" s="9">
        <f t="shared" si="56"/>
        <v>3594.148247379723</v>
      </c>
      <c r="AB102" s="9">
        <f t="shared" si="56"/>
        <v>3698.6202995938856</v>
      </c>
      <c r="AC102" s="9">
        <f t="shared" si="56"/>
        <v>3806.1290684214473</v>
      </c>
      <c r="AD102" s="188">
        <f t="shared" si="46"/>
        <v>14591.524751400648</v>
      </c>
      <c r="AE102"/>
    </row>
    <row r="103" spans="1:31" ht="12.75">
      <c r="A103" s="60" t="s">
        <v>22</v>
      </c>
      <c r="B103" s="38">
        <f t="shared" si="39"/>
        <v>0.11108830806400877</v>
      </c>
      <c r="C103" s="40">
        <f t="shared" si="39"/>
        <v>9</v>
      </c>
      <c r="D103" s="16">
        <f t="shared" si="43"/>
        <v>0.1111111111111111</v>
      </c>
      <c r="E103" s="9">
        <f t="shared" si="40"/>
        <v>0</v>
      </c>
      <c r="F103" s="9">
        <f t="shared" si="41"/>
        <v>0</v>
      </c>
      <c r="G103" s="9">
        <f aca="true" t="shared" si="57" ref="G103:U103">IF((G$94-$E$94)&lt;($C103+1),0,(G68*$D103))</f>
        <v>0</v>
      </c>
      <c r="H103" s="9">
        <f t="shared" si="57"/>
        <v>0</v>
      </c>
      <c r="I103" s="9">
        <f t="shared" si="57"/>
        <v>0</v>
      </c>
      <c r="J103" s="9">
        <f t="shared" si="57"/>
        <v>0</v>
      </c>
      <c r="K103" s="9">
        <f t="shared" si="57"/>
        <v>0</v>
      </c>
      <c r="L103" s="9">
        <f t="shared" si="57"/>
        <v>0</v>
      </c>
      <c r="M103" s="9">
        <f t="shared" si="57"/>
        <v>0</v>
      </c>
      <c r="N103" s="9">
        <f t="shared" si="57"/>
        <v>0</v>
      </c>
      <c r="O103" s="9">
        <f t="shared" si="57"/>
        <v>763.2006950915847</v>
      </c>
      <c r="P103" s="9">
        <f t="shared" si="57"/>
        <v>785.3848503850181</v>
      </c>
      <c r="Q103" s="9">
        <f t="shared" si="57"/>
        <v>808.2138383538515</v>
      </c>
      <c r="R103" s="9">
        <f t="shared" si="57"/>
        <v>831.7064025190247</v>
      </c>
      <c r="S103" s="9">
        <f t="shared" si="57"/>
        <v>855.8818312243284</v>
      </c>
      <c r="T103" s="9">
        <f t="shared" si="57"/>
        <v>880.7599734729149</v>
      </c>
      <c r="U103" s="9">
        <f t="shared" si="57"/>
        <v>906.3612552241307</v>
      </c>
      <c r="V103" s="9">
        <f aca="true" t="shared" si="58" ref="V103:AC103">IF((V$94-$E$94)&lt;($C103+1),0,(V68*$D103))</f>
        <v>932.7066961640533</v>
      </c>
      <c r="W103" s="9">
        <f t="shared" si="58"/>
        <v>959.8179269635032</v>
      </c>
      <c r="X103" s="9">
        <f t="shared" si="58"/>
        <v>987.717207037697</v>
      </c>
      <c r="Y103" s="9">
        <f t="shared" si="58"/>
        <v>1016.4274428221273</v>
      </c>
      <c r="Z103" s="9">
        <f t="shared" si="58"/>
        <v>1045.9722065796702</v>
      </c>
      <c r="AA103" s="9">
        <f t="shared" si="58"/>
        <v>1076.3757557543654</v>
      </c>
      <c r="AB103" s="9">
        <f t="shared" si="58"/>
        <v>1107.6630528877572</v>
      </c>
      <c r="AC103" s="9">
        <f t="shared" si="58"/>
        <v>1139.859786114149</v>
      </c>
      <c r="AD103" s="188">
        <f t="shared" si="46"/>
        <v>14098.048920594176</v>
      </c>
      <c r="AE103"/>
    </row>
    <row r="104" spans="1:31" ht="12.75">
      <c r="A104" s="60" t="s">
        <v>25</v>
      </c>
      <c r="B104" s="38">
        <f t="shared" si="39"/>
        <v>0.22611176020100568</v>
      </c>
      <c r="C104" s="40">
        <f t="shared" si="39"/>
        <v>18</v>
      </c>
      <c r="D104" s="16">
        <f t="shared" si="43"/>
        <v>0.05555555555555555</v>
      </c>
      <c r="E104" s="9">
        <f t="shared" si="40"/>
        <v>0</v>
      </c>
      <c r="F104" s="9">
        <f t="shared" si="41"/>
        <v>0</v>
      </c>
      <c r="G104" s="9">
        <f aca="true" t="shared" si="59" ref="G104:U104">IF((G$94-$E$94)&lt;($C104+1),0,(G69*$D104))</f>
        <v>0</v>
      </c>
      <c r="H104" s="9">
        <f t="shared" si="59"/>
        <v>0</v>
      </c>
      <c r="I104" s="9">
        <f t="shared" si="59"/>
        <v>0</v>
      </c>
      <c r="J104" s="9">
        <f t="shared" si="59"/>
        <v>0</v>
      </c>
      <c r="K104" s="9">
        <f t="shared" si="59"/>
        <v>0</v>
      </c>
      <c r="L104" s="9">
        <f t="shared" si="59"/>
        <v>0</v>
      </c>
      <c r="M104" s="9">
        <f t="shared" si="59"/>
        <v>0</v>
      </c>
      <c r="N104" s="9">
        <f t="shared" si="59"/>
        <v>0</v>
      </c>
      <c r="O104" s="9">
        <f t="shared" si="59"/>
        <v>0</v>
      </c>
      <c r="P104" s="9">
        <f t="shared" si="59"/>
        <v>0</v>
      </c>
      <c r="Q104" s="9">
        <f t="shared" si="59"/>
        <v>0</v>
      </c>
      <c r="R104" s="9">
        <f t="shared" si="59"/>
        <v>0</v>
      </c>
      <c r="S104" s="9">
        <f t="shared" si="59"/>
        <v>0</v>
      </c>
      <c r="T104" s="9">
        <f t="shared" si="59"/>
        <v>0</v>
      </c>
      <c r="U104" s="9">
        <f t="shared" si="59"/>
        <v>0</v>
      </c>
      <c r="V104" s="9">
        <f aca="true" t="shared" si="60" ref="V104:AC104">IF((V$94-$E$94)&lt;($C104+1),0,(V69*$D104))</f>
        <v>0</v>
      </c>
      <c r="W104" s="9">
        <f t="shared" si="60"/>
        <v>0</v>
      </c>
      <c r="X104" s="9">
        <f t="shared" si="60"/>
        <v>1005.2114401428732</v>
      </c>
      <c r="Y104" s="9">
        <f t="shared" si="60"/>
        <v>1034.4301854012083</v>
      </c>
      <c r="Z104" s="9">
        <f t="shared" si="60"/>
        <v>1064.4982396112503</v>
      </c>
      <c r="AA104" s="9">
        <f t="shared" si="60"/>
        <v>1095.4402898596304</v>
      </c>
      <c r="AB104" s="9">
        <f t="shared" si="60"/>
        <v>1127.2817408190185</v>
      </c>
      <c r="AC104" s="9">
        <f t="shared" si="60"/>
        <v>1160.048735606386</v>
      </c>
      <c r="AD104" s="188">
        <f t="shared" si="46"/>
        <v>6486.910631440367</v>
      </c>
      <c r="AE104"/>
    </row>
    <row r="105" spans="1:31" ht="12.75">
      <c r="A105" s="189"/>
      <c r="B105" s="16"/>
      <c r="C105" s="16"/>
      <c r="D105" s="16"/>
      <c r="E105" s="8"/>
      <c r="F105" s="9"/>
      <c r="G105" s="9"/>
      <c r="H105" s="9"/>
      <c r="I105" s="9"/>
      <c r="J105" s="9"/>
      <c r="K105" s="9"/>
      <c r="L105" s="9"/>
      <c r="M105" s="9"/>
      <c r="N105" s="9"/>
      <c r="O105" s="9"/>
      <c r="P105" s="9"/>
      <c r="Q105" s="9"/>
      <c r="R105" s="9"/>
      <c r="S105" s="9"/>
      <c r="T105" s="9"/>
      <c r="U105" s="9"/>
      <c r="V105" s="9"/>
      <c r="W105" s="9"/>
      <c r="X105" s="9"/>
      <c r="Y105" s="9"/>
      <c r="Z105" s="9"/>
      <c r="AA105" s="9"/>
      <c r="AB105" s="9"/>
      <c r="AC105" s="9"/>
      <c r="AD105" s="187"/>
      <c r="AE105"/>
    </row>
    <row r="106" spans="1:31" ht="25.5">
      <c r="A106" s="185" t="s">
        <v>21</v>
      </c>
      <c r="B106" s="16"/>
      <c r="C106" s="16"/>
      <c r="D106" s="16"/>
      <c r="E106" s="8"/>
      <c r="F106" s="9"/>
      <c r="G106" s="9"/>
      <c r="H106" s="9"/>
      <c r="I106" s="9"/>
      <c r="J106" s="9"/>
      <c r="K106" s="9"/>
      <c r="L106" s="9"/>
      <c r="M106" s="9"/>
      <c r="N106" s="9"/>
      <c r="O106" s="9"/>
      <c r="P106" s="9"/>
      <c r="Q106" s="9"/>
      <c r="R106" s="9"/>
      <c r="S106" s="9"/>
      <c r="T106" s="9"/>
      <c r="U106" s="9"/>
      <c r="V106" s="9"/>
      <c r="W106" s="9"/>
      <c r="X106" s="9"/>
      <c r="Y106" s="9"/>
      <c r="Z106" s="9"/>
      <c r="AA106" s="9"/>
      <c r="AB106" s="9"/>
      <c r="AC106" s="9"/>
      <c r="AD106" s="187"/>
      <c r="AE106"/>
    </row>
    <row r="107" spans="1:31" ht="12.75">
      <c r="A107" s="60" t="s">
        <v>14</v>
      </c>
      <c r="B107" s="38">
        <f aca="true" t="shared" si="61" ref="B107:C115">B72</f>
        <v>0.6380307253225443</v>
      </c>
      <c r="C107" s="40">
        <f t="shared" si="61"/>
        <v>12</v>
      </c>
      <c r="D107" s="16">
        <f>1/C107</f>
        <v>0.08333333333333333</v>
      </c>
      <c r="E107" s="9">
        <f aca="true" t="shared" si="62" ref="E107:E115">IF((E$94-$E$94)&lt;($C107+1),0,(E72*$D107*$B$17))</f>
        <v>0</v>
      </c>
      <c r="F107" s="9">
        <f aca="true" t="shared" si="63" ref="F107:U107">IF((F$94-$E$94)&lt;($C107+1),0,(F72*$D107))</f>
        <v>0</v>
      </c>
      <c r="G107" s="9">
        <f t="shared" si="63"/>
        <v>0</v>
      </c>
      <c r="H107" s="9">
        <f t="shared" si="63"/>
        <v>0</v>
      </c>
      <c r="I107" s="9">
        <f t="shared" si="63"/>
        <v>0</v>
      </c>
      <c r="J107" s="9">
        <f t="shared" si="63"/>
        <v>0</v>
      </c>
      <c r="K107" s="9">
        <f t="shared" si="63"/>
        <v>0</v>
      </c>
      <c r="L107" s="9">
        <f t="shared" si="63"/>
        <v>0</v>
      </c>
      <c r="M107" s="9">
        <f t="shared" si="63"/>
        <v>0</v>
      </c>
      <c r="N107" s="9">
        <f t="shared" si="63"/>
        <v>0</v>
      </c>
      <c r="O107" s="9">
        <f t="shared" si="63"/>
        <v>0</v>
      </c>
      <c r="P107" s="9">
        <f t="shared" si="63"/>
        <v>0</v>
      </c>
      <c r="Q107" s="9">
        <f t="shared" si="63"/>
        <v>0</v>
      </c>
      <c r="R107" s="9">
        <f t="shared" si="63"/>
        <v>1076.906551511059</v>
      </c>
      <c r="S107" s="9">
        <f t="shared" si="63"/>
        <v>1085.1517678853727</v>
      </c>
      <c r="T107" s="9">
        <f t="shared" si="63"/>
        <v>1093.4601128505228</v>
      </c>
      <c r="U107" s="9">
        <f t="shared" si="63"/>
        <v>1101.8320697436102</v>
      </c>
      <c r="V107" s="9">
        <f aca="true" t="shared" si="64" ref="V107:AC107">IF((V$94-$E$94)&lt;($C107+1),0,(V72*$D107))</f>
        <v>1110.2681256023536</v>
      </c>
      <c r="W107" s="9">
        <f t="shared" si="64"/>
        <v>1118.768771193422</v>
      </c>
      <c r="X107" s="9">
        <f t="shared" si="64"/>
        <v>1127.3345010409853</v>
      </c>
      <c r="Y107" s="9">
        <f t="shared" si="64"/>
        <v>1135.9658134554836</v>
      </c>
      <c r="Z107" s="9">
        <f t="shared" si="64"/>
        <v>1144.6632105626156</v>
      </c>
      <c r="AA107" s="9">
        <f t="shared" si="64"/>
        <v>1153.4271983325502</v>
      </c>
      <c r="AB107" s="9">
        <f t="shared" si="64"/>
        <v>1162.2582866093614</v>
      </c>
      <c r="AC107" s="9">
        <f t="shared" si="64"/>
        <v>1171.1569891406878</v>
      </c>
      <c r="AD107" s="188">
        <f>SUM(E107:AC107)</f>
        <v>13481.193397928024</v>
      </c>
      <c r="AE107"/>
    </row>
    <row r="108" spans="1:31" ht="12.75">
      <c r="A108" s="60" t="s">
        <v>15</v>
      </c>
      <c r="B108" s="38">
        <f t="shared" si="61"/>
        <v>1.1204469504317132</v>
      </c>
      <c r="C108" s="40">
        <f t="shared" si="61"/>
        <v>19</v>
      </c>
      <c r="D108" s="16">
        <f aca="true" t="shared" si="65" ref="D108:D115">1/C108</f>
        <v>0.05263157894736842</v>
      </c>
      <c r="E108" s="9">
        <f t="shared" si="62"/>
        <v>0</v>
      </c>
      <c r="F108" s="9">
        <f aca="true" t="shared" si="66" ref="F108:U108">IF((F$94-$E$94)&lt;($C108+1),0,(F73*$D108))</f>
        <v>0</v>
      </c>
      <c r="G108" s="9">
        <f t="shared" si="66"/>
        <v>0</v>
      </c>
      <c r="H108" s="9">
        <f t="shared" si="66"/>
        <v>0</v>
      </c>
      <c r="I108" s="9">
        <f t="shared" si="66"/>
        <v>0</v>
      </c>
      <c r="J108" s="9">
        <f t="shared" si="66"/>
        <v>0</v>
      </c>
      <c r="K108" s="9">
        <f t="shared" si="66"/>
        <v>0</v>
      </c>
      <c r="L108" s="9">
        <f t="shared" si="66"/>
        <v>0</v>
      </c>
      <c r="M108" s="9">
        <f t="shared" si="66"/>
        <v>0</v>
      </c>
      <c r="N108" s="9">
        <f t="shared" si="66"/>
        <v>0</v>
      </c>
      <c r="O108" s="9">
        <f t="shared" si="66"/>
        <v>0</v>
      </c>
      <c r="P108" s="9">
        <f t="shared" si="66"/>
        <v>0</v>
      </c>
      <c r="Q108" s="9">
        <f t="shared" si="66"/>
        <v>0</v>
      </c>
      <c r="R108" s="9">
        <f t="shared" si="66"/>
        <v>0</v>
      </c>
      <c r="S108" s="9">
        <f t="shared" si="66"/>
        <v>0</v>
      </c>
      <c r="T108" s="9">
        <f t="shared" si="66"/>
        <v>0</v>
      </c>
      <c r="U108" s="9">
        <f t="shared" si="66"/>
        <v>0</v>
      </c>
      <c r="V108" s="9">
        <f aca="true" t="shared" si="67" ref="V108:AC108">IF((V$94-$E$94)&lt;($C108+1),0,(V73*$D108))</f>
        <v>0</v>
      </c>
      <c r="W108" s="9">
        <f t="shared" si="67"/>
        <v>0</v>
      </c>
      <c r="X108" s="9">
        <f t="shared" si="67"/>
        <v>0</v>
      </c>
      <c r="Y108" s="9">
        <f t="shared" si="67"/>
        <v>1259.918962288162</v>
      </c>
      <c r="Z108" s="9">
        <f t="shared" si="67"/>
        <v>1269.565393024042</v>
      </c>
      <c r="AA108" s="9">
        <f t="shared" si="67"/>
        <v>1279.2856805941528</v>
      </c>
      <c r="AB108" s="9">
        <f t="shared" si="67"/>
        <v>1289.0803904752092</v>
      </c>
      <c r="AC108" s="9">
        <f t="shared" si="67"/>
        <v>1298.950092473437</v>
      </c>
      <c r="AD108" s="188">
        <f aca="true" t="shared" si="68" ref="AD108:AD115">SUM(E108:AC108)</f>
        <v>6396.800518855003</v>
      </c>
      <c r="AE108"/>
    </row>
    <row r="109" spans="1:31" ht="12.75">
      <c r="A109" s="60" t="s">
        <v>16</v>
      </c>
      <c r="B109" s="38">
        <f t="shared" si="61"/>
        <v>0.5673737735173195</v>
      </c>
      <c r="C109" s="40">
        <f t="shared" si="61"/>
        <v>22</v>
      </c>
      <c r="D109" s="16">
        <f t="shared" si="65"/>
        <v>0.045454545454545456</v>
      </c>
      <c r="E109" s="9">
        <f t="shared" si="62"/>
        <v>0</v>
      </c>
      <c r="F109" s="9">
        <f aca="true" t="shared" si="69" ref="F109:U109">IF((F$94-$E$94)&lt;($C109+1),0,(F74*$D109))</f>
        <v>0</v>
      </c>
      <c r="G109" s="9">
        <f t="shared" si="69"/>
        <v>0</v>
      </c>
      <c r="H109" s="9">
        <f t="shared" si="69"/>
        <v>0</v>
      </c>
      <c r="I109" s="9">
        <f t="shared" si="69"/>
        <v>0</v>
      </c>
      <c r="J109" s="9">
        <f t="shared" si="69"/>
        <v>0</v>
      </c>
      <c r="K109" s="9">
        <f t="shared" si="69"/>
        <v>0</v>
      </c>
      <c r="L109" s="9">
        <f t="shared" si="69"/>
        <v>0</v>
      </c>
      <c r="M109" s="9">
        <f t="shared" si="69"/>
        <v>0</v>
      </c>
      <c r="N109" s="9">
        <f t="shared" si="69"/>
        <v>0</v>
      </c>
      <c r="O109" s="9">
        <f t="shared" si="69"/>
        <v>0</v>
      </c>
      <c r="P109" s="9">
        <f t="shared" si="69"/>
        <v>0</v>
      </c>
      <c r="Q109" s="9">
        <f t="shared" si="69"/>
        <v>0</v>
      </c>
      <c r="R109" s="9">
        <f t="shared" si="69"/>
        <v>0</v>
      </c>
      <c r="S109" s="9">
        <f t="shared" si="69"/>
        <v>0</v>
      </c>
      <c r="T109" s="9">
        <f t="shared" si="69"/>
        <v>0</v>
      </c>
      <c r="U109" s="9">
        <f t="shared" si="69"/>
        <v>0</v>
      </c>
      <c r="V109" s="9">
        <f aca="true" t="shared" si="70" ref="V109:AC109">IF((V$94-$E$94)&lt;($C109+1),0,(V74*$D109))</f>
        <v>0</v>
      </c>
      <c r="W109" s="9">
        <f t="shared" si="70"/>
        <v>0</v>
      </c>
      <c r="X109" s="9">
        <f t="shared" si="70"/>
        <v>0</v>
      </c>
      <c r="Y109" s="9">
        <f t="shared" si="70"/>
        <v>0</v>
      </c>
      <c r="Z109" s="9">
        <f t="shared" si="70"/>
        <v>0</v>
      </c>
      <c r="AA109" s="9">
        <f t="shared" si="70"/>
        <v>0</v>
      </c>
      <c r="AB109" s="9">
        <f t="shared" si="70"/>
        <v>563.7530183564261</v>
      </c>
      <c r="AC109" s="9">
        <f t="shared" si="70"/>
        <v>568.0693312356625</v>
      </c>
      <c r="AD109" s="188">
        <f t="shared" si="68"/>
        <v>1131.8223495920886</v>
      </c>
      <c r="AE109"/>
    </row>
    <row r="110" spans="1:31" ht="12.75">
      <c r="A110" s="60" t="s">
        <v>17</v>
      </c>
      <c r="B110" s="38">
        <f t="shared" si="61"/>
        <v>0.8468925125391364</v>
      </c>
      <c r="C110" s="40">
        <f t="shared" si="61"/>
        <v>14</v>
      </c>
      <c r="D110" s="16">
        <f t="shared" si="65"/>
        <v>0.07142857142857142</v>
      </c>
      <c r="E110" s="9">
        <f t="shared" si="62"/>
        <v>0</v>
      </c>
      <c r="F110" s="9">
        <f aca="true" t="shared" si="71" ref="F110:U110">IF((F$94-$E$94)&lt;($C110+1),0,(F75*$D110))</f>
        <v>0</v>
      </c>
      <c r="G110" s="9">
        <f t="shared" si="71"/>
        <v>0</v>
      </c>
      <c r="H110" s="9">
        <f t="shared" si="71"/>
        <v>0</v>
      </c>
      <c r="I110" s="9">
        <f t="shared" si="71"/>
        <v>0</v>
      </c>
      <c r="J110" s="9">
        <f t="shared" si="71"/>
        <v>0</v>
      </c>
      <c r="K110" s="9">
        <f t="shared" si="71"/>
        <v>0</v>
      </c>
      <c r="L110" s="9">
        <f t="shared" si="71"/>
        <v>0</v>
      </c>
      <c r="M110" s="9">
        <f t="shared" si="71"/>
        <v>0</v>
      </c>
      <c r="N110" s="9">
        <f t="shared" si="71"/>
        <v>0</v>
      </c>
      <c r="O110" s="9">
        <f t="shared" si="71"/>
        <v>0</v>
      </c>
      <c r="P110" s="9">
        <f t="shared" si="71"/>
        <v>0</v>
      </c>
      <c r="Q110" s="9">
        <f t="shared" si="71"/>
        <v>0</v>
      </c>
      <c r="R110" s="9">
        <f t="shared" si="71"/>
        <v>0</v>
      </c>
      <c r="S110" s="9">
        <f t="shared" si="71"/>
        <v>0</v>
      </c>
      <c r="T110" s="9">
        <f t="shared" si="71"/>
        <v>1244.0643806637502</v>
      </c>
      <c r="U110" s="9">
        <f t="shared" si="71"/>
        <v>1253.5894225420418</v>
      </c>
      <c r="V110" s="9">
        <f aca="true" t="shared" si="72" ref="V110:AC110">IF((V$94-$E$94)&lt;($C110+1),0,(V75*$D110))</f>
        <v>1263.1873918541487</v>
      </c>
      <c r="W110" s="9">
        <f t="shared" si="72"/>
        <v>1272.8588469609342</v>
      </c>
      <c r="X110" s="9">
        <f t="shared" si="72"/>
        <v>1282.60435049829</v>
      </c>
      <c r="Y110" s="9">
        <f t="shared" si="72"/>
        <v>1292.4244694098663</v>
      </c>
      <c r="Z110" s="9">
        <f t="shared" si="72"/>
        <v>1302.319774980057</v>
      </c>
      <c r="AA110" s="9">
        <f t="shared" si="72"/>
        <v>1312.29084286723</v>
      </c>
      <c r="AB110" s="9">
        <f t="shared" si="72"/>
        <v>1322.3382531372192</v>
      </c>
      <c r="AC110" s="9">
        <f t="shared" si="72"/>
        <v>1332.4625902970683</v>
      </c>
      <c r="AD110" s="188">
        <f t="shared" si="68"/>
        <v>12878.140323210606</v>
      </c>
      <c r="AE110"/>
    </row>
    <row r="111" spans="1:31" ht="12.75">
      <c r="A111" s="60" t="s">
        <v>18</v>
      </c>
      <c r="B111" s="38">
        <f t="shared" si="61"/>
        <v>0.8208495645747469</v>
      </c>
      <c r="C111" s="40">
        <f t="shared" si="61"/>
        <v>14</v>
      </c>
      <c r="D111" s="16">
        <f t="shared" si="65"/>
        <v>0.07142857142857142</v>
      </c>
      <c r="E111" s="9">
        <f t="shared" si="62"/>
        <v>0</v>
      </c>
      <c r="F111" s="9">
        <f aca="true" t="shared" si="73" ref="F111:U111">IF((F$94-$E$94)&lt;($C111+1),0,(F76*$D111))</f>
        <v>0</v>
      </c>
      <c r="G111" s="9">
        <f t="shared" si="73"/>
        <v>0</v>
      </c>
      <c r="H111" s="9">
        <f t="shared" si="73"/>
        <v>0</v>
      </c>
      <c r="I111" s="9">
        <f t="shared" si="73"/>
        <v>0</v>
      </c>
      <c r="J111" s="9">
        <f t="shared" si="73"/>
        <v>0</v>
      </c>
      <c r="K111" s="9">
        <f t="shared" si="73"/>
        <v>0</v>
      </c>
      <c r="L111" s="9">
        <f t="shared" si="73"/>
        <v>0</v>
      </c>
      <c r="M111" s="9">
        <f t="shared" si="73"/>
        <v>0</v>
      </c>
      <c r="N111" s="9">
        <f t="shared" si="73"/>
        <v>0</v>
      </c>
      <c r="O111" s="9">
        <f t="shared" si="73"/>
        <v>0</v>
      </c>
      <c r="P111" s="9">
        <f t="shared" si="73"/>
        <v>0</v>
      </c>
      <c r="Q111" s="9">
        <f t="shared" si="73"/>
        <v>0</v>
      </c>
      <c r="R111" s="9">
        <f t="shared" si="73"/>
        <v>0</v>
      </c>
      <c r="S111" s="9">
        <f t="shared" si="73"/>
        <v>0</v>
      </c>
      <c r="T111" s="9">
        <f t="shared" si="73"/>
        <v>1205.807927276486</v>
      </c>
      <c r="U111" s="9">
        <f t="shared" si="73"/>
        <v>1215.0400628339373</v>
      </c>
      <c r="V111" s="9">
        <f aca="true" t="shared" si="74" ref="V111:AC111">IF((V$94-$E$94)&lt;($C111+1),0,(V76*$D111))</f>
        <v>1224.3428832202264</v>
      </c>
      <c r="W111" s="9">
        <f t="shared" si="74"/>
        <v>1233.7169296259588</v>
      </c>
      <c r="X111" s="9">
        <f t="shared" si="74"/>
        <v>1243.1627473853057</v>
      </c>
      <c r="Y111" s="9">
        <f t="shared" si="74"/>
        <v>1252.680886007729</v>
      </c>
      <c r="Z111" s="9">
        <f t="shared" si="74"/>
        <v>1262.2718992099499</v>
      </c>
      <c r="AA111" s="9">
        <f t="shared" si="74"/>
        <v>1271.9363449481605</v>
      </c>
      <c r="AB111" s="9">
        <f t="shared" si="74"/>
        <v>1281.6747854504827</v>
      </c>
      <c r="AC111" s="9">
        <f t="shared" si="74"/>
        <v>1291.487787249676</v>
      </c>
      <c r="AD111" s="188">
        <f t="shared" si="68"/>
        <v>12482.122253207914</v>
      </c>
      <c r="AE111"/>
    </row>
    <row r="112" spans="1:31" ht="12.75">
      <c r="A112" s="60" t="s">
        <v>19</v>
      </c>
      <c r="B112" s="38">
        <f t="shared" si="61"/>
        <v>0.6715984668883408</v>
      </c>
      <c r="C112" s="40">
        <f t="shared" si="61"/>
        <v>9</v>
      </c>
      <c r="D112" s="16">
        <f t="shared" si="65"/>
        <v>0.1111111111111111</v>
      </c>
      <c r="E112" s="9">
        <f t="shared" si="62"/>
        <v>0</v>
      </c>
      <c r="F112" s="9">
        <f aca="true" t="shared" si="75" ref="F112:U112">IF((F$94-$E$94)&lt;($C112+1),0,(F77*$D112))</f>
        <v>0</v>
      </c>
      <c r="G112" s="9">
        <f t="shared" si="75"/>
        <v>0</v>
      </c>
      <c r="H112" s="9">
        <f t="shared" si="75"/>
        <v>0</v>
      </c>
      <c r="I112" s="9">
        <f t="shared" si="75"/>
        <v>0</v>
      </c>
      <c r="J112" s="9">
        <f t="shared" si="75"/>
        <v>0</v>
      </c>
      <c r="K112" s="9">
        <f t="shared" si="75"/>
        <v>0</v>
      </c>
      <c r="L112" s="9">
        <f t="shared" si="75"/>
        <v>0</v>
      </c>
      <c r="M112" s="9">
        <f t="shared" si="75"/>
        <v>0</v>
      </c>
      <c r="N112" s="9">
        <f t="shared" si="75"/>
        <v>0</v>
      </c>
      <c r="O112" s="9">
        <f t="shared" si="75"/>
        <v>1477.227788739637</v>
      </c>
      <c r="P112" s="9">
        <f t="shared" si="75"/>
        <v>1488.5380205654317</v>
      </c>
      <c r="Q112" s="9">
        <f t="shared" si="75"/>
        <v>1499.93484793521</v>
      </c>
      <c r="R112" s="9">
        <f t="shared" si="75"/>
        <v>1511.4189338582141</v>
      </c>
      <c r="S112" s="9">
        <f t="shared" si="75"/>
        <v>1522.990946419944</v>
      </c>
      <c r="T112" s="9">
        <f t="shared" si="75"/>
        <v>1534.6515588210234</v>
      </c>
      <c r="U112" s="9">
        <f t="shared" si="75"/>
        <v>1546.4014494163612</v>
      </c>
      <c r="V112" s="9">
        <f aca="true" t="shared" si="76" ref="V112:AC112">IF((V$94-$E$94)&lt;($C112+1),0,(V77*$D112))</f>
        <v>1558.241301754616</v>
      </c>
      <c r="W112" s="9">
        <f t="shared" si="76"/>
        <v>1570.1718046179624</v>
      </c>
      <c r="X112" s="9">
        <f t="shared" si="76"/>
        <v>1582.1936520621587</v>
      </c>
      <c r="Y112" s="9">
        <f t="shared" si="76"/>
        <v>1594.307543456926</v>
      </c>
      <c r="Z112" s="9">
        <f t="shared" si="76"/>
        <v>1606.5141835266313</v>
      </c>
      <c r="AA112" s="9">
        <f t="shared" si="76"/>
        <v>1618.8142823912865</v>
      </c>
      <c r="AB112" s="9">
        <f t="shared" si="76"/>
        <v>1631.2085556078596</v>
      </c>
      <c r="AC112" s="9">
        <f t="shared" si="76"/>
        <v>1643.697724211901</v>
      </c>
      <c r="AD112" s="188">
        <f t="shared" si="68"/>
        <v>23386.31259338517</v>
      </c>
      <c r="AE112"/>
    </row>
    <row r="113" spans="1:31" ht="12.75">
      <c r="A113" s="60" t="s">
        <v>20</v>
      </c>
      <c r="B113" s="38">
        <f t="shared" si="61"/>
        <v>0.8243049688800121</v>
      </c>
      <c r="C113" s="40">
        <f t="shared" si="61"/>
        <v>20</v>
      </c>
      <c r="D113" s="16">
        <f t="shared" si="65"/>
        <v>0.05</v>
      </c>
      <c r="E113" s="9">
        <f t="shared" si="62"/>
        <v>0</v>
      </c>
      <c r="F113" s="9">
        <f aca="true" t="shared" si="77" ref="F113:U113">IF((F$94-$E$94)&lt;($C113+1),0,(F78*$D113))</f>
        <v>0</v>
      </c>
      <c r="G113" s="9">
        <f t="shared" si="77"/>
        <v>0</v>
      </c>
      <c r="H113" s="9">
        <f t="shared" si="77"/>
        <v>0</v>
      </c>
      <c r="I113" s="9">
        <f t="shared" si="77"/>
        <v>0</v>
      </c>
      <c r="J113" s="9">
        <f t="shared" si="77"/>
        <v>0</v>
      </c>
      <c r="K113" s="9">
        <f t="shared" si="77"/>
        <v>0</v>
      </c>
      <c r="L113" s="9">
        <f t="shared" si="77"/>
        <v>0</v>
      </c>
      <c r="M113" s="9">
        <f t="shared" si="77"/>
        <v>0</v>
      </c>
      <c r="N113" s="9">
        <f t="shared" si="77"/>
        <v>0</v>
      </c>
      <c r="O113" s="9">
        <f t="shared" si="77"/>
        <v>0</v>
      </c>
      <c r="P113" s="9">
        <f t="shared" si="77"/>
        <v>0</v>
      </c>
      <c r="Q113" s="9">
        <f t="shared" si="77"/>
        <v>0</v>
      </c>
      <c r="R113" s="9">
        <f t="shared" si="77"/>
        <v>0</v>
      </c>
      <c r="S113" s="9">
        <f t="shared" si="77"/>
        <v>0</v>
      </c>
      <c r="T113" s="9">
        <f t="shared" si="77"/>
        <v>0</v>
      </c>
      <c r="U113" s="9">
        <f t="shared" si="77"/>
        <v>0</v>
      </c>
      <c r="V113" s="9">
        <f aca="true" t="shared" si="78" ref="V113:AC113">IF((V$94-$E$94)&lt;($C113+1),0,(V78*$D113))</f>
        <v>0</v>
      </c>
      <c r="W113" s="9">
        <f t="shared" si="78"/>
        <v>0</v>
      </c>
      <c r="X113" s="9">
        <f t="shared" si="78"/>
        <v>0</v>
      </c>
      <c r="Y113" s="9">
        <f t="shared" si="78"/>
        <v>0</v>
      </c>
      <c r="Z113" s="9">
        <f t="shared" si="78"/>
        <v>887.3098439112791</v>
      </c>
      <c r="AA113" s="9">
        <f t="shared" si="78"/>
        <v>894.1034339807625</v>
      </c>
      <c r="AB113" s="9">
        <f t="shared" si="78"/>
        <v>900.9490384241974</v>
      </c>
      <c r="AC113" s="9">
        <f t="shared" si="78"/>
        <v>907.8470554839082</v>
      </c>
      <c r="AD113" s="188">
        <f t="shared" si="68"/>
        <v>3590.2093718001474</v>
      </c>
      <c r="AE113"/>
    </row>
    <row r="114" spans="1:31" ht="12.75">
      <c r="A114" s="60" t="s">
        <v>22</v>
      </c>
      <c r="B114" s="38">
        <f t="shared" si="61"/>
        <v>0.11108830806400877</v>
      </c>
      <c r="C114" s="40">
        <f t="shared" si="61"/>
        <v>9</v>
      </c>
      <c r="D114" s="16">
        <f t="shared" si="65"/>
        <v>0.1111111111111111</v>
      </c>
      <c r="E114" s="9">
        <f t="shared" si="62"/>
        <v>0</v>
      </c>
      <c r="F114" s="9">
        <f aca="true" t="shared" si="79" ref="F114:U114">IF((F$94-$E$94)&lt;($C114+1),0,(F79*$D114))</f>
        <v>0</v>
      </c>
      <c r="G114" s="9">
        <f t="shared" si="79"/>
        <v>0</v>
      </c>
      <c r="H114" s="9">
        <f t="shared" si="79"/>
        <v>0</v>
      </c>
      <c r="I114" s="9">
        <f t="shared" si="79"/>
        <v>0</v>
      </c>
      <c r="J114" s="9">
        <f t="shared" si="79"/>
        <v>0</v>
      </c>
      <c r="K114" s="9">
        <f t="shared" si="79"/>
        <v>0</v>
      </c>
      <c r="L114" s="9">
        <f t="shared" si="79"/>
        <v>0</v>
      </c>
      <c r="M114" s="9">
        <f t="shared" si="79"/>
        <v>0</v>
      </c>
      <c r="N114" s="9">
        <f t="shared" si="79"/>
        <v>0</v>
      </c>
      <c r="O114" s="9">
        <f t="shared" si="79"/>
        <v>244.34650132026994</v>
      </c>
      <c r="P114" s="9">
        <f t="shared" si="79"/>
        <v>246.21731338921435</v>
      </c>
      <c r="Q114" s="9">
        <f t="shared" si="79"/>
        <v>248.10244912466672</v>
      </c>
      <c r="R114" s="9">
        <f t="shared" si="79"/>
        <v>250.00201819420175</v>
      </c>
      <c r="S114" s="9">
        <f t="shared" si="79"/>
        <v>251.9161311050518</v>
      </c>
      <c r="T114" s="9">
        <f t="shared" si="79"/>
        <v>253.84489921053566</v>
      </c>
      <c r="U114" s="9">
        <f t="shared" si="79"/>
        <v>255.78843471653656</v>
      </c>
      <c r="V114" s="9">
        <f aca="true" t="shared" si="80" ref="V114:AC114">IF((V$94-$E$94)&lt;($C114+1),0,(V79*$D114))</f>
        <v>257.74685068802967</v>
      </c>
      <c r="W114" s="9">
        <f t="shared" si="80"/>
        <v>259.7202610556598</v>
      </c>
      <c r="X114" s="9">
        <f t="shared" si="80"/>
        <v>261.7087806223691</v>
      </c>
      <c r="Y114" s="9">
        <f t="shared" si="80"/>
        <v>263.7125250700758</v>
      </c>
      <c r="Z114" s="9">
        <f t="shared" si="80"/>
        <v>265.731610966404</v>
      </c>
      <c r="AA114" s="9">
        <f t="shared" si="80"/>
        <v>267.766155771465</v>
      </c>
      <c r="AB114" s="9">
        <f t="shared" si="80"/>
        <v>269.81627784469043</v>
      </c>
      <c r="AC114" s="9">
        <f t="shared" si="80"/>
        <v>271.882096451718</v>
      </c>
      <c r="AD114" s="188">
        <f t="shared" si="68"/>
        <v>3868.3023055308886</v>
      </c>
      <c r="AE114"/>
    </row>
    <row r="115" spans="1:31" ht="12.75">
      <c r="A115" s="60" t="s">
        <v>25</v>
      </c>
      <c r="B115" s="38">
        <f t="shared" si="61"/>
        <v>0.1</v>
      </c>
      <c r="C115" s="40">
        <f t="shared" si="61"/>
        <v>18</v>
      </c>
      <c r="D115" s="16">
        <f t="shared" si="65"/>
        <v>0.05555555555555555</v>
      </c>
      <c r="E115" s="9">
        <f t="shared" si="62"/>
        <v>0</v>
      </c>
      <c r="F115" s="9">
        <f aca="true" t="shared" si="81" ref="F115:U115">IF((F$94-$E$94)&lt;($C115+1),0,(F80*$D115))</f>
        <v>0</v>
      </c>
      <c r="G115" s="9">
        <f t="shared" si="81"/>
        <v>0</v>
      </c>
      <c r="H115" s="9">
        <f t="shared" si="81"/>
        <v>0</v>
      </c>
      <c r="I115" s="9">
        <f t="shared" si="81"/>
        <v>0</v>
      </c>
      <c r="J115" s="9">
        <f t="shared" si="81"/>
        <v>0</v>
      </c>
      <c r="K115" s="9">
        <f t="shared" si="81"/>
        <v>0</v>
      </c>
      <c r="L115" s="9">
        <f t="shared" si="81"/>
        <v>0</v>
      </c>
      <c r="M115" s="9">
        <f t="shared" si="81"/>
        <v>0</v>
      </c>
      <c r="N115" s="9">
        <f t="shared" si="81"/>
        <v>0</v>
      </c>
      <c r="O115" s="9">
        <f t="shared" si="81"/>
        <v>0</v>
      </c>
      <c r="P115" s="9">
        <f t="shared" si="81"/>
        <v>0</v>
      </c>
      <c r="Q115" s="9">
        <f t="shared" si="81"/>
        <v>0</v>
      </c>
      <c r="R115" s="9">
        <f t="shared" si="81"/>
        <v>0</v>
      </c>
      <c r="S115" s="9">
        <f t="shared" si="81"/>
        <v>0</v>
      </c>
      <c r="T115" s="9">
        <f t="shared" si="81"/>
        <v>0</v>
      </c>
      <c r="U115" s="9">
        <f t="shared" si="81"/>
        <v>0</v>
      </c>
      <c r="V115" s="9">
        <f aca="true" t="shared" si="82" ref="V115:AC115">IF((V$94-$E$94)&lt;($C115+1),0,(V80*$D115))</f>
        <v>0</v>
      </c>
      <c r="W115" s="9">
        <f t="shared" si="82"/>
        <v>0</v>
      </c>
      <c r="X115" s="9">
        <f t="shared" si="82"/>
        <v>117.79312565980088</v>
      </c>
      <c r="Y115" s="9">
        <f t="shared" si="82"/>
        <v>118.69499574974417</v>
      </c>
      <c r="Z115" s="9">
        <f t="shared" si="82"/>
        <v>119.60377090867665</v>
      </c>
      <c r="AA115" s="9">
        <f t="shared" si="82"/>
        <v>120.51950400449833</v>
      </c>
      <c r="AB115" s="9">
        <f t="shared" si="82"/>
        <v>121.44224830988652</v>
      </c>
      <c r="AC115" s="9">
        <f t="shared" si="82"/>
        <v>122.37205750539485</v>
      </c>
      <c r="AD115" s="188">
        <f t="shared" si="68"/>
        <v>720.4257021380015</v>
      </c>
      <c r="AE115"/>
    </row>
    <row r="116" spans="1:31" ht="12.75">
      <c r="A116" s="189"/>
      <c r="B116" s="16"/>
      <c r="C116" s="16"/>
      <c r="D116" s="16"/>
      <c r="E116" s="8"/>
      <c r="F116" s="9"/>
      <c r="G116" s="9"/>
      <c r="H116" s="9"/>
      <c r="I116" s="9"/>
      <c r="J116" s="9"/>
      <c r="K116" s="9"/>
      <c r="L116" s="9"/>
      <c r="M116" s="9"/>
      <c r="N116" s="9"/>
      <c r="O116" s="9"/>
      <c r="P116" s="9"/>
      <c r="Q116" s="9"/>
      <c r="R116" s="9"/>
      <c r="S116" s="9"/>
      <c r="T116" s="9"/>
      <c r="U116" s="9"/>
      <c r="V116" s="9"/>
      <c r="W116" s="9"/>
      <c r="X116" s="9"/>
      <c r="Y116" s="9"/>
      <c r="Z116" s="9"/>
      <c r="AA116" s="9"/>
      <c r="AB116" s="9"/>
      <c r="AC116" s="9"/>
      <c r="AD116" s="187"/>
      <c r="AE116"/>
    </row>
    <row r="117" spans="1:31" ht="24.75" customHeight="1">
      <c r="A117" s="185" t="s">
        <v>11</v>
      </c>
      <c r="B117" s="16"/>
      <c r="C117" s="16"/>
      <c r="D117" s="16"/>
      <c r="E117" s="8"/>
      <c r="F117" s="9"/>
      <c r="G117" s="9"/>
      <c r="H117" s="9"/>
      <c r="I117" s="9"/>
      <c r="J117" s="9"/>
      <c r="K117" s="9"/>
      <c r="L117" s="9"/>
      <c r="M117" s="9"/>
      <c r="N117" s="9"/>
      <c r="O117" s="9"/>
      <c r="P117" s="9"/>
      <c r="Q117" s="9"/>
      <c r="R117" s="9"/>
      <c r="S117" s="9"/>
      <c r="T117" s="9"/>
      <c r="U117" s="9"/>
      <c r="V117" s="9"/>
      <c r="W117" s="9"/>
      <c r="X117" s="9"/>
      <c r="Y117" s="9"/>
      <c r="Z117" s="9"/>
      <c r="AA117" s="9"/>
      <c r="AB117" s="9"/>
      <c r="AC117" s="9"/>
      <c r="AD117" s="187"/>
      <c r="AE117"/>
    </row>
    <row r="118" spans="1:31" ht="12.75">
      <c r="A118" s="60" t="s">
        <v>14</v>
      </c>
      <c r="B118" s="38">
        <f aca="true" t="shared" si="83" ref="B118:C126">B83</f>
        <v>0.6380307253225443</v>
      </c>
      <c r="C118" s="40">
        <f t="shared" si="83"/>
        <v>12</v>
      </c>
      <c r="D118" s="16">
        <f>1/C118</f>
        <v>0.08333333333333333</v>
      </c>
      <c r="E118" s="9">
        <f aca="true" t="shared" si="84" ref="E118:E126">IF((E$94-$E$94)&lt;($C118+1),0,(E83*$D118*$B$17))</f>
        <v>0</v>
      </c>
      <c r="F118" s="9">
        <f aca="true" t="shared" si="85" ref="F118:U118">IF((F$94-$E$94)&lt;($C118+1),0,(F83*$D118))</f>
        <v>0</v>
      </c>
      <c r="G118" s="9">
        <f t="shared" si="85"/>
        <v>0</v>
      </c>
      <c r="H118" s="9">
        <f t="shared" si="85"/>
        <v>0</v>
      </c>
      <c r="I118" s="9">
        <f t="shared" si="85"/>
        <v>0</v>
      </c>
      <c r="J118" s="9">
        <f t="shared" si="85"/>
        <v>0</v>
      </c>
      <c r="K118" s="9">
        <f t="shared" si="85"/>
        <v>0</v>
      </c>
      <c r="L118" s="9">
        <f t="shared" si="85"/>
        <v>0</v>
      </c>
      <c r="M118" s="9">
        <f t="shared" si="85"/>
        <v>0</v>
      </c>
      <c r="N118" s="9">
        <f t="shared" si="85"/>
        <v>0</v>
      </c>
      <c r="O118" s="9">
        <f t="shared" si="85"/>
        <v>0</v>
      </c>
      <c r="P118" s="9">
        <f t="shared" si="85"/>
        <v>0</v>
      </c>
      <c r="Q118" s="9">
        <f t="shared" si="85"/>
        <v>0</v>
      </c>
      <c r="R118" s="9">
        <f t="shared" si="85"/>
        <v>537.8025041023961</v>
      </c>
      <c r="S118" s="9">
        <f t="shared" si="85"/>
        <v>548.4343484527426</v>
      </c>
      <c r="T118" s="9">
        <f t="shared" si="85"/>
        <v>559.276374260832</v>
      </c>
      <c r="U118" s="9">
        <f t="shared" si="85"/>
        <v>570.3327366143161</v>
      </c>
      <c r="V118" s="9">
        <f aca="true" t="shared" si="86" ref="V118:AC118">IF((V$94-$E$94)&lt;($C118+1),0,(V83*$D118))</f>
        <v>581.6076727429809</v>
      </c>
      <c r="W118" s="9">
        <f t="shared" si="86"/>
        <v>593.1055036426178</v>
      </c>
      <c r="X118" s="9">
        <f t="shared" si="86"/>
        <v>604.8306357309979</v>
      </c>
      <c r="Y118" s="9">
        <f t="shared" si="86"/>
        <v>616.7875625365837</v>
      </c>
      <c r="Z118" s="9">
        <f t="shared" si="86"/>
        <v>628.9808664206242</v>
      </c>
      <c r="AA118" s="9">
        <f t="shared" si="86"/>
        <v>641.4152203332957</v>
      </c>
      <c r="AB118" s="9">
        <f t="shared" si="86"/>
        <v>654.0953896045573</v>
      </c>
      <c r="AC118" s="9">
        <f t="shared" si="86"/>
        <v>667.0262337704128</v>
      </c>
      <c r="AD118" s="188">
        <f>SUM(E118:AC118)</f>
        <v>7203.6950482123575</v>
      </c>
      <c r="AE118"/>
    </row>
    <row r="119" spans="1:31" ht="12.75">
      <c r="A119" s="60" t="s">
        <v>15</v>
      </c>
      <c r="B119" s="38">
        <f t="shared" si="83"/>
        <v>1.1204469504317132</v>
      </c>
      <c r="C119" s="40">
        <f t="shared" si="83"/>
        <v>19</v>
      </c>
      <c r="D119" s="16">
        <f aca="true" t="shared" si="87" ref="D119:D126">1/C119</f>
        <v>0.05263157894736842</v>
      </c>
      <c r="E119" s="9">
        <f t="shared" si="84"/>
        <v>0</v>
      </c>
      <c r="F119" s="9">
        <f aca="true" t="shared" si="88" ref="F119:U119">IF((F$94-$E$94)&lt;($C119+1),0,(F84*$D119))</f>
        <v>0</v>
      </c>
      <c r="G119" s="9">
        <f t="shared" si="88"/>
        <v>0</v>
      </c>
      <c r="H119" s="9">
        <f t="shared" si="88"/>
        <v>0</v>
      </c>
      <c r="I119" s="9">
        <f t="shared" si="88"/>
        <v>0</v>
      </c>
      <c r="J119" s="9">
        <f t="shared" si="88"/>
        <v>0</v>
      </c>
      <c r="K119" s="9">
        <f t="shared" si="88"/>
        <v>0</v>
      </c>
      <c r="L119" s="9">
        <f t="shared" si="88"/>
        <v>0</v>
      </c>
      <c r="M119" s="9">
        <f t="shared" si="88"/>
        <v>0</v>
      </c>
      <c r="N119" s="9">
        <f t="shared" si="88"/>
        <v>0</v>
      </c>
      <c r="O119" s="9">
        <f t="shared" si="88"/>
        <v>0</v>
      </c>
      <c r="P119" s="9">
        <f t="shared" si="88"/>
        <v>0</v>
      </c>
      <c r="Q119" s="9">
        <f t="shared" si="88"/>
        <v>0</v>
      </c>
      <c r="R119" s="9">
        <f t="shared" si="88"/>
        <v>0</v>
      </c>
      <c r="S119" s="9">
        <f t="shared" si="88"/>
        <v>0</v>
      </c>
      <c r="T119" s="9">
        <f t="shared" si="88"/>
        <v>0</v>
      </c>
      <c r="U119" s="9">
        <f t="shared" si="88"/>
        <v>0</v>
      </c>
      <c r="V119" s="9">
        <f aca="true" t="shared" si="89" ref="V119:AC119">IF((V$94-$E$94)&lt;($C119+1),0,(V84*$D119))</f>
        <v>0</v>
      </c>
      <c r="W119" s="9">
        <f t="shared" si="89"/>
        <v>0</v>
      </c>
      <c r="X119" s="9">
        <f t="shared" si="89"/>
        <v>0</v>
      </c>
      <c r="Y119" s="9">
        <f t="shared" si="89"/>
        <v>684.0895531701583</v>
      </c>
      <c r="Z119" s="9">
        <f t="shared" si="89"/>
        <v>697.6133534416765</v>
      </c>
      <c r="AA119" s="9">
        <f t="shared" si="89"/>
        <v>711.4045063908324</v>
      </c>
      <c r="AB119" s="9">
        <f t="shared" si="89"/>
        <v>725.4682973259567</v>
      </c>
      <c r="AC119" s="9">
        <f t="shared" si="89"/>
        <v>739.8101160409024</v>
      </c>
      <c r="AD119" s="188">
        <f aca="true" t="shared" si="90" ref="AD119:AD126">SUM(E119:AC119)</f>
        <v>3558.3858263695265</v>
      </c>
      <c r="AE119"/>
    </row>
    <row r="120" spans="1:31" ht="12.75">
      <c r="A120" s="60" t="s">
        <v>16</v>
      </c>
      <c r="B120" s="38">
        <f t="shared" si="83"/>
        <v>0.5673737735173195</v>
      </c>
      <c r="C120" s="40">
        <f t="shared" si="83"/>
        <v>22</v>
      </c>
      <c r="D120" s="16">
        <f t="shared" si="87"/>
        <v>0.045454545454545456</v>
      </c>
      <c r="E120" s="9">
        <f t="shared" si="84"/>
        <v>0</v>
      </c>
      <c r="F120" s="9">
        <f aca="true" t="shared" si="91" ref="F120:U120">IF((F$94-$E$94)&lt;($C120+1),0,(F85*$D120))</f>
        <v>0</v>
      </c>
      <c r="G120" s="9">
        <f t="shared" si="91"/>
        <v>0</v>
      </c>
      <c r="H120" s="9">
        <f t="shared" si="91"/>
        <v>0</v>
      </c>
      <c r="I120" s="9">
        <f t="shared" si="91"/>
        <v>0</v>
      </c>
      <c r="J120" s="9">
        <f t="shared" si="91"/>
        <v>0</v>
      </c>
      <c r="K120" s="9">
        <f t="shared" si="91"/>
        <v>0</v>
      </c>
      <c r="L120" s="9">
        <f t="shared" si="91"/>
        <v>0</v>
      </c>
      <c r="M120" s="9">
        <f t="shared" si="91"/>
        <v>0</v>
      </c>
      <c r="N120" s="9">
        <f t="shared" si="91"/>
        <v>0</v>
      </c>
      <c r="O120" s="9">
        <f t="shared" si="91"/>
        <v>0</v>
      </c>
      <c r="P120" s="9">
        <f t="shared" si="91"/>
        <v>0</v>
      </c>
      <c r="Q120" s="9">
        <f t="shared" si="91"/>
        <v>0</v>
      </c>
      <c r="R120" s="9">
        <f t="shared" si="91"/>
        <v>0</v>
      </c>
      <c r="S120" s="9">
        <f t="shared" si="91"/>
        <v>0</v>
      </c>
      <c r="T120" s="9">
        <f t="shared" si="91"/>
        <v>0</v>
      </c>
      <c r="U120" s="9">
        <f t="shared" si="91"/>
        <v>0</v>
      </c>
      <c r="V120" s="9">
        <f aca="true" t="shared" si="92" ref="V120:AC120">IF((V$94-$E$94)&lt;($C120+1),0,(V85*$D120))</f>
        <v>0</v>
      </c>
      <c r="W120" s="9">
        <f t="shared" si="92"/>
        <v>0</v>
      </c>
      <c r="X120" s="9">
        <f t="shared" si="92"/>
        <v>0</v>
      </c>
      <c r="Y120" s="9">
        <f t="shared" si="92"/>
        <v>0</v>
      </c>
      <c r="Z120" s="9">
        <f t="shared" si="92"/>
        <v>0</v>
      </c>
      <c r="AA120" s="9">
        <f t="shared" si="92"/>
        <v>0</v>
      </c>
      <c r="AB120" s="9">
        <f t="shared" si="92"/>
        <v>317.2687641215581</v>
      </c>
      <c r="AC120" s="9">
        <f t="shared" si="92"/>
        <v>323.54086603933746</v>
      </c>
      <c r="AD120" s="188">
        <f t="shared" si="90"/>
        <v>640.8096301608955</v>
      </c>
      <c r="AE120"/>
    </row>
    <row r="121" spans="1:31" ht="12.75">
      <c r="A121" s="60" t="s">
        <v>17</v>
      </c>
      <c r="B121" s="38">
        <f t="shared" si="83"/>
        <v>0.8468925125391364</v>
      </c>
      <c r="C121" s="40">
        <f t="shared" si="83"/>
        <v>14</v>
      </c>
      <c r="D121" s="16">
        <f t="shared" si="87"/>
        <v>0.07142857142857142</v>
      </c>
      <c r="E121" s="9">
        <f t="shared" si="84"/>
        <v>0</v>
      </c>
      <c r="F121" s="9">
        <f aca="true" t="shared" si="93" ref="F121:U121">IF((F$94-$E$94)&lt;($C121+1),0,(F86*$D121))</f>
        <v>0</v>
      </c>
      <c r="G121" s="9">
        <f t="shared" si="93"/>
        <v>0</v>
      </c>
      <c r="H121" s="9">
        <f t="shared" si="93"/>
        <v>0</v>
      </c>
      <c r="I121" s="9">
        <f t="shared" si="93"/>
        <v>0</v>
      </c>
      <c r="J121" s="9">
        <f t="shared" si="93"/>
        <v>0</v>
      </c>
      <c r="K121" s="9">
        <f t="shared" si="93"/>
        <v>0</v>
      </c>
      <c r="L121" s="9">
        <f t="shared" si="93"/>
        <v>0</v>
      </c>
      <c r="M121" s="9">
        <f t="shared" si="93"/>
        <v>0</v>
      </c>
      <c r="N121" s="9">
        <f t="shared" si="93"/>
        <v>0</v>
      </c>
      <c r="O121" s="9">
        <f t="shared" si="93"/>
        <v>0</v>
      </c>
      <c r="P121" s="9">
        <f t="shared" si="93"/>
        <v>0</v>
      </c>
      <c r="Q121" s="9">
        <f t="shared" si="93"/>
        <v>0</v>
      </c>
      <c r="R121" s="9">
        <f t="shared" si="93"/>
        <v>0</v>
      </c>
      <c r="S121" s="9">
        <f t="shared" si="93"/>
        <v>0</v>
      </c>
      <c r="T121" s="9">
        <f t="shared" si="93"/>
        <v>636.3065355450995</v>
      </c>
      <c r="U121" s="9">
        <f t="shared" si="93"/>
        <v>648.8857109736609</v>
      </c>
      <c r="V121" s="9">
        <f aca="true" t="shared" si="94" ref="V121:AC121">IF((V$94-$E$94)&lt;($C121+1),0,(V86*$D121))</f>
        <v>661.7135647445357</v>
      </c>
      <c r="W121" s="9">
        <f t="shared" si="94"/>
        <v>674.7950129921945</v>
      </c>
      <c r="X121" s="9">
        <f t="shared" si="94"/>
        <v>688.1350690384138</v>
      </c>
      <c r="Y121" s="9">
        <f t="shared" si="94"/>
        <v>701.7388453135766</v>
      </c>
      <c r="Z121" s="9">
        <f t="shared" si="94"/>
        <v>715.6115553159556</v>
      </c>
      <c r="AA121" s="9">
        <f t="shared" si="94"/>
        <v>729.7585156097292</v>
      </c>
      <c r="AB121" s="9">
        <f t="shared" si="94"/>
        <v>744.1851478624963</v>
      </c>
      <c r="AC121" s="9">
        <f t="shared" si="94"/>
        <v>758.8969809230712</v>
      </c>
      <c r="AD121" s="188">
        <f t="shared" si="90"/>
        <v>6960.026938318733</v>
      </c>
      <c r="AE121"/>
    </row>
    <row r="122" spans="1:31" ht="12.75">
      <c r="A122" s="60" t="s">
        <v>18</v>
      </c>
      <c r="B122" s="38">
        <f t="shared" si="83"/>
        <v>0.8208495645747469</v>
      </c>
      <c r="C122" s="40">
        <f t="shared" si="83"/>
        <v>14</v>
      </c>
      <c r="D122" s="16">
        <f t="shared" si="87"/>
        <v>0.07142857142857142</v>
      </c>
      <c r="E122" s="9">
        <f t="shared" si="84"/>
        <v>0</v>
      </c>
      <c r="F122" s="9">
        <f aca="true" t="shared" si="95" ref="F122:U122">IF((F$94-$E$94)&lt;($C122+1),0,(F87*$D122))</f>
        <v>0</v>
      </c>
      <c r="G122" s="9">
        <f t="shared" si="95"/>
        <v>0</v>
      </c>
      <c r="H122" s="9">
        <f t="shared" si="95"/>
        <v>0</v>
      </c>
      <c r="I122" s="9">
        <f t="shared" si="95"/>
        <v>0</v>
      </c>
      <c r="J122" s="9">
        <f t="shared" si="95"/>
        <v>0</v>
      </c>
      <c r="K122" s="9">
        <f t="shared" si="95"/>
        <v>0</v>
      </c>
      <c r="L122" s="9">
        <f t="shared" si="95"/>
        <v>0</v>
      </c>
      <c r="M122" s="9">
        <f t="shared" si="95"/>
        <v>0</v>
      </c>
      <c r="N122" s="9">
        <f t="shared" si="95"/>
        <v>0</v>
      </c>
      <c r="O122" s="9">
        <f t="shared" si="95"/>
        <v>0</v>
      </c>
      <c r="P122" s="9">
        <f t="shared" si="95"/>
        <v>0</v>
      </c>
      <c r="Q122" s="9">
        <f t="shared" si="95"/>
        <v>0</v>
      </c>
      <c r="R122" s="9">
        <f t="shared" si="95"/>
        <v>0</v>
      </c>
      <c r="S122" s="9">
        <f t="shared" si="95"/>
        <v>0</v>
      </c>
      <c r="T122" s="9">
        <f t="shared" si="95"/>
        <v>616.7393558271937</v>
      </c>
      <c r="U122" s="9">
        <f t="shared" si="95"/>
        <v>628.9317067104079</v>
      </c>
      <c r="V122" s="9">
        <f aca="true" t="shared" si="96" ref="V122:AC122">IF((V$94-$E$94)&lt;($C122+1),0,(V87*$D122))</f>
        <v>641.3650887823324</v>
      </c>
      <c r="W122" s="9">
        <f t="shared" si="96"/>
        <v>654.0442670004791</v>
      </c>
      <c r="X122" s="9">
        <f t="shared" si="96"/>
        <v>666.9741005210414</v>
      </c>
      <c r="Y122" s="9">
        <f t="shared" si="96"/>
        <v>680.1595445611122</v>
      </c>
      <c r="Z122" s="9">
        <f t="shared" si="96"/>
        <v>693.6056522977162</v>
      </c>
      <c r="AA122" s="9">
        <f t="shared" si="96"/>
        <v>707.3175768043858</v>
      </c>
      <c r="AB122" s="9">
        <f t="shared" si="96"/>
        <v>721.3005730260186</v>
      </c>
      <c r="AC122" s="9">
        <f t="shared" si="96"/>
        <v>735.5599997927786</v>
      </c>
      <c r="AD122" s="188">
        <f t="shared" si="90"/>
        <v>6745.997865323465</v>
      </c>
      <c r="AE122"/>
    </row>
    <row r="123" spans="1:31" ht="12.75">
      <c r="A123" s="60" t="s">
        <v>19</v>
      </c>
      <c r="B123" s="38">
        <f t="shared" si="83"/>
        <v>0.6715984668883408</v>
      </c>
      <c r="C123" s="40">
        <f t="shared" si="83"/>
        <v>9</v>
      </c>
      <c r="D123" s="16">
        <f t="shared" si="87"/>
        <v>0.1111111111111111</v>
      </c>
      <c r="E123" s="9">
        <f t="shared" si="84"/>
        <v>0</v>
      </c>
      <c r="F123" s="9">
        <f aca="true" t="shared" si="97" ref="F123:U123">IF((F$94-$E$94)&lt;($C123+1),0,(F88*$D123))</f>
        <v>0</v>
      </c>
      <c r="G123" s="9">
        <f t="shared" si="97"/>
        <v>0</v>
      </c>
      <c r="H123" s="9">
        <f t="shared" si="97"/>
        <v>0</v>
      </c>
      <c r="I123" s="9">
        <f t="shared" si="97"/>
        <v>0</v>
      </c>
      <c r="J123" s="9">
        <f t="shared" si="97"/>
        <v>0</v>
      </c>
      <c r="K123" s="9">
        <f t="shared" si="97"/>
        <v>0</v>
      </c>
      <c r="L123" s="9">
        <f t="shared" si="97"/>
        <v>0</v>
      </c>
      <c r="M123" s="9">
        <f t="shared" si="97"/>
        <v>0</v>
      </c>
      <c r="N123" s="9">
        <f t="shared" si="97"/>
        <v>0</v>
      </c>
      <c r="O123" s="9">
        <f t="shared" si="97"/>
        <v>711.7445969854242</v>
      </c>
      <c r="P123" s="9">
        <f t="shared" si="97"/>
        <v>725.8151111883635</v>
      </c>
      <c r="Q123" s="9">
        <f t="shared" si="97"/>
        <v>740.163786083739</v>
      </c>
      <c r="R123" s="9">
        <f t="shared" si="97"/>
        <v>754.7961206440614</v>
      </c>
      <c r="S123" s="9">
        <f t="shared" si="97"/>
        <v>769.7177225513017</v>
      </c>
      <c r="T123" s="9">
        <f t="shared" si="97"/>
        <v>784.9343103459738</v>
      </c>
      <c r="U123" s="9">
        <f t="shared" si="97"/>
        <v>800.451715618702</v>
      </c>
      <c r="V123" s="9">
        <f aca="true" t="shared" si="98" ref="V123:AC123">IF((V$94-$E$94)&lt;($C123+1),0,(V88*$D123))</f>
        <v>816.2758852451145</v>
      </c>
      <c r="W123" s="9">
        <f t="shared" si="98"/>
        <v>832.4128836649191</v>
      </c>
      <c r="X123" s="9">
        <f t="shared" si="98"/>
        <v>848.8688952060321</v>
      </c>
      <c r="Y123" s="9">
        <f t="shared" si="98"/>
        <v>865.6502264546549</v>
      </c>
      <c r="Z123" s="9">
        <f t="shared" si="98"/>
        <v>882.7633086722038</v>
      </c>
      <c r="AA123" s="9">
        <f t="shared" si="98"/>
        <v>900.2147002600213</v>
      </c>
      <c r="AB123" s="9">
        <f t="shared" si="98"/>
        <v>918.0110892728106</v>
      </c>
      <c r="AC123" s="9">
        <f t="shared" si="98"/>
        <v>936.1592959817591</v>
      </c>
      <c r="AD123" s="188">
        <f t="shared" si="90"/>
        <v>12287.97964817508</v>
      </c>
      <c r="AE123"/>
    </row>
    <row r="124" spans="1:31" ht="12.75">
      <c r="A124" s="60" t="s">
        <v>20</v>
      </c>
      <c r="B124" s="38">
        <f t="shared" si="83"/>
        <v>0.8243049688800121</v>
      </c>
      <c r="C124" s="40">
        <f t="shared" si="83"/>
        <v>20</v>
      </c>
      <c r="D124" s="16">
        <f t="shared" si="87"/>
        <v>0.05</v>
      </c>
      <c r="E124" s="9">
        <f t="shared" si="84"/>
        <v>0</v>
      </c>
      <c r="F124" s="9">
        <f aca="true" t="shared" si="99" ref="F124:U124">IF((F$94-$E$94)&lt;($C124+1),0,(F89*$D124))</f>
        <v>0</v>
      </c>
      <c r="G124" s="9">
        <f t="shared" si="99"/>
        <v>0</v>
      </c>
      <c r="H124" s="9">
        <f t="shared" si="99"/>
        <v>0</v>
      </c>
      <c r="I124" s="9">
        <f t="shared" si="99"/>
        <v>0</v>
      </c>
      <c r="J124" s="9">
        <f t="shared" si="99"/>
        <v>0</v>
      </c>
      <c r="K124" s="9">
        <f t="shared" si="99"/>
        <v>0</v>
      </c>
      <c r="L124" s="9">
        <f t="shared" si="99"/>
        <v>0</v>
      </c>
      <c r="M124" s="9">
        <f t="shared" si="99"/>
        <v>0</v>
      </c>
      <c r="N124" s="9">
        <f t="shared" si="99"/>
        <v>0</v>
      </c>
      <c r="O124" s="9">
        <f t="shared" si="99"/>
        <v>0</v>
      </c>
      <c r="P124" s="9">
        <f t="shared" si="99"/>
        <v>0</v>
      </c>
      <c r="Q124" s="9">
        <f t="shared" si="99"/>
        <v>0</v>
      </c>
      <c r="R124" s="9">
        <f t="shared" si="99"/>
        <v>0</v>
      </c>
      <c r="S124" s="9">
        <f t="shared" si="99"/>
        <v>0</v>
      </c>
      <c r="T124" s="9">
        <f t="shared" si="99"/>
        <v>0</v>
      </c>
      <c r="U124" s="9">
        <f t="shared" si="99"/>
        <v>0</v>
      </c>
      <c r="V124" s="9">
        <f aca="true" t="shared" si="100" ref="V124:AC124">IF((V$94-$E$94)&lt;($C124+1),0,(V89*$D124))</f>
        <v>0</v>
      </c>
      <c r="W124" s="9">
        <f t="shared" si="100"/>
        <v>0</v>
      </c>
      <c r="X124" s="9">
        <f t="shared" si="100"/>
        <v>0</v>
      </c>
      <c r="Y124" s="9">
        <f t="shared" si="100"/>
        <v>0</v>
      </c>
      <c r="Z124" s="9">
        <f t="shared" si="100"/>
        <v>487.56779221772314</v>
      </c>
      <c r="AA124" s="9">
        <f t="shared" si="100"/>
        <v>497.20654405981935</v>
      </c>
      <c r="AB124" s="9">
        <f t="shared" si="100"/>
        <v>507.0358448646575</v>
      </c>
      <c r="AC124" s="9">
        <f t="shared" si="100"/>
        <v>517.0594616041234</v>
      </c>
      <c r="AD124" s="188">
        <f t="shared" si="90"/>
        <v>2008.8696427463233</v>
      </c>
      <c r="AE124"/>
    </row>
    <row r="125" spans="1:31" ht="12.75">
      <c r="A125" s="60" t="s">
        <v>22</v>
      </c>
      <c r="B125" s="38">
        <f t="shared" si="83"/>
        <v>0.11108830806400877</v>
      </c>
      <c r="C125" s="40">
        <f t="shared" si="83"/>
        <v>9</v>
      </c>
      <c r="D125" s="16">
        <f t="shared" si="87"/>
        <v>0.1111111111111111</v>
      </c>
      <c r="E125" s="9">
        <f t="shared" si="84"/>
        <v>0</v>
      </c>
      <c r="F125" s="9">
        <f aca="true" t="shared" si="101" ref="F125:U125">IF((F$94-$E$94)&lt;($C125+1),0,(F90*$D125))</f>
        <v>0</v>
      </c>
      <c r="G125" s="9">
        <f t="shared" si="101"/>
        <v>0</v>
      </c>
      <c r="H125" s="9">
        <f t="shared" si="101"/>
        <v>0</v>
      </c>
      <c r="I125" s="9">
        <f t="shared" si="101"/>
        <v>0</v>
      </c>
      <c r="J125" s="9">
        <f t="shared" si="101"/>
        <v>0</v>
      </c>
      <c r="K125" s="9">
        <f t="shared" si="101"/>
        <v>0</v>
      </c>
      <c r="L125" s="9">
        <f t="shared" si="101"/>
        <v>0</v>
      </c>
      <c r="M125" s="9">
        <f t="shared" si="101"/>
        <v>0</v>
      </c>
      <c r="N125" s="9">
        <f t="shared" si="101"/>
        <v>0</v>
      </c>
      <c r="O125" s="9">
        <f t="shared" si="101"/>
        <v>117.7288319598801</v>
      </c>
      <c r="P125" s="9">
        <f t="shared" si="101"/>
        <v>120.05621907205914</v>
      </c>
      <c r="Q125" s="9">
        <f t="shared" si="101"/>
        <v>122.42961641537497</v>
      </c>
      <c r="R125" s="9">
        <f t="shared" si="101"/>
        <v>124.84993356836662</v>
      </c>
      <c r="S125" s="9">
        <f t="shared" si="101"/>
        <v>127.31809809107631</v>
      </c>
      <c r="T125" s="9">
        <f t="shared" si="101"/>
        <v>129.8350558805267</v>
      </c>
      <c r="U125" s="9">
        <f t="shared" si="101"/>
        <v>132.40177153322566</v>
      </c>
      <c r="V125" s="9">
        <f aca="true" t="shared" si="102" ref="V125:AC125">IF((V$94-$E$94)&lt;($C125+1),0,(V90*$D125))</f>
        <v>135.019228714837</v>
      </c>
      <c r="W125" s="9">
        <f t="shared" si="102"/>
        <v>137.68843053715995</v>
      </c>
      <c r="X125" s="9">
        <f t="shared" si="102"/>
        <v>140.41039994256062</v>
      </c>
      <c r="Y125" s="9">
        <f t="shared" si="102"/>
        <v>143.18618009600326</v>
      </c>
      <c r="Z125" s="9">
        <f t="shared" si="102"/>
        <v>146.01683478483218</v>
      </c>
      <c r="AA125" s="9">
        <f t="shared" si="102"/>
        <v>148.9034488264563</v>
      </c>
      <c r="AB125" s="9">
        <f t="shared" si="102"/>
        <v>151.8471284840937</v>
      </c>
      <c r="AC125" s="9">
        <f t="shared" si="102"/>
        <v>154.84900189073474</v>
      </c>
      <c r="AD125" s="188">
        <f t="shared" si="90"/>
        <v>2032.5401797971872</v>
      </c>
      <c r="AE125"/>
    </row>
    <row r="126" spans="1:31" ht="13.5" thickBot="1">
      <c r="A126" s="62" t="s">
        <v>25</v>
      </c>
      <c r="B126" s="81">
        <f t="shared" si="83"/>
        <v>0.24952183731339672</v>
      </c>
      <c r="C126" s="190">
        <f t="shared" si="83"/>
        <v>18</v>
      </c>
      <c r="D126" s="75">
        <f t="shared" si="87"/>
        <v>0.05555555555555555</v>
      </c>
      <c r="E126" s="76">
        <f t="shared" si="84"/>
        <v>0</v>
      </c>
      <c r="F126" s="76">
        <f aca="true" t="shared" si="103" ref="F126:AC126">IF((F$94-$E$94)&lt;($C126+1),0,(F91*$D126))</f>
        <v>0</v>
      </c>
      <c r="G126" s="76">
        <f t="shared" si="103"/>
        <v>0</v>
      </c>
      <c r="H126" s="76">
        <f t="shared" si="103"/>
        <v>0</v>
      </c>
      <c r="I126" s="76">
        <f t="shared" si="103"/>
        <v>0</v>
      </c>
      <c r="J126" s="76">
        <f t="shared" si="103"/>
        <v>0</v>
      </c>
      <c r="K126" s="76">
        <f t="shared" si="103"/>
        <v>0</v>
      </c>
      <c r="L126" s="76">
        <f t="shared" si="103"/>
        <v>0</v>
      </c>
      <c r="M126" s="76">
        <f t="shared" si="103"/>
        <v>0</v>
      </c>
      <c r="N126" s="76">
        <f t="shared" si="103"/>
        <v>0</v>
      </c>
      <c r="O126" s="76">
        <f t="shared" si="103"/>
        <v>0</v>
      </c>
      <c r="P126" s="76">
        <f t="shared" si="103"/>
        <v>0</v>
      </c>
      <c r="Q126" s="76">
        <f t="shared" si="103"/>
        <v>0</v>
      </c>
      <c r="R126" s="76">
        <f t="shared" si="103"/>
        <v>0</v>
      </c>
      <c r="S126" s="76">
        <f t="shared" si="103"/>
        <v>0</v>
      </c>
      <c r="T126" s="76">
        <f t="shared" si="103"/>
        <v>0</v>
      </c>
      <c r="U126" s="76">
        <f t="shared" si="103"/>
        <v>0</v>
      </c>
      <c r="V126" s="76">
        <f t="shared" si="103"/>
        <v>0</v>
      </c>
      <c r="W126" s="76">
        <f t="shared" si="103"/>
        <v>0</v>
      </c>
      <c r="X126" s="76">
        <f t="shared" si="103"/>
        <v>157.6919370821151</v>
      </c>
      <c r="Y126" s="76">
        <f t="shared" si="103"/>
        <v>160.8093567995258</v>
      </c>
      <c r="Z126" s="76">
        <f t="shared" si="103"/>
        <v>163.98840494179024</v>
      </c>
      <c r="AA126" s="76">
        <f t="shared" si="103"/>
        <v>167.2302998442929</v>
      </c>
      <c r="AB126" s="76">
        <f t="shared" si="103"/>
        <v>170.5362839277507</v>
      </c>
      <c r="AC126" s="76">
        <f t="shared" si="103"/>
        <v>173.90762417435752</v>
      </c>
      <c r="AD126" s="191">
        <f t="shared" si="90"/>
        <v>994.1639067698322</v>
      </c>
      <c r="AE126"/>
    </row>
    <row r="127" ht="12.75">
      <c r="AE127"/>
    </row>
  </sheetData>
  <mergeCells count="1">
    <mergeCell ref="F22:AC22"/>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NW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Eckman</dc:creator>
  <cp:keywords/>
  <dc:description/>
  <cp:lastModifiedBy>Tom Eckman</cp:lastModifiedBy>
  <dcterms:created xsi:type="dcterms:W3CDTF">2001-05-01T15:01:00Z</dcterms:created>
  <dcterms:modified xsi:type="dcterms:W3CDTF">2003-01-17T04:59:28Z</dcterms:modified>
  <cp:category/>
  <cp:version/>
  <cp:contentType/>
  <cp:contentStatus/>
</cp:coreProperties>
</file>