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9690" windowHeight="7245" tabRatio="601" activeTab="0"/>
  </bookViews>
  <sheets>
    <sheet name="Summary for 5th Plan" sheetId="1" r:id="rId1"/>
    <sheet name="PNW Households &amp;  Housing Units" sheetId="2" r:id="rId2"/>
    <sheet name="Housing Completion Summary" sheetId="3" r:id="rId3"/>
    <sheet name="Housing Start Summary" sheetId="4" r:id="rId4"/>
    <sheet name="Starts by Utility Type" sheetId="5" r:id="rId5"/>
    <sheet name="PNWStarts" sheetId="6" r:id="rId6"/>
    <sheet name="IDStarts" sheetId="7" r:id="rId7"/>
    <sheet name="MTStarts" sheetId="8" r:id="rId8"/>
    <sheet name="ORStarts" sheetId="9" r:id="rId9"/>
    <sheet name="WAStarts" sheetId="10" r:id="rId10"/>
    <sheet name="ID" sheetId="11" r:id="rId11"/>
    <sheet name="MT" sheetId="12" r:id="rId12"/>
    <sheet name="OR" sheetId="13" r:id="rId13"/>
    <sheet name="WA" sheetId="14" r:id="rId14"/>
    <sheet name="MHSHIPMNTS &amp; SF &amp; MF Starts" sheetId="15" r:id="rId15"/>
    <sheet name="MH Retail Price &amp; Shipments" sheetId="16" r:id="rId16"/>
    <sheet name=" Production &amp; Shipments" sheetId="17" r:id="rId17"/>
    <sheet name="SF Mortgage Rates &amp; Home Prices" sheetId="18" r:id="rId18"/>
    <sheet name="Per Capita Income" sheetId="19" r:id="rId19"/>
    <sheet name="PNW and State Population" sheetId="20" r:id="rId20"/>
    <sheet name="Idaho County Population" sheetId="21" r:id="rId21"/>
    <sheet name="Montana County Population" sheetId="22" r:id="rId22"/>
    <sheet name="Oregon County Populaiton" sheetId="23" r:id="rId23"/>
    <sheet name="Washington County Population" sheetId="24" r:id="rId24"/>
    <sheet name="PNW Housing Units" sheetId="25" r:id="rId25"/>
    <sheet name="ID Housing Units by County" sheetId="26" r:id="rId26"/>
    <sheet name="MT Housing Units by County" sheetId="27" r:id="rId27"/>
    <sheet name="OR Housing Units by County" sheetId="28" r:id="rId28"/>
    <sheet name="WA Housing Units by County" sheetId="29" r:id="rId29"/>
    <sheet name="Historical Heating Fuel" sheetId="30" r:id="rId30"/>
    <sheet name="State Level Census Data" sheetId="31" r:id="rId31"/>
    <sheet name="Units by State &amp;Type 1940 to 00" sheetId="32" r:id="rId32"/>
    <sheet name="Existing Pre-80 Housing Units" sheetId="33" r:id="rId33"/>
    <sheet name="Population Forecast" sheetId="34" r:id="rId34"/>
  </sheets>
  <externalReferences>
    <externalReference r:id="rId37"/>
  </externalReferences>
  <definedNames>
    <definedName name="_Regression_Int" localSheetId="17" hidden="1">1</definedName>
    <definedName name="_xlnm.Print_Area" localSheetId="6">'IDStarts'!$A$1:$E$21</definedName>
    <definedName name="_xlnm.Print_Area" localSheetId="7">'MTStarts'!$A$1:$E$21</definedName>
    <definedName name="_xlnm.Print_Area" localSheetId="8">'ORStarts'!$A$1:$D$21</definedName>
    <definedName name="_xlnm.Print_Area" localSheetId="5">'PNWStarts'!$A$1:$E$21</definedName>
    <definedName name="_xlnm.Print_Area" localSheetId="9">'WAStarts'!$A$1:$E$21</definedName>
    <definedName name="solver_adj" localSheetId="32" hidden="1">'Existing Pre-80 Housing Units'!$B$68</definedName>
    <definedName name="solver_adj" localSheetId="3" hidden="1">'Housing Start Summary'!$O$7</definedName>
    <definedName name="solver_adj" localSheetId="1" hidden="1">'PNW Households &amp;  Housing Units'!$R$55</definedName>
    <definedName name="solver_adj" localSheetId="0" hidden="1">'Summary for 5th Plan'!$D$10</definedName>
    <definedName name="solver_cvg" localSheetId="32" hidden="1">0.0001</definedName>
    <definedName name="solver_cvg" localSheetId="3" hidden="1">0.0001</definedName>
    <definedName name="solver_cvg" localSheetId="1" hidden="1">0.0001</definedName>
    <definedName name="solver_cvg" localSheetId="0" hidden="1">0.0001</definedName>
    <definedName name="solver_drv" localSheetId="32" hidden="1">1</definedName>
    <definedName name="solver_drv" localSheetId="3" hidden="1">1</definedName>
    <definedName name="solver_drv" localSheetId="1" hidden="1">1</definedName>
    <definedName name="solver_drv" localSheetId="0" hidden="1">1</definedName>
    <definedName name="solver_est" localSheetId="32" hidden="1">1</definedName>
    <definedName name="solver_est" localSheetId="3" hidden="1">1</definedName>
    <definedName name="solver_est" localSheetId="1" hidden="1">1</definedName>
    <definedName name="solver_est" localSheetId="0" hidden="1">1</definedName>
    <definedName name="solver_itr" localSheetId="32" hidden="1">100</definedName>
    <definedName name="solver_itr" localSheetId="3" hidden="1">100</definedName>
    <definedName name="solver_itr" localSheetId="1" hidden="1">100</definedName>
    <definedName name="solver_itr" localSheetId="0" hidden="1">100</definedName>
    <definedName name="solver_lin" localSheetId="32" hidden="1">2</definedName>
    <definedName name="solver_lin" localSheetId="3" hidden="1">2</definedName>
    <definedName name="solver_lin" localSheetId="1" hidden="1">2</definedName>
    <definedName name="solver_lin" localSheetId="0" hidden="1">2</definedName>
    <definedName name="solver_neg" localSheetId="32" hidden="1">2</definedName>
    <definedName name="solver_neg" localSheetId="3" hidden="1">2</definedName>
    <definedName name="solver_neg" localSheetId="1" hidden="1">2</definedName>
    <definedName name="solver_neg" localSheetId="0" hidden="1">2</definedName>
    <definedName name="solver_num" localSheetId="32" hidden="1">0</definedName>
    <definedName name="solver_num" localSheetId="3" hidden="1">0</definedName>
    <definedName name="solver_num" localSheetId="1" hidden="1">0</definedName>
    <definedName name="solver_num" localSheetId="0" hidden="1">0</definedName>
    <definedName name="solver_nwt" localSheetId="32" hidden="1">1</definedName>
    <definedName name="solver_nwt" localSheetId="3" hidden="1">1</definedName>
    <definedName name="solver_nwt" localSheetId="1" hidden="1">1</definedName>
    <definedName name="solver_nwt" localSheetId="0" hidden="1">1</definedName>
    <definedName name="solver_opt" localSheetId="32" hidden="1">'Existing Pre-80 Housing Units'!$D$63</definedName>
    <definedName name="solver_opt" localSheetId="3" hidden="1">'Housing Start Summary'!$O$55</definedName>
    <definedName name="solver_opt" localSheetId="1" hidden="1">'PNW Households &amp;  Housing Units'!$R$48</definedName>
    <definedName name="solver_opt" localSheetId="0" hidden="1">'Summary for 5th Plan'!$H$5</definedName>
    <definedName name="solver_pre" localSheetId="32" hidden="1">0.000001</definedName>
    <definedName name="solver_pre" localSheetId="3" hidden="1">0.000001</definedName>
    <definedName name="solver_pre" localSheetId="1" hidden="1">0.000001</definedName>
    <definedName name="solver_pre" localSheetId="0" hidden="1">0.000001</definedName>
    <definedName name="solver_scl" localSheetId="32" hidden="1">2</definedName>
    <definedName name="solver_scl" localSheetId="3" hidden="1">2</definedName>
    <definedName name="solver_scl" localSheetId="1" hidden="1">2</definedName>
    <definedName name="solver_scl" localSheetId="0" hidden="1">2</definedName>
    <definedName name="solver_sho" localSheetId="32" hidden="1">2</definedName>
    <definedName name="solver_sho" localSheetId="3" hidden="1">2</definedName>
    <definedName name="solver_sho" localSheetId="1" hidden="1">2</definedName>
    <definedName name="solver_sho" localSheetId="0" hidden="1">2</definedName>
    <definedName name="solver_tim" localSheetId="32" hidden="1">100</definedName>
    <definedName name="solver_tim" localSheetId="3" hidden="1">100</definedName>
    <definedName name="solver_tim" localSheetId="1" hidden="1">100</definedName>
    <definedName name="solver_tim" localSheetId="0" hidden="1">100</definedName>
    <definedName name="solver_tol" localSheetId="32" hidden="1">0.05</definedName>
    <definedName name="solver_tol" localSheetId="3" hidden="1">0.05</definedName>
    <definedName name="solver_tol" localSheetId="1" hidden="1">0.05</definedName>
    <definedName name="solver_tol" localSheetId="0" hidden="1">0.05</definedName>
    <definedName name="solver_typ" localSheetId="32" hidden="1">3</definedName>
    <definedName name="solver_typ" localSheetId="3" hidden="1">3</definedName>
    <definedName name="solver_typ" localSheetId="1" hidden="1">3</definedName>
    <definedName name="solver_typ" localSheetId="0" hidden="1">3</definedName>
    <definedName name="solver_val" localSheetId="32" hidden="1">0.93</definedName>
    <definedName name="solver_val" localSheetId="3" hidden="1">7518973</definedName>
    <definedName name="solver_val" localSheetId="1" hidden="1">3328642</definedName>
    <definedName name="solver_val" localSheetId="0" hidden="1">636769</definedName>
  </definedNames>
  <calcPr fullCalcOnLoad="1"/>
</workbook>
</file>

<file path=xl/comments1.xml><?xml version="1.0" encoding="utf-8"?>
<comments xmlns="http://schemas.openxmlformats.org/spreadsheetml/2006/main">
  <authors>
    <author>Tom Eckman</author>
  </authors>
  <commentList>
    <comment ref="E20" authorId="0">
      <text>
        <r>
          <rPr>
            <b/>
            <sz val="8"/>
            <rFont val="Tahoma"/>
            <family val="0"/>
          </rPr>
          <t>Tom Eckman:</t>
        </r>
        <r>
          <rPr>
            <sz val="8"/>
            <rFont val="Tahoma"/>
            <family val="0"/>
          </rPr>
          <t xml:space="preserve">
1996 Plan Forecast Model Output</t>
        </r>
      </text>
    </comment>
    <comment ref="B20" authorId="0">
      <text>
        <r>
          <rPr>
            <b/>
            <sz val="8"/>
            <rFont val="Tahoma"/>
            <family val="0"/>
          </rPr>
          <t>Tom Eckman:</t>
        </r>
        <r>
          <rPr>
            <sz val="8"/>
            <rFont val="Tahoma"/>
            <family val="0"/>
          </rPr>
          <t xml:space="preserve">
Census Data from Units by State &amp; Type 1940 to 00 tab.</t>
        </r>
      </text>
    </comment>
    <comment ref="C7" authorId="0">
      <text>
        <r>
          <rPr>
            <b/>
            <sz val="8"/>
            <rFont val="Tahoma"/>
            <family val="0"/>
          </rPr>
          <t>Tom Eckman:</t>
        </r>
        <r>
          <rPr>
            <sz val="8"/>
            <rFont val="Tahoma"/>
            <family val="0"/>
          </rPr>
          <t xml:space="preserve">
Source: Forecast Additons</t>
        </r>
      </text>
    </comment>
    <comment ref="B7" authorId="0">
      <text>
        <r>
          <rPr>
            <b/>
            <sz val="8"/>
            <rFont val="Tahoma"/>
            <family val="0"/>
          </rPr>
          <t>Tom Eckman:</t>
        </r>
        <r>
          <rPr>
            <sz val="8"/>
            <rFont val="Tahoma"/>
            <family val="0"/>
          </rPr>
          <t xml:space="preserve">
1996 Plan Forecast Model Output</t>
        </r>
      </text>
    </comment>
    <comment ref="M5" authorId="0">
      <text>
        <r>
          <rPr>
            <b/>
            <sz val="10"/>
            <rFont val="Tahoma"/>
            <family val="0"/>
          </rPr>
          <t>Tom Eckman:</t>
        </r>
        <r>
          <rPr>
            <sz val="10"/>
            <rFont val="Tahoma"/>
            <family val="0"/>
          </rPr>
          <t xml:space="preserve">
Based on 1981-2001 market shares by state</t>
        </r>
      </text>
    </comment>
    <comment ref="B47" authorId="0">
      <text>
        <r>
          <rPr>
            <b/>
            <sz val="10"/>
            <rFont val="Tahoma"/>
            <family val="0"/>
          </rPr>
          <t>Tom Eckman:</t>
        </r>
        <r>
          <rPr>
            <sz val="10"/>
            <rFont val="Tahoma"/>
            <family val="0"/>
          </rPr>
          <t xml:space="preserve">
Market Share of HP in WA St.</t>
        </r>
      </text>
    </comment>
    <comment ref="C47" authorId="0">
      <text>
        <r>
          <rPr>
            <b/>
            <sz val="10"/>
            <rFont val="Tahoma"/>
            <family val="0"/>
          </rPr>
          <t>Tom Eckman:</t>
        </r>
        <r>
          <rPr>
            <sz val="10"/>
            <rFont val="Tahoma"/>
            <family val="0"/>
          </rPr>
          <t xml:space="preserve">
Washington SF Only</t>
        </r>
      </text>
    </comment>
    <comment ref="H41" authorId="0">
      <text>
        <r>
          <rPr>
            <b/>
            <sz val="8"/>
            <rFont val="Tahoma"/>
            <family val="0"/>
          </rPr>
          <t>Tom Eckman:</t>
        </r>
        <r>
          <rPr>
            <sz val="8"/>
            <rFont val="Tahoma"/>
            <family val="0"/>
          </rPr>
          <t xml:space="preserve">
1996 Plan Forecast Model Output</t>
        </r>
      </text>
    </comment>
    <comment ref="B2" authorId="0">
      <text>
        <r>
          <rPr>
            <b/>
            <sz val="8"/>
            <rFont val="Tahoma"/>
            <family val="0"/>
          </rPr>
          <t>Tom Eckman:</t>
        </r>
        <r>
          <rPr>
            <sz val="8"/>
            <rFont val="Tahoma"/>
            <family val="0"/>
          </rPr>
          <t xml:space="preserve">
Net of "Other" (RV, Boat, etc)
</t>
        </r>
      </text>
    </comment>
    <comment ref="G2" authorId="0">
      <text>
        <r>
          <rPr>
            <b/>
            <sz val="8"/>
            <rFont val="Tahoma"/>
            <family val="0"/>
          </rPr>
          <t>Tom Eckman:</t>
        </r>
        <r>
          <rPr>
            <sz val="8"/>
            <rFont val="Tahoma"/>
            <family val="0"/>
          </rPr>
          <t xml:space="preserve">
Uses 1991-2000 Ratio of Completions to Permits</t>
        </r>
      </text>
    </comment>
  </commentList>
</comments>
</file>

<file path=xl/comments19.xml><?xml version="1.0" encoding="utf-8"?>
<comments xmlns="http://schemas.openxmlformats.org/spreadsheetml/2006/main">
  <authors>
    <author>Tom Eckman</author>
  </authors>
  <commentList>
    <comment ref="F3" authorId="0">
      <text>
        <r>
          <rPr>
            <b/>
            <sz val="8"/>
            <rFont val="Tahoma"/>
            <family val="0"/>
          </rPr>
          <t>Tom Eckman:</t>
        </r>
        <r>
          <rPr>
            <sz val="8"/>
            <rFont val="Tahoma"/>
            <family val="0"/>
          </rPr>
          <t xml:space="preserve">
Weighted by Population</t>
        </r>
      </text>
    </comment>
    <comment ref="G3" authorId="0">
      <text>
        <r>
          <rPr>
            <b/>
            <sz val="8"/>
            <rFont val="Tahoma"/>
            <family val="0"/>
          </rPr>
          <t>Tom Eckman:</t>
        </r>
        <r>
          <rPr>
            <sz val="8"/>
            <rFont val="Tahoma"/>
            <family val="0"/>
          </rPr>
          <t xml:space="preserve">
Weighted by Housing Starts (SF+MF+MH)</t>
        </r>
      </text>
    </comment>
  </commentList>
</comments>
</file>

<file path=xl/comments25.xml><?xml version="1.0" encoding="utf-8"?>
<comments xmlns="http://schemas.openxmlformats.org/spreadsheetml/2006/main">
  <authors>
    <author>Tom Eckman</author>
  </authors>
  <commentList>
    <comment ref="G7" authorId="0">
      <text>
        <r>
          <rPr>
            <b/>
            <sz val="8"/>
            <rFont val="Tahoma"/>
            <family val="0"/>
          </rPr>
          <t>Tom Eckman:</t>
        </r>
        <r>
          <rPr>
            <sz val="8"/>
            <rFont val="Tahoma"/>
            <family val="0"/>
          </rPr>
          <t xml:space="preserve">
Population Weighted Aveage</t>
        </r>
      </text>
    </comment>
  </commentList>
</comments>
</file>

<file path=xl/comments33.xml><?xml version="1.0" encoding="utf-8"?>
<comments xmlns="http://schemas.openxmlformats.org/spreadsheetml/2006/main">
  <authors>
    <author>Tom Eckman</author>
  </authors>
  <commentList>
    <comment ref="C27" authorId="0">
      <text>
        <r>
          <rPr>
            <b/>
            <sz val="8"/>
            <rFont val="Tahoma"/>
            <family val="0"/>
          </rPr>
          <t>Tom Eckman:</t>
        </r>
        <r>
          <rPr>
            <sz val="8"/>
            <rFont val="Tahoma"/>
            <family val="0"/>
          </rPr>
          <t xml:space="preserve">
Assumes uniform relationship between total and occupied by vintage</t>
        </r>
      </text>
    </comment>
    <comment ref="A48" authorId="0">
      <text>
        <r>
          <rPr>
            <b/>
            <sz val="8"/>
            <rFont val="Tahoma"/>
            <family val="0"/>
          </rPr>
          <t>Tom Eckman:</t>
        </r>
        <r>
          <rPr>
            <sz val="8"/>
            <rFont val="Tahoma"/>
            <family val="0"/>
          </rPr>
          <t xml:space="preserve">
See Note below</t>
        </r>
      </text>
    </comment>
    <comment ref="A54" authorId="0">
      <text>
        <r>
          <rPr>
            <b/>
            <sz val="8"/>
            <rFont val="Tahoma"/>
            <family val="0"/>
          </rPr>
          <t>Tom Eckman:</t>
        </r>
        <r>
          <rPr>
            <sz val="8"/>
            <rFont val="Tahoma"/>
            <family val="0"/>
          </rPr>
          <t xml:space="preserve">
See Note below</t>
        </r>
      </text>
    </comment>
    <comment ref="B68" authorId="0">
      <text>
        <r>
          <rPr>
            <b/>
            <sz val="8"/>
            <rFont val="Tahoma"/>
            <family val="0"/>
          </rPr>
          <t>Tom Eckman:</t>
        </r>
        <r>
          <rPr>
            <sz val="8"/>
            <rFont val="Tahoma"/>
            <family val="0"/>
          </rPr>
          <t xml:space="preserve">
Use 4th Plan estimate of MF stock in 1980 to account for change in census methods</t>
        </r>
      </text>
    </comment>
    <comment ref="C68" authorId="0">
      <text>
        <r>
          <rPr>
            <b/>
            <sz val="8"/>
            <rFont val="Tahoma"/>
            <family val="0"/>
          </rPr>
          <t>Tom Eckman: 1980 Census estimate, including vacant rooms in hotels, motes and other simular places where 75% or more of rooms are occupied by permanent residents</t>
        </r>
      </text>
    </comment>
    <comment ref="B45" authorId="0">
      <text>
        <r>
          <rPr>
            <b/>
            <sz val="8"/>
            <rFont val="Tahoma"/>
            <family val="0"/>
          </rPr>
          <t>Tom Eckman:</t>
        </r>
        <r>
          <rPr>
            <sz val="8"/>
            <rFont val="Tahoma"/>
            <family val="0"/>
          </rPr>
          <t xml:space="preserve">
Net of "Other"</t>
        </r>
      </text>
    </comment>
    <comment ref="D45" authorId="0">
      <text>
        <r>
          <rPr>
            <b/>
            <sz val="8"/>
            <rFont val="Tahoma"/>
            <family val="0"/>
          </rPr>
          <t>Tom Eckman:</t>
        </r>
        <r>
          <rPr>
            <sz val="8"/>
            <rFont val="Tahoma"/>
            <family val="0"/>
          </rPr>
          <t xml:space="preserve">
Net of "Other"</t>
        </r>
      </text>
    </comment>
  </commentList>
</comments>
</file>

<file path=xl/sharedStrings.xml><?xml version="1.0" encoding="utf-8"?>
<sst xmlns="http://schemas.openxmlformats.org/spreadsheetml/2006/main" count="2823" uniqueCount="753">
  <si>
    <t>ID</t>
  </si>
  <si>
    <t>MT</t>
  </si>
  <si>
    <t>OR</t>
  </si>
  <si>
    <t>WA</t>
  </si>
  <si>
    <t>NA</t>
  </si>
  <si>
    <t>Occupied Units</t>
  </si>
  <si>
    <t>Pre-1980 Housing Units in 2000</t>
  </si>
  <si>
    <t>Ratio of Starts to Occupied Housing Units</t>
  </si>
  <si>
    <t>2000 Census - Electric Heating</t>
  </si>
  <si>
    <t>HOUSING STOCK (MILLIONS) - Public</t>
  </si>
  <si>
    <t>HOUSING STOCK (MILLIONS) - Private</t>
  </si>
  <si>
    <t>Demolition Equation</t>
  </si>
  <si>
    <t>Set Year to Compute Pre-1980 Units Remaining in that Year</t>
  </si>
  <si>
    <t>Pre-1980 Electric Units Remaining in 2025</t>
  </si>
  <si>
    <t>PNW Region Housing Starts</t>
  </si>
  <si>
    <t>Single Family Units</t>
  </si>
  <si>
    <t>Multifamily Units</t>
  </si>
  <si>
    <t>Manufactured Homes (Shipments)</t>
  </si>
  <si>
    <t>Total (SF+MF+MH)</t>
  </si>
  <si>
    <t>Ratio of MH to SF Starts</t>
  </si>
  <si>
    <t>SGC &amp; NC % (All Fuels)</t>
  </si>
  <si>
    <t>Weighted Average SF Mortgage (APR %)</t>
  </si>
  <si>
    <t>Sources:</t>
  </si>
  <si>
    <t>US Bureau of the Census (Single Family and Multifamily Starts)</t>
  </si>
  <si>
    <t>National Conference of States on Building Codes and Standards (Manufactured Homes)</t>
  </si>
  <si>
    <t>Federal Housing Finance Board State Level Monthly Interest Rate Survey</t>
  </si>
  <si>
    <t>SGC/NC Penetration from Bonneville and State Offices</t>
  </si>
  <si>
    <t>Washington Housing Starts</t>
  </si>
  <si>
    <t>% of Regional Starts</t>
  </si>
  <si>
    <t>% of Region SF Starts</t>
  </si>
  <si>
    <t>Interest Rate (APR)</t>
  </si>
  <si>
    <t>Weighted APR</t>
  </si>
  <si>
    <t>Source: US Bureau of the Census</t>
  </si>
  <si>
    <t>Oregon Housing Starts</t>
  </si>
  <si>
    <t>Montana Housing Starts</t>
  </si>
  <si>
    <t>Idaho Housing Starts</t>
  </si>
  <si>
    <t>Statewide Manufactured Home Shipments</t>
  </si>
  <si>
    <t>State</t>
  </si>
  <si>
    <t>Year</t>
  </si>
  <si>
    <t>Idaho</t>
  </si>
  <si>
    <t>Montana</t>
  </si>
  <si>
    <t>Oregon</t>
  </si>
  <si>
    <t>Washington</t>
  </si>
  <si>
    <t>Region</t>
  </si>
  <si>
    <t>Data Source:  National Conference of States on Building Codes and Standards (NCBCS)</t>
  </si>
  <si>
    <t>New Manufactured Housing - Estimated Retail Sales Price</t>
  </si>
  <si>
    <t xml:space="preserve">Year </t>
  </si>
  <si>
    <t>Avg.</t>
  </si>
  <si>
    <t>SW</t>
  </si>
  <si>
    <t>DW/TW</t>
  </si>
  <si>
    <t xml:space="preserve">ID      </t>
  </si>
  <si>
    <t xml:space="preserve"> (S)               </t>
  </si>
  <si>
    <t xml:space="preserve">MT   </t>
  </si>
  <si>
    <t xml:space="preserve">(S)   </t>
  </si>
  <si>
    <t xml:space="preserve">OR    </t>
  </si>
  <si>
    <t xml:space="preserve">WA </t>
  </si>
  <si>
    <t>Source - Bureau of the Census</t>
  </si>
  <si>
    <t>(S) = Data Suppressed to protect competitive information</t>
  </si>
  <si>
    <t>Regionally Weighted Retail Price</t>
  </si>
  <si>
    <t>Change in Estimated Average Retail Price</t>
  </si>
  <si>
    <t>$</t>
  </si>
  <si>
    <t>%</t>
  </si>
  <si>
    <t>Change in Shipments</t>
  </si>
  <si>
    <t>Units</t>
  </si>
  <si>
    <t>Source:</t>
  </si>
  <si>
    <t>Federal Housing Finance Board</t>
  </si>
  <si>
    <t>Monthly Interest Rate Survey</t>
  </si>
  <si>
    <t xml:space="preserve"> STATE </t>
  </si>
  <si>
    <t xml:space="preserve">Idaho              </t>
  </si>
  <si>
    <t xml:space="preserve">Oregon             </t>
  </si>
  <si>
    <t xml:space="preserve">Washington         </t>
  </si>
  <si>
    <t>Regional Total</t>
  </si>
  <si>
    <t>Import(-)/Exports(+)</t>
  </si>
  <si>
    <t>Source: NCSBCS</t>
  </si>
  <si>
    <t>SGC/NC Penetration as % of Shipments</t>
  </si>
  <si>
    <t>SCG/NC</t>
  </si>
  <si>
    <t>Shipments</t>
  </si>
  <si>
    <t>Penetration</t>
  </si>
  <si>
    <t>State Level Single Family Housing Starts</t>
  </si>
  <si>
    <t>SGC %</t>
  </si>
  <si>
    <t>Ratio of MH to All Starts</t>
  </si>
  <si>
    <t>Total</t>
  </si>
  <si>
    <t>Source:MHI</t>
  </si>
  <si>
    <t>State Population 1979 - 1998</t>
  </si>
  <si>
    <t>Source: Census Bureau</t>
  </si>
  <si>
    <t>State Name</t>
  </si>
  <si>
    <t>Share of Total Regional Population</t>
  </si>
  <si>
    <t>Regionally Weighted</t>
  </si>
  <si>
    <t>Change</t>
  </si>
  <si>
    <t>TERMS ON CONVENTIONAL SINGLE-FAMILY MORTGAGES BY  STATE and YEAR</t>
  </si>
  <si>
    <t>Contract</t>
  </si>
  <si>
    <t>Effective</t>
  </si>
  <si>
    <t>Purchase</t>
  </si>
  <si>
    <t>Interest</t>
  </si>
  <si>
    <t>Price</t>
  </si>
  <si>
    <t>Rate</t>
  </si>
  <si>
    <t>($000)</t>
  </si>
  <si>
    <t>(%)</t>
  </si>
  <si>
    <t>Regional Weighted</t>
  </si>
  <si>
    <t>Market Share of New SF Housing Starts</t>
  </si>
  <si>
    <t>State Level  MultiFamily Housing Starts</t>
  </si>
  <si>
    <t>State Level  Total Housing Starts</t>
  </si>
  <si>
    <t>Per Capita Personal Income - 1979 - 2000</t>
  </si>
  <si>
    <t>Idaho Single-Family Building Permits</t>
  </si>
  <si>
    <t>Idaho 2-4 Family Building Permits</t>
  </si>
  <si>
    <t>Idaho 5+ Family Building Permits</t>
  </si>
  <si>
    <t>Number of Dwelling Units</t>
  </si>
  <si>
    <t>Average Value per Dwelling Unit ($)</t>
  </si>
  <si>
    <t>Percent</t>
  </si>
  <si>
    <t>Value</t>
  </si>
  <si>
    <t>Source: U.S. Bureau of Census and Real Estate Center at Texas A&amp;M University</t>
  </si>
  <si>
    <t>Montana Single-Family Building Permits</t>
  </si>
  <si>
    <t>Montana 2-4 Family Building Permits</t>
  </si>
  <si>
    <t>Montana 5+ Family Building Permits</t>
  </si>
  <si>
    <t>Oregon Single-Family Building Permits</t>
  </si>
  <si>
    <t>Oregon 2-4 Family Building Permits</t>
  </si>
  <si>
    <t>Oregon 5+ Family Building Permits</t>
  </si>
  <si>
    <t>Washington Single-Family Building Permits</t>
  </si>
  <si>
    <t>Washington 2-4 Family Building Permits</t>
  </si>
  <si>
    <t>Washington 5+ Family Building Permits</t>
  </si>
  <si>
    <t>Multifamily Units (5+ units)</t>
  </si>
  <si>
    <t>Regional Manufactured Home Production 1981 - 2001</t>
  </si>
  <si>
    <t>Manufactured Housing Shipments 1981 - 2001</t>
  </si>
  <si>
    <t>1981 -2001</t>
  </si>
  <si>
    <t>Ada County</t>
  </si>
  <si>
    <t>Adams County</t>
  </si>
  <si>
    <t>Bannock County</t>
  </si>
  <si>
    <t>Bear Lake County</t>
  </si>
  <si>
    <t>Benewah County</t>
  </si>
  <si>
    <t>Bingham County</t>
  </si>
  <si>
    <t>Blaine County</t>
  </si>
  <si>
    <t>Boise County</t>
  </si>
  <si>
    <t>Bonner County</t>
  </si>
  <si>
    <t>Bonneville County</t>
  </si>
  <si>
    <t>Boundary County</t>
  </si>
  <si>
    <t>Butte County</t>
  </si>
  <si>
    <t>Camas County</t>
  </si>
  <si>
    <t>Canyon County</t>
  </si>
  <si>
    <t>Caribou County</t>
  </si>
  <si>
    <t>Cassia County</t>
  </si>
  <si>
    <t>Clark County</t>
  </si>
  <si>
    <t>Clearwater County</t>
  </si>
  <si>
    <t>Custer County</t>
  </si>
  <si>
    <t>Elmore County</t>
  </si>
  <si>
    <t>Franklin County</t>
  </si>
  <si>
    <t>Fremont County</t>
  </si>
  <si>
    <t>Gem County</t>
  </si>
  <si>
    <t>Gooding County</t>
  </si>
  <si>
    <t>Idaho County</t>
  </si>
  <si>
    <t>Jefferson County</t>
  </si>
  <si>
    <t>Jerome County</t>
  </si>
  <si>
    <t>Kootenai County</t>
  </si>
  <si>
    <t>Latah County</t>
  </si>
  <si>
    <t>Lemhi County</t>
  </si>
  <si>
    <t>Lewis County</t>
  </si>
  <si>
    <t>Lincoln County</t>
  </si>
  <si>
    <t>Madison County</t>
  </si>
  <si>
    <t>Minidoka County</t>
  </si>
  <si>
    <t>Nez Perce County</t>
  </si>
  <si>
    <t>Oneida County</t>
  </si>
  <si>
    <t>Owyhee County</t>
  </si>
  <si>
    <t>Payette County</t>
  </si>
  <si>
    <t>Power County</t>
  </si>
  <si>
    <t>Shoshone County</t>
  </si>
  <si>
    <t>Teton County</t>
  </si>
  <si>
    <t>Twin Falls County</t>
  </si>
  <si>
    <t>Valley County</t>
  </si>
  <si>
    <t>Washington County</t>
  </si>
  <si>
    <t>Beaverhead County</t>
  </si>
  <si>
    <t>Big Horn County</t>
  </si>
  <si>
    <t>Broadwater County</t>
  </si>
  <si>
    <t>Carbon County</t>
  </si>
  <si>
    <t>Carter County</t>
  </si>
  <si>
    <t>Cascade County</t>
  </si>
  <si>
    <t>Chouteau County</t>
  </si>
  <si>
    <t>Daniels County</t>
  </si>
  <si>
    <t>Dawson County</t>
  </si>
  <si>
    <t>Deer Lodge County</t>
  </si>
  <si>
    <t>Fallon County</t>
  </si>
  <si>
    <t>Fergus County</t>
  </si>
  <si>
    <t>Flathead County</t>
  </si>
  <si>
    <t>Gallatin County</t>
  </si>
  <si>
    <t>Garfield County</t>
  </si>
  <si>
    <t>Glacier County</t>
  </si>
  <si>
    <t>Golden Valley County</t>
  </si>
  <si>
    <t>Granite County</t>
  </si>
  <si>
    <t>Hill County</t>
  </si>
  <si>
    <t>Judith Basin County</t>
  </si>
  <si>
    <t>Lake County</t>
  </si>
  <si>
    <t>Lewis and Clark County</t>
  </si>
  <si>
    <t>Liberty County</t>
  </si>
  <si>
    <t>McCone County</t>
  </si>
  <si>
    <t>Meagher County</t>
  </si>
  <si>
    <t>Mineral County</t>
  </si>
  <si>
    <t>Missoula County</t>
  </si>
  <si>
    <t>Musselshell County</t>
  </si>
  <si>
    <t>Park County</t>
  </si>
  <si>
    <t>Petroleum County</t>
  </si>
  <si>
    <t>Phillips County</t>
  </si>
  <si>
    <t>Pondera County</t>
  </si>
  <si>
    <t>Powder River County</t>
  </si>
  <si>
    <t>Powell County</t>
  </si>
  <si>
    <t>Prairie County</t>
  </si>
  <si>
    <t>Ravalli County</t>
  </si>
  <si>
    <t>Richland County</t>
  </si>
  <si>
    <t>Roosevelt County</t>
  </si>
  <si>
    <t>Rosebud County</t>
  </si>
  <si>
    <t>Sanders County</t>
  </si>
  <si>
    <t>Sheridan County</t>
  </si>
  <si>
    <t>Silver Bow County</t>
  </si>
  <si>
    <t>Stillwater County</t>
  </si>
  <si>
    <t>Sweet Grass County</t>
  </si>
  <si>
    <t>Toole County</t>
  </si>
  <si>
    <t>Treasure County</t>
  </si>
  <si>
    <t>Wheatland County</t>
  </si>
  <si>
    <t>Wibaux County</t>
  </si>
  <si>
    <t>Yellowstone County</t>
  </si>
  <si>
    <t>Baker County</t>
  </si>
  <si>
    <t>Benton County</t>
  </si>
  <si>
    <t>Clackamas County</t>
  </si>
  <si>
    <t>Clatsop County</t>
  </si>
  <si>
    <t>Columbia County</t>
  </si>
  <si>
    <t>Coos County</t>
  </si>
  <si>
    <t>Crook County</t>
  </si>
  <si>
    <t>Curry County</t>
  </si>
  <si>
    <t>Deschutes County</t>
  </si>
  <si>
    <t>Douglas County</t>
  </si>
  <si>
    <t>Gilliam County</t>
  </si>
  <si>
    <t>Grant County</t>
  </si>
  <si>
    <t>Harney County</t>
  </si>
  <si>
    <t>Hood River County</t>
  </si>
  <si>
    <t>Jackson County</t>
  </si>
  <si>
    <t>Josephine County</t>
  </si>
  <si>
    <t>Klamath County</t>
  </si>
  <si>
    <t>Lane County</t>
  </si>
  <si>
    <t>Linn County</t>
  </si>
  <si>
    <t>Malheur County</t>
  </si>
  <si>
    <t>Marion County</t>
  </si>
  <si>
    <t>Morrow County</t>
  </si>
  <si>
    <t>Multnomah County</t>
  </si>
  <si>
    <t>Polk County</t>
  </si>
  <si>
    <t>Sherman County</t>
  </si>
  <si>
    <t>Tillamook County</t>
  </si>
  <si>
    <t>Umatilla County</t>
  </si>
  <si>
    <t>Union County</t>
  </si>
  <si>
    <t>Wallowa County</t>
  </si>
  <si>
    <t>Wasco County</t>
  </si>
  <si>
    <t>Wheeler County</t>
  </si>
  <si>
    <t>Yamhill County</t>
  </si>
  <si>
    <t>Asotin County</t>
  </si>
  <si>
    <t>Chelan County</t>
  </si>
  <si>
    <t>Clallam County</t>
  </si>
  <si>
    <t>Cowlitz County</t>
  </si>
  <si>
    <t>Ferry County</t>
  </si>
  <si>
    <t>Grays Harbor County</t>
  </si>
  <si>
    <t>Island County</t>
  </si>
  <si>
    <t>King County</t>
  </si>
  <si>
    <t>Kitsap County</t>
  </si>
  <si>
    <t>Kittitas County</t>
  </si>
  <si>
    <t>Klickitat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</si>
  <si>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</si>
  <si>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</si>
  <si>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</si>
  <si>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</si>
  <si>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</si>
  <si>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</si>
  <si>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</si>
  <si>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</si>
  <si>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</si>
  <si>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</si>
  <si>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</si>
  <si>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</si>
  <si>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</si>
  <si>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</si>
  <si>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</si>
  <si>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</si>
  <si>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</si>
  <si>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SA1-3 – Per capita personal income 2/</t>
  </si>
  <si>
    <t xml:space="preserve">(dollars) </t>
  </si>
  <si>
    <t>Area name</t>
  </si>
  <si>
    <t>United States</t>
  </si>
  <si>
    <t>SGC/NC</t>
  </si>
  <si>
    <t>SGC</t>
  </si>
  <si>
    <t>NC</t>
  </si>
  <si>
    <t>PNW</t>
  </si>
  <si>
    <t>2001 Production by State and Type</t>
  </si>
  <si>
    <t>YEAR</t>
  </si>
  <si>
    <t>Geographic Area</t>
  </si>
  <si>
    <t>Housing Units</t>
  </si>
  <si>
    <t>Census 2000 U.S. Housing Unit Count</t>
  </si>
  <si>
    <t>Households</t>
  </si>
  <si>
    <t>Population</t>
  </si>
  <si>
    <t>Person/Household</t>
  </si>
  <si>
    <t>Source: 2000 Census</t>
  </si>
  <si>
    <t>Per Capita Income</t>
  </si>
  <si>
    <t>US</t>
  </si>
  <si>
    <t>PNW Households</t>
  </si>
  <si>
    <t>PNW Housing Units</t>
  </si>
  <si>
    <t>SERIES A</t>
  </si>
  <si>
    <t>July 1,</t>
  </si>
  <si>
    <t>SERIES B</t>
  </si>
  <si>
    <t>Census Bureau Population Growth Forecast for PNW States.</t>
  </si>
  <si>
    <t>Growth from 2000</t>
  </si>
  <si>
    <t>Person/ Household</t>
  </si>
  <si>
    <t>Summary</t>
  </si>
  <si>
    <t>Pre-80 Housing Units Existing in Year N"</t>
  </si>
  <si>
    <t>SNGL</t>
  </si>
  <si>
    <t>MULT</t>
  </si>
  <si>
    <t>MOBL</t>
  </si>
  <si>
    <t>TOTAL</t>
  </si>
  <si>
    <t>2005-2025</t>
  </si>
  <si>
    <t>Total Units</t>
  </si>
  <si>
    <t>Electrically Heated Units</t>
  </si>
  <si>
    <t>Years</t>
  </si>
  <si>
    <t>Single Family</t>
  </si>
  <si>
    <t>Multifamily</t>
  </si>
  <si>
    <t>Manufactured Housing</t>
  </si>
  <si>
    <t>Total SF + MF</t>
  </si>
  <si>
    <t>2000-2025</t>
  </si>
  <si>
    <t>Medium Forecast</t>
  </si>
  <si>
    <t>Total Housing Starts 2005 - 2025</t>
  </si>
  <si>
    <t>Public Utility Housing Starts</t>
  </si>
  <si>
    <t>Investor-Owned Utility Housing Starts</t>
  </si>
  <si>
    <t>Type</t>
  </si>
  <si>
    <t>Electric Heat</t>
  </si>
  <si>
    <t>Electric Penetration</t>
  </si>
  <si>
    <t>Share</t>
  </si>
  <si>
    <t>Manufactured</t>
  </si>
  <si>
    <t>Data Source</t>
  </si>
  <si>
    <t>Total Single Family Homes</t>
  </si>
  <si>
    <t>Electrically Heated Homes</t>
  </si>
  <si>
    <t>Electric Heat Penetration</t>
  </si>
  <si>
    <t>Public Utility Share</t>
  </si>
  <si>
    <t>IOU Share</t>
  </si>
  <si>
    <t>Census Data</t>
  </si>
  <si>
    <t>Forecast</t>
  </si>
  <si>
    <t>Total Manufactured Homes</t>
  </si>
  <si>
    <t>Total Multifamily Units</t>
  </si>
  <si>
    <t>Share by type</t>
  </si>
  <si>
    <t>SF</t>
  </si>
  <si>
    <t>MF</t>
  </si>
  <si>
    <t>MH</t>
  </si>
  <si>
    <t>2001 - 2025</t>
  </si>
  <si>
    <t>Total Units Completed</t>
  </si>
  <si>
    <t>Total Net Additions</t>
  </si>
  <si>
    <t>Housing Type</t>
  </si>
  <si>
    <t>2000 Housing Units</t>
  </si>
  <si>
    <t>Share in 2000</t>
  </si>
  <si>
    <t>New Construction</t>
  </si>
  <si>
    <t>Share of Additions</t>
  </si>
  <si>
    <t>Demolitions as % of 2000 Stock</t>
  </si>
  <si>
    <t>2001-2025</t>
  </si>
  <si>
    <t>1981 - 2000</t>
  </si>
  <si>
    <t>1981-2000</t>
  </si>
  <si>
    <t>Share in 1980</t>
  </si>
  <si>
    <t>New Construction 2001 - 2025</t>
  </si>
  <si>
    <t>Demolitions 2001-2025</t>
  </si>
  <si>
    <t>Demolitions as % of 1980 Stock</t>
  </si>
  <si>
    <t>Share of New Construction</t>
  </si>
  <si>
    <t>WA % SF</t>
  </si>
  <si>
    <t>WA MF%</t>
  </si>
  <si>
    <t>WA % MH</t>
  </si>
  <si>
    <t>Total Housing Units 2025</t>
  </si>
  <si>
    <t>Total Housing Units in 2000</t>
  </si>
  <si>
    <t>Share of 2025 Housing Units</t>
  </si>
  <si>
    <t>Share of 2001-2025 New Construction</t>
  </si>
  <si>
    <t>New Construction Housing Type</t>
  </si>
  <si>
    <t>Manufactured Home</t>
  </si>
  <si>
    <t>Appliance</t>
  </si>
  <si>
    <t>WSEC Code Change Cl45&gt;Cl40</t>
  </si>
  <si>
    <t>Energy Star Refrigerator</t>
  </si>
  <si>
    <t>Energy Star Freezer</t>
  </si>
  <si>
    <t xml:space="preserve">Refrigerator New Fed Std. </t>
  </si>
  <si>
    <t xml:space="preserve">Freezer New Fed. Std </t>
  </si>
  <si>
    <t>Energy Star Room AC</t>
  </si>
  <si>
    <t>Total Units in 2025</t>
  </si>
  <si>
    <t>Dishwasher (Current Practice EF52)</t>
  </si>
  <si>
    <t>Energy Star Dishwasher (EF58)</t>
  </si>
  <si>
    <t>Energy Star Windows (New Construction Only)</t>
  </si>
  <si>
    <t>Savings by 2025 (aMW)</t>
  </si>
  <si>
    <t>CFL/bulbs</t>
  </si>
  <si>
    <t>Market Share of Replacements &amp; Additions</t>
  </si>
  <si>
    <t>Regional Saturation</t>
  </si>
  <si>
    <t>Utility</t>
  </si>
  <si>
    <t>Number of Customers -Total</t>
  </si>
  <si>
    <t>All Dwellings</t>
  </si>
  <si>
    <t>Electric Range</t>
  </si>
  <si>
    <t>Refrigerator</t>
  </si>
  <si>
    <t>Freezer</t>
  </si>
  <si>
    <t>Dishwasher</t>
  </si>
  <si>
    <t>Clothes Washer</t>
  </si>
  <si>
    <t>Electric Dryer</t>
  </si>
  <si>
    <t>Electric Water Heater</t>
  </si>
  <si>
    <t>Microwave</t>
  </si>
  <si>
    <t>TV</t>
  </si>
  <si>
    <t>Lighting</t>
  </si>
  <si>
    <t>Room Air Conditioning</t>
  </si>
  <si>
    <t>Central Air Conditioning</t>
  </si>
  <si>
    <t>Electric Heating</t>
  </si>
  <si>
    <t>Weighted Average Savings/Unit over 4th Plan's Baseline (kWh/yr)</t>
  </si>
  <si>
    <t>Water Heater New Fed Std. (EF90)</t>
  </si>
  <si>
    <t>Room AC New Fed Std.</t>
  </si>
  <si>
    <t>Total housing units</t>
  </si>
  <si>
    <t>UNITS IN STRUCTURE</t>
  </si>
  <si>
    <t>1-unit, detached</t>
  </si>
  <si>
    <t>1-unit, attached</t>
  </si>
  <si>
    <t>2 units</t>
  </si>
  <si>
    <t>3 or 4 units</t>
  </si>
  <si>
    <t>5 to 9 units</t>
  </si>
  <si>
    <t>10 to 19 units</t>
  </si>
  <si>
    <t>20 or more units</t>
  </si>
  <si>
    <t>Mobile home</t>
  </si>
  <si>
    <t>Boat, RV, van, etc.</t>
  </si>
  <si>
    <t>YEAR STRUCTURE BUILT</t>
  </si>
  <si>
    <t>1999 or later</t>
  </si>
  <si>
    <t>1995 to 1998</t>
  </si>
  <si>
    <t>1990 to 1994</t>
  </si>
  <si>
    <t>1980 to 1989</t>
  </si>
  <si>
    <t>1970 to 1979</t>
  </si>
  <si>
    <t>1960 to 1969</t>
  </si>
  <si>
    <t>1950 to 1959</t>
  </si>
  <si>
    <t>1940 to 1949</t>
  </si>
  <si>
    <t>1939 or earlier</t>
  </si>
  <si>
    <t>ROOMS</t>
  </si>
  <si>
    <t>1 room</t>
  </si>
  <si>
    <t>2 rooms</t>
  </si>
  <si>
    <t>3 rooms</t>
  </si>
  <si>
    <t>4 rooms</t>
  </si>
  <si>
    <t>5 rooms</t>
  </si>
  <si>
    <t>6 rooms</t>
  </si>
  <si>
    <t>7 rooms</t>
  </si>
  <si>
    <t>8 rooms</t>
  </si>
  <si>
    <t>9 rooms or more</t>
  </si>
  <si>
    <t>Median (rooms)</t>
  </si>
  <si>
    <t>Occupied housing units</t>
  </si>
  <si>
    <t>YEAR HOUSEHOLDER MOVED INTO UNIT</t>
  </si>
  <si>
    <t>1995 to 1999</t>
  </si>
  <si>
    <t>1969 or earlier</t>
  </si>
  <si>
    <t>VEHICLES AVAILABLE</t>
  </si>
  <si>
    <t>No vehicles available</t>
  </si>
  <si>
    <t>3 or more</t>
  </si>
  <si>
    <t>HOUSE HEATING FUEL</t>
  </si>
  <si>
    <t>Utility gas</t>
  </si>
  <si>
    <t>Bottled, tank, or LP gas</t>
  </si>
  <si>
    <t>Electricity</t>
  </si>
  <si>
    <t>Fuel oil, kerosene, etc.</t>
  </si>
  <si>
    <t>Coal or coke</t>
  </si>
  <si>
    <t>Wood</t>
  </si>
  <si>
    <t>Solar energy</t>
  </si>
  <si>
    <t>Other fuel</t>
  </si>
  <si>
    <t>No fuel used</t>
  </si>
  <si>
    <t>SELECTED CHARACTERISTICS</t>
  </si>
  <si>
    <t>Lacking complete plumbing facilities</t>
  </si>
  <si>
    <t>Lacking complete kitchen facilities</t>
  </si>
  <si>
    <t>No telephone service available</t>
  </si>
  <si>
    <t>OCCUPANTS PER ROOM</t>
  </si>
  <si>
    <t>1.00 or less</t>
  </si>
  <si>
    <t>1.01 to 1.50</t>
  </si>
  <si>
    <t>1.51 or more</t>
  </si>
  <si>
    <t>Specified owner-occupied units</t>
  </si>
  <si>
    <t>VALUE</t>
  </si>
  <si>
    <t>Less than $50,000</t>
  </si>
  <si>
    <t>$50,000 to $99,999</t>
  </si>
  <si>
    <t>$100,000 to $149,999</t>
  </si>
  <si>
    <t>$150,000 to $199,999</t>
  </si>
  <si>
    <t>$200,000 to $299,999</t>
  </si>
  <si>
    <t>$300,000 to $499,999</t>
  </si>
  <si>
    <t>$500,000 to $999,999</t>
  </si>
  <si>
    <t>$1,000,000 or more</t>
  </si>
  <si>
    <t>Median (dollars)</t>
  </si>
  <si>
    <t>MORTGAGE STATUS AND SELECTED MONTHLY OWNER COSTS</t>
  </si>
  <si>
    <t>Housing units with a mortgage</t>
  </si>
  <si>
    <t>Less than $300</t>
  </si>
  <si>
    <t>$300 to $499</t>
  </si>
  <si>
    <t>$500 to $699</t>
  </si>
  <si>
    <t>$700 to $999</t>
  </si>
  <si>
    <t>$1,000 to $1,499</t>
  </si>
  <si>
    <t>$1,500 to $1,999</t>
  </si>
  <si>
    <t>$2,000 or more</t>
  </si>
  <si>
    <t>Housing units without a mortgage</t>
  </si>
  <si>
    <t>Less than $100</t>
  </si>
  <si>
    <t>$100 to $199</t>
  </si>
  <si>
    <t>$200 to $299</t>
  </si>
  <si>
    <t>$300 to $399</t>
  </si>
  <si>
    <t>$400 or more</t>
  </si>
  <si>
    <t>SELECTED MONTHLY OWNER COSTS AS A PERCENTAGE OF HOUSEHOLD INCOME</t>
  </si>
  <si>
    <t>Housing unit with a mortgage</t>
  </si>
  <si>
    <t>Less than 20 percent</t>
  </si>
  <si>
    <t>20.0 to 24.9 percent</t>
  </si>
  <si>
    <t>25.0 to 29.9 percent</t>
  </si>
  <si>
    <t>30.0 to 34.9 percent</t>
  </si>
  <si>
    <t>35.0 percent or more</t>
  </si>
  <si>
    <t>Not computed</t>
  </si>
  <si>
    <t>Housing unit without a mortgage</t>
  </si>
  <si>
    <t>Less than 10 percent</t>
  </si>
  <si>
    <t>10.0 to 14.9 percent</t>
  </si>
  <si>
    <t>15.0 to 19.9 percent</t>
  </si>
  <si>
    <t>Specified renter-occupied units</t>
  </si>
  <si>
    <t>GROSS RENT</t>
  </si>
  <si>
    <t>Less than $200</t>
  </si>
  <si>
    <t>$500 to $749</t>
  </si>
  <si>
    <t>$750 to $999</t>
  </si>
  <si>
    <t>$1,500 or more</t>
  </si>
  <si>
    <t>No cash rent</t>
  </si>
  <si>
    <t>GROSS RENT AS A PERCENTAGE OF HOUSEHOLD INCOME</t>
  </si>
  <si>
    <t>Less than 15 percent</t>
  </si>
  <si>
    <t>TABLE 4. PROFILE OF SELECTED HOUSING CHARACTERISTICS - IDAHO</t>
  </si>
  <si>
    <t>TABLE 4. PROFILE OF SELECTED HOUSING CHARACTERISTICS - MONTANA</t>
  </si>
  <si>
    <t>TABLE 4. PROFILE OF SELECTED HOUSING CHARACTERISTICS - OREGON</t>
  </si>
  <si>
    <t>TABLE 4. PROFILE OF SELECTED HOUSING CHARACTERISTICS - WASHINGTON</t>
  </si>
  <si>
    <t>TABLE 4. PROFILE OF SELECTED HOUSING CHARACTERISTICS - PNW REGION</t>
  </si>
  <si>
    <t>PNW Housing Vintage - 2000 Census</t>
  </si>
  <si>
    <t>Pre-2001 Units Remaining in 2025</t>
  </si>
  <si>
    <t>Total Pre-1980 Units Remaining in 2025</t>
  </si>
  <si>
    <t>Electric Heated New Construction 2001-2025</t>
  </si>
  <si>
    <t>Demolitions 1980 - 2000</t>
  </si>
  <si>
    <t>Electrically Heated Units Completed</t>
  </si>
  <si>
    <t>Electrically Heated Units Completed Market Share</t>
  </si>
  <si>
    <t>Ratio of Acutual 1980 units in 2000 to Forecast 2000</t>
  </si>
  <si>
    <t>Pre-1980 in 2000</t>
  </si>
  <si>
    <t>4th Plan Estimate of Pre-80 in 2000</t>
  </si>
  <si>
    <t>Ratio</t>
  </si>
  <si>
    <t>Occupied Units in 1980</t>
  </si>
  <si>
    <t xml:space="preserve">Difference between 2000 Census Data for Occupied Housing Units built pre-1980, Existing in 2000 and </t>
  </si>
  <si>
    <t>1980 Census data for Occupied Housing units in 1980.</t>
  </si>
  <si>
    <t>Single Family, Detached</t>
  </si>
  <si>
    <t>Single Family, Attached</t>
  </si>
  <si>
    <t>2- 4 Units</t>
  </si>
  <si>
    <t>5 or More Units</t>
  </si>
  <si>
    <t>Manufacatured Home</t>
  </si>
  <si>
    <t>Other</t>
  </si>
  <si>
    <t>Number</t>
  </si>
  <si>
    <t>Occupied Housing Units</t>
  </si>
  <si>
    <t>Total Housing Units</t>
  </si>
  <si>
    <t>All Housing Units</t>
  </si>
  <si>
    <t>Single Family (4-Plex or less)</t>
  </si>
  <si>
    <t>Multifamily (5-Plex or larger)</t>
  </si>
  <si>
    <t>Housing Units by State 1940 to 2000 Tab, Census Data</t>
  </si>
  <si>
    <t>Total, Net of Other</t>
  </si>
  <si>
    <t>TotaL</t>
  </si>
  <si>
    <t>Occupied</t>
  </si>
  <si>
    <t>1980 Share (%)</t>
  </si>
  <si>
    <t>Total 1980 Housing Units</t>
  </si>
  <si>
    <t>2000 Share</t>
  </si>
  <si>
    <t>Occupied Additions 1980 - 2000</t>
  </si>
  <si>
    <t>Pre-1980 Occupied Units in 2000</t>
  </si>
  <si>
    <t>Demolitions</t>
  </si>
  <si>
    <t>% of 1980 Stock</t>
  </si>
  <si>
    <t>Total Units in 1980</t>
  </si>
  <si>
    <t>Total Units in 2000</t>
  </si>
  <si>
    <t>Note: In 1960, 1970, and 1980, vacant rooms in hotels, motels, and other similar places where 75 percent or more of the accommodations were occupied by permanent residents were counted as part of the housing inventory.In the 1990 &amp; 2000 census, vacant rooms in hotels, motels, and similar places were not counted as housing units. This implies that the number of "5 or more dwelling units" in the 1980 (and earlier census) is very likely over-counted relative to the 1990 and 2000 data.</t>
  </si>
  <si>
    <t>Total Additions 1980 - 2000</t>
  </si>
  <si>
    <t>1991-2000</t>
  </si>
  <si>
    <t>MF Starts</t>
  </si>
  <si>
    <t>Census MF Housing Units</t>
  </si>
  <si>
    <t>1981-1990</t>
  </si>
  <si>
    <t>Change in MF Units</t>
  </si>
  <si>
    <t>SF Starts</t>
  </si>
  <si>
    <t>Census SF Housing Units</t>
  </si>
  <si>
    <t>Change in SF Units</t>
  </si>
  <si>
    <t>Note: In 1960, 1970, and 1980, vacant rooms in hotels, motels, and other similar places where 75 percent or more of the accommodations were occupied by permanent residents were counted as part of the housing inventory. In the 1990 &amp; 2000 census, vacant rooms in hotels, motels, and similar places were not counted as housing units. This implies that the number of "5 or more dwelling units" in the 1980 (and earlier census) is very likely over-counted relative to the 1990 and 2000 data.</t>
  </si>
  <si>
    <t>HOUSING STOCK (MILLIONS) - Total</t>
  </si>
  <si>
    <t>Occupied Units in 2000</t>
  </si>
  <si>
    <t>Control Totals to Solve for Demolitions</t>
  </si>
  <si>
    <t>1 Unit</t>
  </si>
  <si>
    <t>2-4 Units</t>
  </si>
  <si>
    <t>Ratio of Completions to Permits - National Data</t>
  </si>
  <si>
    <t>Average</t>
  </si>
  <si>
    <t>Ratio of Starts to Housing Completed Units</t>
  </si>
  <si>
    <t>PERSONS PER OCCUPIED HOUSEHOLD</t>
  </si>
  <si>
    <t>Persons per Occupied Household</t>
  </si>
  <si>
    <t>Housing Growth Rate 2001-2025 (% of 2000 units)</t>
  </si>
  <si>
    <t>Total SF Homes</t>
  </si>
  <si>
    <t>% SF</t>
  </si>
  <si>
    <t>1980 Stock</t>
  </si>
  <si>
    <t>2000 Stock</t>
  </si>
  <si>
    <t>1991 Stock</t>
  </si>
  <si>
    <t>Growth</t>
  </si>
  <si>
    <t>Growth Rate</t>
  </si>
  <si>
    <t>% Share</t>
  </si>
  <si>
    <t>Additions</t>
  </si>
  <si>
    <t>Total w/o Demolitions</t>
  </si>
  <si>
    <t>1991 - 2000 Growth</t>
  </si>
  <si>
    <t>2025 Stock</t>
  </si>
  <si>
    <t>Fuel Share of Pre-1980 Housing</t>
  </si>
  <si>
    <t>1/house</t>
  </si>
  <si>
    <t>Census Year</t>
  </si>
  <si>
    <t>---</t>
  </si>
  <si>
    <t>Yellowstone National Park (pt.)</t>
  </si>
  <si>
    <t>Idaho County Population 1900 - 2000</t>
  </si>
  <si>
    <t>Montana County Population 1900 - 2000</t>
  </si>
  <si>
    <t>Oregon County Population 1900 - 2000</t>
  </si>
  <si>
    <t>Washington County Population 1900 - 2000</t>
  </si>
  <si>
    <t>Washington 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</si>
  <si>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</si>
  <si>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</si>
  <si>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</si>
  <si>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</si>
  <si>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</si>
  <si>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</si>
  <si>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</si>
  <si>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</si>
  <si>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</si>
  <si>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</si>
  <si>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</si>
  <si>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</si>
  <si>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</si>
  <si>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</si>
  <si>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</si>
  <si>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</si>
  <si>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</si>
  <si>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</si>
  <si>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</si>
  <si>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</si>
  <si>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</si>
  <si>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</si>
  <si>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</si>
  <si>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</si>
  <si>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</si>
  <si>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</si>
  <si>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</si>
  <si>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</si>
  <si>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</si>
  <si>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</si>
  <si>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</si>
  <si>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</si>
  <si>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</si>
  <si>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</si>
  <si>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</si>
  <si>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</si>
  <si>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</si>
  <si>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</si>
  <si>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</si>
  <si>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Housing Unit Count</t>
  </si>
  <si>
    <t>Beaverhead</t>
  </si>
  <si>
    <t>Big Horn</t>
  </si>
  <si>
    <t>Blaine</t>
  </si>
  <si>
    <t>Broadwater</t>
  </si>
  <si>
    <t>Carbon</t>
  </si>
  <si>
    <t>Carter</t>
  </si>
  <si>
    <t>Cascade</t>
  </si>
  <si>
    <t>Chouteau</t>
  </si>
  <si>
    <t>Custer</t>
  </si>
  <si>
    <t>Daniels</t>
  </si>
  <si>
    <t>Dawson</t>
  </si>
  <si>
    <t>Deer Lodge</t>
  </si>
  <si>
    <t>Fallon</t>
  </si>
  <si>
    <t>Fergus</t>
  </si>
  <si>
    <t>Flathead</t>
  </si>
  <si>
    <t>Gallatin</t>
  </si>
  <si>
    <t>Glacier</t>
  </si>
  <si>
    <t>Golden Valley</t>
  </si>
  <si>
    <t>Granite</t>
  </si>
  <si>
    <t>Hill</t>
  </si>
  <si>
    <t>Judith Basin</t>
  </si>
  <si>
    <t>Lake</t>
  </si>
  <si>
    <t>Lewis and Clark</t>
  </si>
  <si>
    <t>Liberty</t>
  </si>
  <si>
    <t>McCone</t>
  </si>
  <si>
    <t>Madison</t>
  </si>
  <si>
    <t>Meagher</t>
  </si>
  <si>
    <t>Mineral</t>
  </si>
  <si>
    <t>Missoula</t>
  </si>
  <si>
    <t>Musselshell</t>
  </si>
  <si>
    <t>Park</t>
  </si>
  <si>
    <t>Petroleum</t>
  </si>
  <si>
    <t>Phillips</t>
  </si>
  <si>
    <t>Pondera</t>
  </si>
  <si>
    <t>Powder River</t>
  </si>
  <si>
    <t>Powell</t>
  </si>
  <si>
    <t>Prairie</t>
  </si>
  <si>
    <t>Ravalli</t>
  </si>
  <si>
    <t>Richland</t>
  </si>
  <si>
    <t>Roosevelt</t>
  </si>
  <si>
    <t>Rosebud</t>
  </si>
  <si>
    <t>Sanders</t>
  </si>
  <si>
    <t>Sheridan</t>
  </si>
  <si>
    <t>Silver Bow</t>
  </si>
  <si>
    <t>Stillwater</t>
  </si>
  <si>
    <t>Sweet Grass</t>
  </si>
  <si>
    <t>Teton</t>
  </si>
  <si>
    <t>Toole</t>
  </si>
  <si>
    <t>Treasure</t>
  </si>
  <si>
    <t>Valley</t>
  </si>
  <si>
    <t>Wheatland</t>
  </si>
  <si>
    <t>Wibaux</t>
  </si>
  <si>
    <t>Yellowstone</t>
  </si>
  <si>
    <t>Yellowstone National Park</t>
  </si>
  <si>
    <t>Baker</t>
  </si>
  <si>
    <t>Clackamas</t>
  </si>
  <si>
    <t>Clatsop</t>
  </si>
  <si>
    <t>Coos</t>
  </si>
  <si>
    <t>Crook</t>
  </si>
  <si>
    <t>Curry</t>
  </si>
  <si>
    <t>Deschutes</t>
  </si>
  <si>
    <t>Gilliam</t>
  </si>
  <si>
    <t>Harney</t>
  </si>
  <si>
    <t>Hood River</t>
  </si>
  <si>
    <t>Jackson</t>
  </si>
  <si>
    <t>Josephine</t>
  </si>
  <si>
    <t>Klamath</t>
  </si>
  <si>
    <t>Lane</t>
  </si>
  <si>
    <t>Linn</t>
  </si>
  <si>
    <t>Malheur</t>
  </si>
  <si>
    <t>Marion</t>
  </si>
  <si>
    <t>Morrow</t>
  </si>
  <si>
    <t>Multnomah</t>
  </si>
  <si>
    <t>Polk</t>
  </si>
  <si>
    <t>Sherman</t>
  </si>
  <si>
    <t>Tillamook</t>
  </si>
  <si>
    <t>Umatilla</t>
  </si>
  <si>
    <t>Union</t>
  </si>
  <si>
    <t>Wallowa</t>
  </si>
  <si>
    <t>Wasco</t>
  </si>
  <si>
    <t>Wheeler</t>
  </si>
  <si>
    <t>Yamhill</t>
  </si>
  <si>
    <t>Ada</t>
  </si>
  <si>
    <t>Bannock</t>
  </si>
  <si>
    <t>Bear Lake</t>
  </si>
  <si>
    <t>Benewah</t>
  </si>
  <si>
    <t>Bingham</t>
  </si>
  <si>
    <t>Boise</t>
  </si>
  <si>
    <t>Bonner</t>
  </si>
  <si>
    <t>Bonneville</t>
  </si>
  <si>
    <t>Boundary</t>
  </si>
  <si>
    <t>Butte</t>
  </si>
  <si>
    <t>Camas</t>
  </si>
  <si>
    <t>Canyon</t>
  </si>
  <si>
    <t>Caribou</t>
  </si>
  <si>
    <t>Cassia</t>
  </si>
  <si>
    <t>Clearwater</t>
  </si>
  <si>
    <t>Elmore</t>
  </si>
  <si>
    <t>Fremont</t>
  </si>
  <si>
    <t>Gem</t>
  </si>
  <si>
    <t>Gooding</t>
  </si>
  <si>
    <t>Jerome</t>
  </si>
  <si>
    <t>Kootenai</t>
  </si>
  <si>
    <t>Latah</t>
  </si>
  <si>
    <t>Lemhi</t>
  </si>
  <si>
    <t>Minidoka</t>
  </si>
  <si>
    <t>Nez Perce</t>
  </si>
  <si>
    <t>Oneida</t>
  </si>
  <si>
    <t>Owyhee</t>
  </si>
  <si>
    <t>Payette</t>
  </si>
  <si>
    <t>Power</t>
  </si>
  <si>
    <t>Shoshone</t>
  </si>
  <si>
    <t>Twin Falls</t>
  </si>
  <si>
    <t>Clothes Washer - New Fed Std MEF 1.27</t>
  </si>
  <si>
    <t>Energy Star Clothes Washer (MEF 1.45</t>
  </si>
  <si>
    <t>Persons per Housing Unit</t>
  </si>
  <si>
    <t>Pre-2001 Occupied Households Remaining in 2025</t>
  </si>
  <si>
    <t>Post79 - Pre93</t>
  </si>
  <si>
    <t>1980 - 1992</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</si>
</sst>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00000%"/>
    <numFmt numFmtId="166" formatCode="General_)"/>
    <numFmt numFmtId="167" formatCode="0_)"/>
    <numFmt numFmtId="168" formatCode="_(&quot;$&quot;* #,##0.0_);_(&quot;$&quot;* \(#,##0.0\);_(&quot;$&quot;* &quot;-&quot;??_);_(@_)"/>
    <numFmt numFmtId="169" formatCode="_(&quot;$&quot;* #,##0_);_(&quot;$&quot;* \(#,##0\);_(&quot;$&quot;* &quot;-&quot;??_);_(@_)"/>
    <numFmt numFmtId="170" formatCode="_(* #,##0.0_);_(* \(#,##0.0\);_(* &quot;-&quot;??_);_(@_)"/>
    <numFmt numFmtId="171" formatCode="_(* #,##0_);_(* \(#,##0\);_(* &quot;-&quot;??_);_(@_)"/>
    <numFmt numFmtId="172" formatCode="0.00_)"/>
    <numFmt numFmtId="173" formatCode="0.0"/>
    <numFmt numFmtId="174" formatCode="0.000"/>
    <numFmt numFmtId="175" formatCode="0.0000000000"/>
    <numFmt numFmtId="176" formatCode="0.000000000"/>
    <numFmt numFmtId="177" formatCode="0.00000000"/>
    <numFmt numFmtId="178" formatCode="0.0000000"/>
    <numFmt numFmtId="179" formatCode="0.000000"/>
    <numFmt numFmtId="180" formatCode="0.00000"/>
    <numFmt numFmtId="181" formatCode="0.0000"/>
    <numFmt numFmtId="182" formatCode="&quot;$&quot;#,##0.00"/>
    <numFmt numFmtId="183" formatCode="&quot;$&quot;#,##0"/>
    <numFmt numFmtId="184" formatCode="0.0_)"/>
    <numFmt numFmtId="185" formatCode="0.000_)"/>
    <numFmt numFmtId="186" formatCode=".0000"/>
    <numFmt numFmtId="187" formatCode=".000"/>
    <numFmt numFmtId="188" formatCode="mm/dd/yy_)"/>
    <numFmt numFmtId="189" formatCode="hh:mm_)"/>
    <numFmt numFmtId="190" formatCode="#,##0.0_);\(#,##0.0\)"/>
    <numFmt numFmtId="191" formatCode="#,##0.0_);[Red]\(#,##0.0\)"/>
    <numFmt numFmtId="192" formatCode="#,##0.0_);[Red]#,##0.0"/>
    <numFmt numFmtId="193" formatCode="#,##0.0_);[Red]\-#,##0.0"/>
    <numFmt numFmtId="194" formatCode="[Blue]#,##0.0_);[Red]\-#,##0.0"/>
    <numFmt numFmtId="195" formatCode="0.0\);[Red]\-0.0\)"/>
    <numFmt numFmtId="196" formatCode="0.0\);[Red]\-0.0"/>
    <numFmt numFmtId="197" formatCode="0.0;[Red]\-0.0"/>
    <numFmt numFmtId="198" formatCode="_(* #,##0.000_);_(* \(#,##0.000\);_(* &quot;-&quot;??_);_(@_)"/>
    <numFmt numFmtId="199" formatCode="_(&quot;$&quot;* #,##0.000_);_(&quot;$&quot;* \(#,##0.000\);_(&quot;$&quot;* &quot;-&quot;??_);_(@_)"/>
    <numFmt numFmtId="200" formatCode="_(&quot;$&quot;* #,##0.0000_);_(&quot;$&quot;* \(#,##0.0000\);_(&quot;$&quot;* &quot;-&quot;??_);_(@_)"/>
    <numFmt numFmtId="201" formatCode="&quot;$&quot;#,##0.0_);\(&quot;$&quot;#,##0.0\)"/>
    <numFmt numFmtId="202" formatCode="&quot;$&quot;#,##0.000_);\(&quot;$&quot;#,##0.000\)"/>
    <numFmt numFmtId="203" formatCode="_(* #,##0.0000_);_(* \(#,##0.0000\);_(* &quot;-&quot;??_);_(@_)"/>
    <numFmt numFmtId="204" formatCode="0.00000000000"/>
    <numFmt numFmtId="205" formatCode="0.000000000000"/>
    <numFmt numFmtId="206" formatCode="&quot;Yes&quot;;&quot;Yes&quot;;&quot;No&quot;"/>
    <numFmt numFmtId="207" formatCode="&quot;True&quot;;&quot;True&quot;;&quot;False&quot;"/>
    <numFmt numFmtId="208" formatCode="&quot;On&quot;;&quot;On&quot;;&quot;Off&quot;"/>
    <numFmt numFmtId="209" formatCode="&quot;$&quot;#,##0.0000000000"/>
    <numFmt numFmtId="210" formatCode="#,##0.0000000000"/>
    <numFmt numFmtId="211" formatCode="_(* #,##0.00000_);_(* \(#,##0.00000\);_(* &quot;-&quot;??_);_(@_)"/>
    <numFmt numFmtId="212" formatCode="_(* #,##0.000000_);_(* \(#,##0.000000\);_(* &quot;-&quot;??_);_(@_)"/>
    <numFmt numFmtId="213" formatCode="_(* #,##0.0000000_);_(* \(#,##0.0000000\);_(* &quot;-&quot;??_);_(@_)"/>
    <numFmt numFmtId="214" formatCode="_(* #,##0.000_);_(* \(#,##0.000\);_(* &quot;-&quot;???_);_(@_)"/>
  </numFmts>
  <fonts count="18">
    <font>
      <sz val="10"/>
      <name val="Arial"/>
      <family val="0"/>
    </font>
    <font>
      <b/>
      <sz val="10"/>
      <name val="Arial"/>
      <family val="2"/>
    </font>
    <font>
      <sz val="12"/>
      <name val="Arial"/>
      <family val="0"/>
    </font>
    <font>
      <sz val="10"/>
      <name val="Courier"/>
      <family val="0"/>
    </font>
    <font>
      <b/>
      <sz val="10"/>
      <color indexed="18"/>
      <name val="Courier"/>
      <family val="0"/>
    </font>
    <font>
      <sz val="10"/>
      <color indexed="10"/>
      <name val="Courier"/>
      <family val="0"/>
    </font>
    <font>
      <sz val="8"/>
      <name val="Tahoma"/>
      <family val="0"/>
    </font>
    <font>
      <b/>
      <sz val="8"/>
      <name val="Tahoma"/>
      <family val="0"/>
    </font>
    <font>
      <sz val="8"/>
      <name val="Courier New"/>
      <family val="0"/>
    </font>
    <font>
      <u val="single"/>
      <sz val="10"/>
      <color indexed="12"/>
      <name val="Arial"/>
      <family val="0"/>
    </font>
    <font>
      <b/>
      <sz val="12"/>
      <name val="Arial"/>
      <family val="2"/>
    </font>
    <font>
      <sz val="7.5"/>
      <name val="Arial"/>
      <family val="0"/>
    </font>
    <font>
      <u val="single"/>
      <sz val="7.5"/>
      <color indexed="36"/>
      <name val="Arial"/>
      <family val="0"/>
    </font>
    <font>
      <sz val="10"/>
      <color indexed="8"/>
      <name val="Arial"/>
      <family val="2"/>
    </font>
    <font>
      <sz val="10"/>
      <name val="Tahoma"/>
      <family val="0"/>
    </font>
    <font>
      <b/>
      <sz val="10"/>
      <name val="Tahoma"/>
      <family val="0"/>
    </font>
    <font>
      <b/>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14"/>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s>
  <borders count="71">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color indexed="63"/>
      </right>
      <top style="thin"/>
      <bottom style="mediu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medium"/>
      <bottom style="thin"/>
    </border>
    <border>
      <left style="thin"/>
      <right>
        <color indexed="63"/>
      </right>
      <top style="thin"/>
      <bottom style="thin"/>
    </border>
    <border>
      <left style="thin"/>
      <right style="medium"/>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color indexed="63"/>
      </left>
      <right style="medium"/>
      <top style="thin"/>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style="medium"/>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medium"/>
      <top>
        <color indexed="63"/>
      </top>
      <bottom style="medium"/>
    </border>
    <border>
      <left style="medium"/>
      <right>
        <color indexed="63"/>
      </right>
      <top style="medium"/>
      <bottom style="thin"/>
    </border>
    <border>
      <left style="thin"/>
      <right>
        <color indexed="63"/>
      </right>
      <top style="medium"/>
      <bottom style="medium"/>
    </border>
    <border>
      <left style="medium"/>
      <right style="medium"/>
      <top>
        <color indexed="63"/>
      </top>
      <bottom style="thin"/>
    </border>
    <border>
      <left style="thin">
        <color indexed="8"/>
      </left>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3"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458">
    <xf numFmtId="0" fontId="0" fillId="0" borderId="0" xfId="0" applyAlignment="1">
      <alignment/>
    </xf>
    <xf numFmtId="3" fontId="0" fillId="0" borderId="0" xfId="0" applyNumberFormat="1" applyAlignment="1">
      <alignment/>
    </xf>
    <xf numFmtId="9" fontId="0" fillId="0" borderId="0" xfId="24" applyAlignment="1">
      <alignment/>
    </xf>
    <xf numFmtId="0" fontId="0" fillId="0" borderId="0" xfId="0" applyAlignment="1">
      <alignment wrapText="1"/>
    </xf>
    <xf numFmtId="0" fontId="0" fillId="0" borderId="0" xfId="0" applyAlignment="1">
      <alignment horizontal="centerContinuous"/>
    </xf>
    <xf numFmtId="164" fontId="0" fillId="0" borderId="0" xfId="24" applyNumberFormat="1" applyAlignment="1">
      <alignment/>
    </xf>
    <xf numFmtId="164" fontId="0" fillId="0" borderId="0" xfId="0" applyNumberFormat="1" applyAlignment="1">
      <alignment/>
    </xf>
    <xf numFmtId="9" fontId="0" fillId="0" borderId="0" xfId="0" applyNumberFormat="1" applyAlignment="1">
      <alignment/>
    </xf>
    <xf numFmtId="0" fontId="0" fillId="0" borderId="0" xfId="0" applyAlignment="1" applyProtection="1">
      <alignment horizontal="left"/>
      <protection/>
    </xf>
    <xf numFmtId="0" fontId="1" fillId="0" borderId="0" xfId="0" applyFont="1" applyAlignment="1">
      <alignment/>
    </xf>
    <xf numFmtId="0" fontId="1" fillId="0" borderId="0" xfId="0" applyFont="1" applyAlignment="1">
      <alignment/>
    </xf>
    <xf numFmtId="171" fontId="0" fillId="0" borderId="0" xfId="15" applyNumberFormat="1" applyAlignment="1">
      <alignment/>
    </xf>
    <xf numFmtId="0" fontId="2" fillId="0" borderId="0" xfId="23">
      <alignment/>
      <protection/>
    </xf>
    <xf numFmtId="0" fontId="0" fillId="0" borderId="0" xfId="0" applyFont="1" applyAlignment="1">
      <alignment/>
    </xf>
    <xf numFmtId="0" fontId="0" fillId="0" borderId="0" xfId="23" applyFont="1">
      <alignment/>
      <protection/>
    </xf>
    <xf numFmtId="0" fontId="0" fillId="0" borderId="0" xfId="0" applyAlignment="1" applyProtection="1">
      <alignment/>
      <protection/>
    </xf>
    <xf numFmtId="169" fontId="0" fillId="0" borderId="0" xfId="17" applyNumberFormat="1" applyAlignment="1">
      <alignment/>
    </xf>
    <xf numFmtId="169" fontId="0" fillId="0" borderId="0" xfId="0" applyNumberFormat="1" applyAlignment="1">
      <alignment/>
    </xf>
    <xf numFmtId="3" fontId="0" fillId="0" borderId="1" xfId="0" applyNumberFormat="1" applyFont="1" applyBorder="1" applyAlignment="1">
      <alignment/>
    </xf>
    <xf numFmtId="0" fontId="0" fillId="0" borderId="1" xfId="0" applyBorder="1" applyAlignment="1">
      <alignment/>
    </xf>
    <xf numFmtId="9" fontId="0" fillId="0" borderId="1" xfId="24" applyFont="1" applyBorder="1" applyAlignment="1">
      <alignment/>
    </xf>
    <xf numFmtId="3" fontId="0" fillId="0" borderId="2" xfId="0" applyNumberFormat="1" applyFont="1" applyBorder="1" applyAlignment="1">
      <alignment/>
    </xf>
    <xf numFmtId="171" fontId="0" fillId="0" borderId="2" xfId="15" applyNumberFormat="1" applyBorder="1" applyAlignment="1">
      <alignment/>
    </xf>
    <xf numFmtId="0" fontId="0" fillId="0" borderId="1" xfId="0" applyFont="1" applyBorder="1" applyAlignment="1">
      <alignment/>
    </xf>
    <xf numFmtId="0" fontId="1" fillId="0" borderId="1" xfId="0" applyFont="1" applyBorder="1" applyAlignment="1">
      <alignment/>
    </xf>
    <xf numFmtId="1" fontId="0" fillId="0" borderId="0" xfId="0" applyNumberFormat="1" applyAlignment="1" applyProtection="1">
      <alignment/>
      <protection/>
    </xf>
    <xf numFmtId="171" fontId="0" fillId="0" borderId="1" xfId="0" applyNumberFormat="1" applyBorder="1" applyAlignment="1">
      <alignment/>
    </xf>
    <xf numFmtId="0" fontId="0" fillId="0" borderId="1" xfId="0" applyBorder="1" applyAlignment="1">
      <alignment wrapText="1"/>
    </xf>
    <xf numFmtId="169" fontId="0" fillId="0" borderId="0" xfId="17" applyNumberFormat="1" applyAlignment="1">
      <alignment/>
    </xf>
    <xf numFmtId="172" fontId="4" fillId="0" borderId="1" xfId="21" applyNumberFormat="1" applyFont="1" applyFill="1" applyBorder="1" applyAlignment="1" applyProtection="1">
      <alignment horizontal="left"/>
      <protection/>
    </xf>
    <xf numFmtId="0" fontId="4" fillId="0" borderId="1" xfId="21" applyFont="1" applyFill="1" applyBorder="1" applyAlignment="1">
      <alignment horizontal="centerContinuous"/>
      <protection/>
    </xf>
    <xf numFmtId="0" fontId="3" fillId="0" borderId="1" xfId="21" applyBorder="1">
      <alignment/>
      <protection/>
    </xf>
    <xf numFmtId="0" fontId="4" fillId="0" borderId="1" xfId="21" applyFont="1" applyFill="1" applyBorder="1" applyAlignment="1">
      <alignment horizontal="center"/>
      <protection/>
    </xf>
    <xf numFmtId="0" fontId="4" fillId="0" borderId="1" xfId="21" applyFont="1" applyFill="1" applyBorder="1" applyAlignment="1" applyProtection="1">
      <alignment horizontal="center"/>
      <protection/>
    </xf>
    <xf numFmtId="0" fontId="0" fillId="0" borderId="1" xfId="21" applyFont="1" applyFill="1" applyBorder="1" applyAlignment="1" applyProtection="1">
      <alignment/>
      <protection/>
    </xf>
    <xf numFmtId="172" fontId="0" fillId="0" borderId="1" xfId="21" applyNumberFormat="1" applyFont="1" applyFill="1" applyBorder="1" applyAlignment="1" applyProtection="1">
      <alignment/>
      <protection/>
    </xf>
    <xf numFmtId="184" fontId="0" fillId="0" borderId="1" xfId="21" applyNumberFormat="1" applyFont="1" applyFill="1" applyBorder="1" applyAlignment="1" applyProtection="1">
      <alignment/>
      <protection/>
    </xf>
    <xf numFmtId="0" fontId="5" fillId="0" borderId="1" xfId="21" applyFont="1" applyBorder="1">
      <alignment/>
      <protection/>
    </xf>
    <xf numFmtId="0" fontId="3" fillId="0" borderId="1" xfId="21" applyFill="1" applyBorder="1" applyAlignment="1" applyProtection="1">
      <alignment/>
      <protection/>
    </xf>
    <xf numFmtId="172" fontId="3" fillId="0" borderId="1" xfId="21" applyNumberFormat="1" applyFill="1" applyBorder="1" applyAlignment="1" applyProtection="1">
      <alignment/>
      <protection/>
    </xf>
    <xf numFmtId="184" fontId="3" fillId="0" borderId="1" xfId="21" applyNumberFormat="1" applyFill="1" applyBorder="1" applyAlignment="1" applyProtection="1">
      <alignment/>
      <protection/>
    </xf>
    <xf numFmtId="0" fontId="3" fillId="0" borderId="1" xfId="21" applyBorder="1" applyAlignment="1" applyProtection="1">
      <alignment horizontal="left"/>
      <protection/>
    </xf>
    <xf numFmtId="0" fontId="3" fillId="0" borderId="1" xfId="21" applyFont="1" applyBorder="1">
      <alignment/>
      <protection/>
    </xf>
    <xf numFmtId="169" fontId="3" fillId="0" borderId="1" xfId="17" applyNumberFormat="1" applyBorder="1" applyAlignment="1">
      <alignment/>
    </xf>
    <xf numFmtId="9" fontId="0" fillId="0" borderId="1" xfId="0" applyNumberFormat="1" applyBorder="1" applyAlignment="1">
      <alignment/>
    </xf>
    <xf numFmtId="0" fontId="8" fillId="0" borderId="0" xfId="0" applyFont="1" applyAlignment="1">
      <alignment/>
    </xf>
    <xf numFmtId="0" fontId="0" fillId="0" borderId="1" xfId="0" applyFont="1" applyBorder="1" applyAlignment="1">
      <alignment horizontal="center" wrapText="1"/>
    </xf>
    <xf numFmtId="0" fontId="0" fillId="0" borderId="1" xfId="0" applyFont="1" applyBorder="1" applyAlignment="1">
      <alignment horizontal="right" wrapText="1"/>
    </xf>
    <xf numFmtId="3" fontId="0" fillId="0" borderId="1" xfId="0" applyNumberFormat="1" applyFont="1" applyBorder="1" applyAlignment="1">
      <alignment horizontal="right" wrapText="1"/>
    </xf>
    <xf numFmtId="171" fontId="0" fillId="0" borderId="1" xfId="15" applyNumberFormat="1" applyBorder="1" applyAlignment="1">
      <alignment/>
    </xf>
    <xf numFmtId="0" fontId="1" fillId="0" borderId="1" xfId="0" applyFont="1" applyBorder="1" applyAlignment="1">
      <alignment/>
    </xf>
    <xf numFmtId="3" fontId="0" fillId="0" borderId="1" xfId="0" applyNumberFormat="1" applyBorder="1" applyAlignment="1">
      <alignment/>
    </xf>
    <xf numFmtId="3" fontId="0" fillId="0" borderId="0" xfId="0" applyNumberFormat="1" applyFont="1" applyBorder="1" applyAlignment="1">
      <alignment/>
    </xf>
    <xf numFmtId="2" fontId="0" fillId="0" borderId="0" xfId="0" applyNumberFormat="1" applyAlignment="1">
      <alignment/>
    </xf>
    <xf numFmtId="173" fontId="0" fillId="0" borderId="0" xfId="0" applyNumberFormat="1" applyAlignment="1">
      <alignment/>
    </xf>
    <xf numFmtId="3" fontId="0" fillId="2" borderId="1" xfId="0" applyNumberFormat="1" applyFill="1" applyBorder="1" applyAlignment="1">
      <alignment horizontal="right" wrapText="1"/>
    </xf>
    <xf numFmtId="0" fontId="1" fillId="2" borderId="1" xfId="0" applyFont="1" applyFill="1" applyBorder="1" applyAlignment="1">
      <alignment horizontal="center" vertical="center" wrapText="1"/>
    </xf>
    <xf numFmtId="0" fontId="0" fillId="2" borderId="1" xfId="0" applyFill="1" applyBorder="1" applyAlignment="1">
      <alignment wrapText="1"/>
    </xf>
    <xf numFmtId="0" fontId="0" fillId="0" borderId="3" xfId="0" applyBorder="1" applyAlignment="1">
      <alignment/>
    </xf>
    <xf numFmtId="0" fontId="1" fillId="0" borderId="4" xfId="0" applyFont="1" applyBorder="1" applyAlignment="1">
      <alignment/>
    </xf>
    <xf numFmtId="0" fontId="1" fillId="0" borderId="3" xfId="0" applyFont="1" applyBorder="1" applyAlignment="1">
      <alignment/>
    </xf>
    <xf numFmtId="0" fontId="0" fillId="0" borderId="4" xfId="0" applyBorder="1" applyAlignment="1">
      <alignment/>
    </xf>
    <xf numFmtId="0" fontId="1" fillId="0" borderId="5" xfId="0" applyFont="1" applyBorder="1" applyAlignment="1">
      <alignment/>
    </xf>
    <xf numFmtId="0" fontId="0" fillId="0" borderId="6" xfId="0" applyBorder="1" applyAlignment="1">
      <alignment/>
    </xf>
    <xf numFmtId="0" fontId="0" fillId="0" borderId="7" xfId="0" applyBorder="1" applyAlignment="1">
      <alignment/>
    </xf>
    <xf numFmtId="0" fontId="1" fillId="0" borderId="1" xfId="0" applyFont="1" applyBorder="1" applyAlignment="1">
      <alignment horizontal="right"/>
    </xf>
    <xf numFmtId="9" fontId="0" fillId="0" borderId="1" xfId="24" applyBorder="1" applyAlignment="1">
      <alignment/>
    </xf>
    <xf numFmtId="164" fontId="0" fillId="0" borderId="1" xfId="0" applyNumberFormat="1" applyBorder="1" applyAlignment="1">
      <alignment/>
    </xf>
    <xf numFmtId="164" fontId="0" fillId="0" borderId="1" xfId="24" applyNumberFormat="1" applyBorder="1" applyAlignment="1">
      <alignment/>
    </xf>
    <xf numFmtId="0" fontId="1" fillId="3" borderId="8" xfId="0" applyFont="1" applyFill="1" applyBorder="1" applyAlignment="1">
      <alignment horizontal="center" vertical="center" wrapText="1"/>
    </xf>
    <xf numFmtId="171" fontId="0" fillId="0" borderId="1" xfId="15" applyNumberFormat="1" applyBorder="1" applyAlignment="1">
      <alignment/>
    </xf>
    <xf numFmtId="9" fontId="0" fillId="0" borderId="1" xfId="24" applyBorder="1" applyAlignment="1">
      <alignment/>
    </xf>
    <xf numFmtId="43" fontId="0" fillId="0" borderId="1" xfId="0" applyNumberFormat="1" applyBorder="1" applyAlignment="1">
      <alignment/>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169" fontId="0" fillId="0" borderId="4" xfId="17" applyNumberFormat="1" applyBorder="1" applyAlignment="1">
      <alignment/>
    </xf>
    <xf numFmtId="0" fontId="0" fillId="0" borderId="12" xfId="0" applyFill="1" applyBorder="1" applyAlignment="1">
      <alignment/>
    </xf>
    <xf numFmtId="164" fontId="0" fillId="0" borderId="13" xfId="24" applyNumberFormat="1" applyFont="1" applyFill="1" applyBorder="1" applyAlignment="1">
      <alignment/>
    </xf>
    <xf numFmtId="0" fontId="0" fillId="0" borderId="14" xfId="0" applyBorder="1" applyAlignment="1">
      <alignment/>
    </xf>
    <xf numFmtId="3" fontId="0" fillId="0" borderId="15" xfId="0" applyNumberFormat="1" applyBorder="1" applyAlignment="1">
      <alignment/>
    </xf>
    <xf numFmtId="9" fontId="0" fillId="0" borderId="15" xfId="24" applyBorder="1" applyAlignment="1">
      <alignment/>
    </xf>
    <xf numFmtId="171" fontId="0" fillId="0" borderId="15" xfId="15" applyNumberFormat="1" applyBorder="1" applyAlignment="1">
      <alignment/>
    </xf>
    <xf numFmtId="43" fontId="0" fillId="0" borderId="15" xfId="0" applyNumberFormat="1" applyBorder="1" applyAlignment="1">
      <alignment/>
    </xf>
    <xf numFmtId="169" fontId="0" fillId="0" borderId="16" xfId="17" applyNumberFormat="1" applyBorder="1" applyAlignment="1">
      <alignment/>
    </xf>
    <xf numFmtId="3" fontId="13" fillId="2" borderId="13" xfId="0" applyNumberFormat="1" applyFont="1" applyFill="1" applyBorder="1" applyAlignment="1">
      <alignment horizontal="right" wrapText="1"/>
    </xf>
    <xf numFmtId="171" fontId="0" fillId="0" borderId="13" xfId="15" applyNumberFormat="1" applyBorder="1" applyAlignment="1">
      <alignment/>
    </xf>
    <xf numFmtId="43" fontId="0" fillId="0" borderId="13" xfId="0" applyNumberFormat="1" applyBorder="1" applyAlignment="1">
      <alignment/>
    </xf>
    <xf numFmtId="169" fontId="0" fillId="0" borderId="17" xfId="17" applyNumberFormat="1" applyBorder="1" applyAlignment="1">
      <alignment/>
    </xf>
    <xf numFmtId="0" fontId="1" fillId="0" borderId="9" xfId="0" applyFont="1" applyBorder="1" applyAlignment="1">
      <alignment/>
    </xf>
    <xf numFmtId="0" fontId="1" fillId="0" borderId="14" xfId="0" applyFont="1" applyBorder="1" applyAlignment="1">
      <alignment/>
    </xf>
    <xf numFmtId="4" fontId="0" fillId="0" borderId="2" xfId="0" applyNumberFormat="1" applyFont="1" applyBorder="1" applyAlignment="1">
      <alignment/>
    </xf>
    <xf numFmtId="171" fontId="0" fillId="0" borderId="2" xfId="15" applyNumberFormat="1" applyFont="1" applyBorder="1" applyAlignment="1">
      <alignment/>
    </xf>
    <xf numFmtId="171" fontId="0" fillId="0" borderId="1" xfId="24" applyNumberFormat="1" applyBorder="1" applyAlignment="1">
      <alignment/>
    </xf>
    <xf numFmtId="0" fontId="1" fillId="0" borderId="1" xfId="0" applyFont="1" applyFill="1" applyBorder="1" applyAlignment="1">
      <alignment/>
    </xf>
    <xf numFmtId="0" fontId="1" fillId="4" borderId="14" xfId="0" applyFont="1" applyFill="1" applyBorder="1" applyAlignment="1">
      <alignment/>
    </xf>
    <xf numFmtId="171" fontId="0" fillId="4" borderId="1" xfId="15" applyNumberFormat="1" applyFill="1" applyBorder="1" applyAlignment="1">
      <alignment/>
    </xf>
    <xf numFmtId="0" fontId="1" fillId="4" borderId="3" xfId="0" applyFont="1" applyFill="1" applyBorder="1" applyAlignment="1">
      <alignment/>
    </xf>
    <xf numFmtId="2" fontId="0" fillId="0" borderId="1" xfId="0" applyNumberFormat="1" applyBorder="1" applyAlignment="1">
      <alignment/>
    </xf>
    <xf numFmtId="171" fontId="0" fillId="0" borderId="2" xfId="15" applyNumberFormat="1" applyBorder="1" applyAlignment="1">
      <alignment/>
    </xf>
    <xf numFmtId="171" fontId="0" fillId="0" borderId="0" xfId="0" applyNumberFormat="1" applyAlignment="1">
      <alignment/>
    </xf>
    <xf numFmtId="171" fontId="0" fillId="4" borderId="1" xfId="0" applyNumberFormat="1" applyFill="1" applyBorder="1" applyAlignment="1">
      <alignment/>
    </xf>
    <xf numFmtId="43" fontId="0" fillId="4" borderId="1" xfId="0" applyNumberFormat="1" applyFill="1" applyBorder="1" applyAlignment="1">
      <alignment/>
    </xf>
    <xf numFmtId="0" fontId="1" fillId="5" borderId="18" xfId="0" applyFont="1" applyFill="1" applyBorder="1" applyAlignment="1">
      <alignment/>
    </xf>
    <xf numFmtId="0" fontId="1" fillId="5" borderId="19" xfId="0" applyFont="1" applyFill="1" applyBorder="1" applyAlignment="1">
      <alignment wrapText="1"/>
    </xf>
    <xf numFmtId="0" fontId="1" fillId="5" borderId="2" xfId="0" applyFont="1" applyFill="1" applyBorder="1" applyAlignment="1">
      <alignment/>
    </xf>
    <xf numFmtId="171" fontId="1" fillId="5" borderId="2" xfId="15" applyNumberFormat="1" applyFont="1" applyFill="1" applyBorder="1" applyAlignment="1">
      <alignment/>
    </xf>
    <xf numFmtId="0" fontId="0" fillId="6" borderId="0" xfId="0" applyFill="1" applyAlignment="1">
      <alignment/>
    </xf>
    <xf numFmtId="0" fontId="1" fillId="4" borderId="1" xfId="0" applyFont="1" applyFill="1" applyBorder="1" applyAlignment="1">
      <alignment/>
    </xf>
    <xf numFmtId="3" fontId="0" fillId="0" borderId="0" xfId="0" applyNumberFormat="1" applyBorder="1" applyAlignment="1">
      <alignment horizontal="right"/>
    </xf>
    <xf numFmtId="0" fontId="2" fillId="7" borderId="20" xfId="22" applyFill="1" applyBorder="1">
      <alignment/>
      <protection/>
    </xf>
    <xf numFmtId="0" fontId="2" fillId="7" borderId="21" xfId="22" applyFill="1" applyBorder="1">
      <alignment/>
      <protection/>
    </xf>
    <xf numFmtId="0" fontId="2" fillId="7" borderId="22" xfId="22" applyFill="1" applyBorder="1">
      <alignment/>
      <protection/>
    </xf>
    <xf numFmtId="0" fontId="2" fillId="7" borderId="23" xfId="22" applyFill="1" applyBorder="1">
      <alignment/>
      <protection/>
    </xf>
    <xf numFmtId="0" fontId="2" fillId="0" borderId="0" xfId="22">
      <alignment/>
      <protection/>
    </xf>
    <xf numFmtId="0" fontId="2" fillId="7" borderId="12" xfId="22" applyFill="1" applyBorder="1" applyAlignment="1">
      <alignment wrapText="1"/>
      <protection/>
    </xf>
    <xf numFmtId="0" fontId="2" fillId="7" borderId="13" xfId="22" applyFill="1" applyBorder="1" applyAlignment="1">
      <alignment wrapText="1"/>
      <protection/>
    </xf>
    <xf numFmtId="0" fontId="2" fillId="7" borderId="17" xfId="22" applyFill="1" applyBorder="1">
      <alignment/>
      <protection/>
    </xf>
    <xf numFmtId="0" fontId="2" fillId="7" borderId="24" xfId="22" applyFill="1" applyBorder="1" applyAlignment="1">
      <alignment wrapText="1"/>
      <protection/>
    </xf>
    <xf numFmtId="0" fontId="2" fillId="7" borderId="25" xfId="22" applyFill="1" applyBorder="1" applyAlignment="1">
      <alignment wrapText="1"/>
      <protection/>
    </xf>
    <xf numFmtId="0" fontId="2" fillId="7" borderId="26" xfId="22" applyFill="1" applyBorder="1">
      <alignment/>
      <protection/>
    </xf>
    <xf numFmtId="0" fontId="10" fillId="0" borderId="27" xfId="22" applyFont="1" applyBorder="1">
      <alignment/>
      <protection/>
    </xf>
    <xf numFmtId="0" fontId="10" fillId="0" borderId="28" xfId="22" applyFont="1" applyBorder="1">
      <alignment/>
      <protection/>
    </xf>
    <xf numFmtId="0" fontId="2" fillId="7" borderId="29" xfId="22" applyFill="1" applyBorder="1">
      <alignment/>
      <protection/>
    </xf>
    <xf numFmtId="171" fontId="2" fillId="0" borderId="2" xfId="15" applyNumberFormat="1" applyBorder="1" applyAlignment="1">
      <alignment/>
    </xf>
    <xf numFmtId="0" fontId="2" fillId="0" borderId="1" xfId="22" applyBorder="1">
      <alignment/>
      <protection/>
    </xf>
    <xf numFmtId="171" fontId="2" fillId="0" borderId="1" xfId="15" applyNumberFormat="1" applyBorder="1" applyAlignment="1">
      <alignment/>
    </xf>
    <xf numFmtId="0" fontId="2" fillId="4" borderId="1" xfId="22" applyFill="1" applyBorder="1">
      <alignment/>
      <protection/>
    </xf>
    <xf numFmtId="171" fontId="2" fillId="4" borderId="1" xfId="15" applyNumberFormat="1" applyFill="1" applyBorder="1" applyAlignment="1">
      <alignment/>
    </xf>
    <xf numFmtId="0" fontId="10" fillId="0" borderId="20" xfId="22" applyFont="1" applyBorder="1">
      <alignment/>
      <protection/>
    </xf>
    <xf numFmtId="0" fontId="2" fillId="0" borderId="30" xfId="22" applyBorder="1">
      <alignment/>
      <protection/>
    </xf>
    <xf numFmtId="9" fontId="2" fillId="0" borderId="30" xfId="24" applyBorder="1" applyAlignment="1">
      <alignment/>
    </xf>
    <xf numFmtId="0" fontId="2" fillId="0" borderId="31" xfId="22" applyBorder="1">
      <alignment/>
      <protection/>
    </xf>
    <xf numFmtId="0" fontId="2" fillId="0" borderId="0" xfId="22" applyBorder="1">
      <alignment/>
      <protection/>
    </xf>
    <xf numFmtId="0" fontId="10" fillId="7" borderId="3" xfId="22" applyFont="1" applyFill="1" applyBorder="1" applyAlignment="1">
      <alignment wrapText="1"/>
      <protection/>
    </xf>
    <xf numFmtId="0" fontId="10" fillId="7" borderId="1" xfId="22" applyFont="1" applyFill="1" applyBorder="1" applyAlignment="1">
      <alignment wrapText="1"/>
      <protection/>
    </xf>
    <xf numFmtId="9" fontId="10" fillId="7" borderId="1" xfId="24" applyFont="1" applyFill="1" applyBorder="1" applyAlignment="1">
      <alignment wrapText="1"/>
    </xf>
    <xf numFmtId="0" fontId="10" fillId="8" borderId="1" xfId="22" applyFont="1" applyFill="1" applyBorder="1" applyAlignment="1">
      <alignment wrapText="1"/>
      <protection/>
    </xf>
    <xf numFmtId="0" fontId="10" fillId="7" borderId="4" xfId="22" applyFont="1" applyFill="1" applyBorder="1" applyAlignment="1">
      <alignment wrapText="1"/>
      <protection/>
    </xf>
    <xf numFmtId="0" fontId="2" fillId="0" borderId="3" xfId="22" applyBorder="1" applyAlignment="1">
      <alignment wrapText="1"/>
      <protection/>
    </xf>
    <xf numFmtId="3" fontId="2" fillId="0" borderId="1" xfId="22" applyNumberFormat="1" applyBorder="1">
      <alignment/>
      <protection/>
    </xf>
    <xf numFmtId="9" fontId="2" fillId="0" borderId="1" xfId="24" applyBorder="1" applyAlignment="1">
      <alignment/>
    </xf>
    <xf numFmtId="0" fontId="2" fillId="8" borderId="1" xfId="22" applyFill="1" applyBorder="1">
      <alignment/>
      <protection/>
    </xf>
    <xf numFmtId="0" fontId="2" fillId="0" borderId="1" xfId="22" applyBorder="1" applyAlignment="1">
      <alignment wrapText="1"/>
      <protection/>
    </xf>
    <xf numFmtId="9" fontId="2" fillId="0" borderId="4" xfId="24" applyBorder="1" applyAlignment="1">
      <alignment/>
    </xf>
    <xf numFmtId="0" fontId="2" fillId="8" borderId="32" xfId="22" applyFill="1" applyBorder="1">
      <alignment/>
      <protection/>
    </xf>
    <xf numFmtId="0" fontId="2" fillId="8" borderId="33" xfId="22" applyFill="1" applyBorder="1">
      <alignment/>
      <protection/>
    </xf>
    <xf numFmtId="0" fontId="2" fillId="8" borderId="0" xfId="22" applyFill="1" applyBorder="1">
      <alignment/>
      <protection/>
    </xf>
    <xf numFmtId="0" fontId="2" fillId="8" borderId="34" xfId="22" applyFill="1" applyBorder="1">
      <alignment/>
      <protection/>
    </xf>
    <xf numFmtId="0" fontId="2" fillId="0" borderId="3" xfId="22" applyBorder="1">
      <alignment/>
      <protection/>
    </xf>
    <xf numFmtId="0" fontId="2" fillId="4" borderId="3" xfId="22" applyFill="1" applyBorder="1">
      <alignment/>
      <protection/>
    </xf>
    <xf numFmtId="3" fontId="2" fillId="4" borderId="1" xfId="22" applyNumberFormat="1" applyFill="1" applyBorder="1">
      <alignment/>
      <protection/>
    </xf>
    <xf numFmtId="9" fontId="2" fillId="4" borderId="1" xfId="24" applyFill="1" applyBorder="1" applyAlignment="1">
      <alignment/>
    </xf>
    <xf numFmtId="9" fontId="2" fillId="4" borderId="4" xfId="24" applyFill="1" applyBorder="1" applyAlignment="1">
      <alignment/>
    </xf>
    <xf numFmtId="0" fontId="2" fillId="8" borderId="3" xfId="22" applyFill="1" applyBorder="1">
      <alignment/>
      <protection/>
    </xf>
    <xf numFmtId="9" fontId="2" fillId="8" borderId="1" xfId="24" applyFill="1" applyBorder="1" applyAlignment="1">
      <alignment/>
    </xf>
    <xf numFmtId="0" fontId="2" fillId="8" borderId="4" xfId="22" applyFill="1" applyBorder="1">
      <alignment/>
      <protection/>
    </xf>
    <xf numFmtId="171" fontId="2" fillId="0" borderId="1" xfId="15" applyNumberFormat="1" applyFill="1" applyBorder="1" applyAlignment="1">
      <alignment/>
    </xf>
    <xf numFmtId="9" fontId="2" fillId="0" borderId="0" xfId="22" applyNumberFormat="1">
      <alignment/>
      <protection/>
    </xf>
    <xf numFmtId="0" fontId="2" fillId="8" borderId="27" xfId="22" applyFill="1" applyBorder="1">
      <alignment/>
      <protection/>
    </xf>
    <xf numFmtId="9" fontId="2" fillId="8" borderId="0" xfId="24" applyFill="1" applyBorder="1" applyAlignment="1">
      <alignment/>
    </xf>
    <xf numFmtId="0" fontId="2" fillId="8" borderId="35" xfId="22" applyFill="1" applyBorder="1">
      <alignment/>
      <protection/>
    </xf>
    <xf numFmtId="0" fontId="2" fillId="4" borderId="5" xfId="22" applyFill="1" applyBorder="1">
      <alignment/>
      <protection/>
    </xf>
    <xf numFmtId="171" fontId="2" fillId="4" borderId="6" xfId="15" applyNumberFormat="1" applyFill="1" applyBorder="1" applyAlignment="1">
      <alignment/>
    </xf>
    <xf numFmtId="9" fontId="2" fillId="0" borderId="0" xfId="24" applyAlignment="1">
      <alignment/>
    </xf>
    <xf numFmtId="0" fontId="2" fillId="0" borderId="32" xfId="22" applyBorder="1" applyAlignment="1">
      <alignment wrapText="1"/>
      <protection/>
    </xf>
    <xf numFmtId="3" fontId="2" fillId="0" borderId="33" xfId="22" applyNumberFormat="1" applyBorder="1">
      <alignment/>
      <protection/>
    </xf>
    <xf numFmtId="9" fontId="2" fillId="0" borderId="33" xfId="24" applyBorder="1" applyAlignment="1">
      <alignment/>
    </xf>
    <xf numFmtId="0" fontId="2" fillId="0" borderId="33" xfId="22" applyBorder="1">
      <alignment/>
      <protection/>
    </xf>
    <xf numFmtId="0" fontId="2" fillId="0" borderId="33" xfId="22" applyBorder="1" applyAlignment="1">
      <alignment wrapText="1"/>
      <protection/>
    </xf>
    <xf numFmtId="171" fontId="2" fillId="0" borderId="33" xfId="22" applyNumberFormat="1" applyBorder="1">
      <alignment/>
      <protection/>
    </xf>
    <xf numFmtId="9" fontId="2" fillId="0" borderId="34" xfId="24" applyBorder="1" applyAlignment="1">
      <alignment/>
    </xf>
    <xf numFmtId="0" fontId="2" fillId="0" borderId="3" xfId="22" applyFill="1" applyBorder="1">
      <alignment/>
      <protection/>
    </xf>
    <xf numFmtId="0" fontId="2" fillId="0" borderId="1" xfId="22" applyFill="1" applyBorder="1">
      <alignment/>
      <protection/>
    </xf>
    <xf numFmtId="3" fontId="2" fillId="0" borderId="1" xfId="22" applyNumberFormat="1" applyFill="1" applyBorder="1">
      <alignment/>
      <protection/>
    </xf>
    <xf numFmtId="9" fontId="2" fillId="0" borderId="1" xfId="24" applyFill="1" applyBorder="1" applyAlignment="1">
      <alignment/>
    </xf>
    <xf numFmtId="9" fontId="2" fillId="0" borderId="4" xfId="24" applyFill="1" applyBorder="1" applyAlignment="1">
      <alignment/>
    </xf>
    <xf numFmtId="0" fontId="2" fillId="0" borderId="32" xfId="22" applyFont="1" applyBorder="1" applyAlignment="1">
      <alignment wrapText="1"/>
      <protection/>
    </xf>
    <xf numFmtId="0" fontId="10" fillId="0" borderId="36" xfId="22" applyFont="1" applyBorder="1">
      <alignment/>
      <protection/>
    </xf>
    <xf numFmtId="171" fontId="2" fillId="0" borderId="14" xfId="22" applyNumberFormat="1" applyBorder="1">
      <alignment/>
      <protection/>
    </xf>
    <xf numFmtId="171" fontId="2" fillId="0" borderId="15" xfId="22" applyNumberFormat="1" applyBorder="1">
      <alignment/>
      <protection/>
    </xf>
    <xf numFmtId="171" fontId="2" fillId="0" borderId="16" xfId="22" applyNumberFormat="1" applyBorder="1">
      <alignment/>
      <protection/>
    </xf>
    <xf numFmtId="171" fontId="2" fillId="0" borderId="9" xfId="22" applyNumberFormat="1" applyBorder="1">
      <alignment/>
      <protection/>
    </xf>
    <xf numFmtId="171" fontId="2" fillId="0" borderId="10" xfId="22" applyNumberFormat="1" applyBorder="1">
      <alignment/>
      <protection/>
    </xf>
    <xf numFmtId="171" fontId="2" fillId="0" borderId="11" xfId="22" applyNumberFormat="1" applyBorder="1">
      <alignment/>
      <protection/>
    </xf>
    <xf numFmtId="171" fontId="2" fillId="0" borderId="37" xfId="22" applyNumberFormat="1" applyBorder="1">
      <alignment/>
      <protection/>
    </xf>
    <xf numFmtId="9" fontId="2" fillId="0" borderId="6" xfId="24" applyBorder="1" applyAlignment="1">
      <alignment/>
    </xf>
    <xf numFmtId="9" fontId="2" fillId="0" borderId="7" xfId="24" applyBorder="1" applyAlignment="1">
      <alignment/>
    </xf>
    <xf numFmtId="0" fontId="2" fillId="0" borderId="3" xfId="22" applyFont="1" applyFill="1" applyBorder="1">
      <alignment/>
      <protection/>
    </xf>
    <xf numFmtId="0" fontId="2" fillId="7" borderId="21" xfId="22" applyFont="1" applyFill="1" applyBorder="1">
      <alignment/>
      <protection/>
    </xf>
    <xf numFmtId="0" fontId="0" fillId="0" borderId="38" xfId="0" applyBorder="1" applyAlignment="1">
      <alignment/>
    </xf>
    <xf numFmtId="0" fontId="10" fillId="4" borderId="20" xfId="22" applyFont="1" applyFill="1" applyBorder="1">
      <alignment/>
      <protection/>
    </xf>
    <xf numFmtId="171" fontId="2" fillId="4" borderId="9" xfId="22" applyNumberFormat="1" applyFill="1" applyBorder="1">
      <alignment/>
      <protection/>
    </xf>
    <xf numFmtId="0" fontId="10" fillId="4" borderId="29" xfId="22" applyFont="1" applyFill="1" applyBorder="1">
      <alignment/>
      <protection/>
    </xf>
    <xf numFmtId="9" fontId="2" fillId="0" borderId="2" xfId="24" applyBorder="1" applyAlignment="1">
      <alignment/>
    </xf>
    <xf numFmtId="9" fontId="2" fillId="0" borderId="39" xfId="24" applyBorder="1" applyAlignment="1">
      <alignment/>
    </xf>
    <xf numFmtId="9" fontId="2" fillId="4" borderId="29" xfId="24" applyFill="1" applyBorder="1" applyAlignment="1">
      <alignment/>
    </xf>
    <xf numFmtId="10" fontId="0" fillId="0" borderId="1" xfId="24" applyNumberFormat="1" applyBorder="1" applyAlignment="1">
      <alignment/>
    </xf>
    <xf numFmtId="171" fontId="2" fillId="0" borderId="9" xfId="15" applyNumberFormat="1" applyBorder="1" applyAlignment="1">
      <alignment/>
    </xf>
    <xf numFmtId="171" fontId="2" fillId="0" borderId="10" xfId="15" applyNumberFormat="1" applyBorder="1" applyAlignment="1">
      <alignment/>
    </xf>
    <xf numFmtId="171" fontId="2" fillId="0" borderId="11" xfId="15" applyNumberFormat="1" applyBorder="1" applyAlignment="1">
      <alignment/>
    </xf>
    <xf numFmtId="171" fontId="2" fillId="0" borderId="4" xfId="15" applyNumberFormat="1" applyBorder="1" applyAlignment="1">
      <alignment/>
    </xf>
    <xf numFmtId="171" fontId="2" fillId="4" borderId="3" xfId="15" applyNumberFormat="1" applyFill="1" applyBorder="1" applyAlignment="1">
      <alignment/>
    </xf>
    <xf numFmtId="171" fontId="2" fillId="4" borderId="4" xfId="15" applyNumberFormat="1" applyFill="1" applyBorder="1" applyAlignment="1">
      <alignment/>
    </xf>
    <xf numFmtId="171" fontId="2" fillId="4" borderId="5" xfId="15" applyNumberFormat="1" applyFill="1" applyBorder="1" applyAlignment="1">
      <alignment/>
    </xf>
    <xf numFmtId="171" fontId="2" fillId="4" borderId="7" xfId="15" applyNumberFormat="1" applyFill="1" applyBorder="1" applyAlignment="1">
      <alignment/>
    </xf>
    <xf numFmtId="0" fontId="0" fillId="0" borderId="0" xfId="0" applyFill="1" applyBorder="1" applyAlignment="1">
      <alignment wrapText="1"/>
    </xf>
    <xf numFmtId="0" fontId="0" fillId="0" borderId="40" xfId="0" applyBorder="1" applyAlignment="1">
      <alignment wrapText="1"/>
    </xf>
    <xf numFmtId="0" fontId="0" fillId="0" borderId="0" xfId="0" applyBorder="1" applyAlignment="1">
      <alignment/>
    </xf>
    <xf numFmtId="171" fontId="0" fillId="0" borderId="0" xfId="0" applyNumberFormat="1" applyBorder="1" applyAlignment="1">
      <alignment/>
    </xf>
    <xf numFmtId="171" fontId="1" fillId="5" borderId="41" xfId="15" applyNumberFormat="1" applyFont="1" applyFill="1" applyBorder="1" applyAlignment="1">
      <alignment/>
    </xf>
    <xf numFmtId="171" fontId="1" fillId="5" borderId="42" xfId="15" applyNumberFormat="1" applyFont="1" applyFill="1" applyBorder="1" applyAlignment="1">
      <alignment/>
    </xf>
    <xf numFmtId="9" fontId="1" fillId="0" borderId="1" xfId="24" applyFont="1" applyFill="1" applyBorder="1" applyAlignment="1">
      <alignment/>
    </xf>
    <xf numFmtId="171" fontId="0" fillId="0" borderId="1" xfId="0" applyNumberFormat="1" applyFill="1" applyBorder="1" applyAlignment="1">
      <alignment/>
    </xf>
    <xf numFmtId="171" fontId="1" fillId="0" borderId="1" xfId="15" applyNumberFormat="1" applyFont="1" applyFill="1" applyBorder="1" applyAlignment="1">
      <alignment/>
    </xf>
    <xf numFmtId="0" fontId="0" fillId="0" borderId="1" xfId="0" applyFill="1" applyBorder="1" applyAlignment="1">
      <alignment/>
    </xf>
    <xf numFmtId="0" fontId="0" fillId="4" borderId="1" xfId="0" applyFill="1" applyBorder="1" applyAlignment="1">
      <alignment wrapText="1"/>
    </xf>
    <xf numFmtId="0" fontId="0" fillId="0" borderId="42" xfId="0" applyFill="1" applyBorder="1" applyAlignment="1">
      <alignment/>
    </xf>
    <xf numFmtId="9" fontId="0" fillId="0" borderId="4" xfId="24" applyBorder="1" applyAlignment="1">
      <alignment/>
    </xf>
    <xf numFmtId="0" fontId="0" fillId="0" borderId="3" xfId="0" applyFont="1" applyBorder="1" applyAlignment="1">
      <alignment/>
    </xf>
    <xf numFmtId="0" fontId="0" fillId="0" borderId="5" xfId="0" applyFont="1" applyBorder="1" applyAlignment="1">
      <alignment/>
    </xf>
    <xf numFmtId="9" fontId="0" fillId="0" borderId="6" xfId="24" applyBorder="1" applyAlignment="1">
      <alignment/>
    </xf>
    <xf numFmtId="9" fontId="0" fillId="0" borderId="7" xfId="24" applyBorder="1" applyAlignment="1">
      <alignment/>
    </xf>
    <xf numFmtId="171" fontId="2" fillId="4" borderId="21" xfId="22" applyNumberFormat="1" applyFill="1" applyBorder="1">
      <alignment/>
      <protection/>
    </xf>
    <xf numFmtId="0" fontId="2" fillId="7" borderId="41" xfId="22" applyFill="1" applyBorder="1" applyAlignment="1">
      <alignment wrapText="1"/>
      <protection/>
    </xf>
    <xf numFmtId="0" fontId="2" fillId="7" borderId="42" xfId="22" applyFill="1" applyBorder="1" applyAlignment="1">
      <alignment wrapText="1"/>
      <protection/>
    </xf>
    <xf numFmtId="0" fontId="2" fillId="7" borderId="43" xfId="22" applyFill="1" applyBorder="1">
      <alignment/>
      <protection/>
    </xf>
    <xf numFmtId="9" fontId="2" fillId="0" borderId="5" xfId="24" applyBorder="1" applyAlignment="1">
      <alignment/>
    </xf>
    <xf numFmtId="9" fontId="2" fillId="0" borderId="44" xfId="24" applyBorder="1" applyAlignment="1">
      <alignment/>
    </xf>
    <xf numFmtId="9" fontId="2" fillId="4" borderId="12" xfId="24" applyFill="1" applyBorder="1" applyAlignment="1">
      <alignment/>
    </xf>
    <xf numFmtId="9" fontId="2" fillId="4" borderId="13" xfId="24" applyFill="1" applyBorder="1" applyAlignment="1">
      <alignment/>
    </xf>
    <xf numFmtId="9" fontId="2" fillId="4" borderId="17" xfId="24" applyFill="1" applyBorder="1" applyAlignment="1">
      <alignment/>
    </xf>
    <xf numFmtId="9" fontId="1" fillId="0" borderId="1" xfId="24" applyFont="1" applyBorder="1" applyAlignment="1">
      <alignment/>
    </xf>
    <xf numFmtId="0" fontId="0" fillId="0" borderId="0" xfId="0" applyFill="1" applyBorder="1" applyAlignment="1">
      <alignment/>
    </xf>
    <xf numFmtId="0" fontId="0" fillId="4" borderId="1" xfId="0" applyFill="1" applyBorder="1" applyAlignment="1">
      <alignment/>
    </xf>
    <xf numFmtId="171" fontId="0" fillId="4" borderId="1" xfId="15" applyNumberFormat="1" applyFill="1" applyBorder="1" applyAlignment="1">
      <alignment wrapText="1"/>
    </xf>
    <xf numFmtId="171" fontId="0" fillId="4" borderId="10" xfId="15" applyNumberFormat="1" applyFill="1" applyBorder="1" applyAlignment="1">
      <alignment wrapText="1"/>
    </xf>
    <xf numFmtId="0" fontId="0" fillId="0" borderId="5" xfId="0" applyBorder="1" applyAlignment="1">
      <alignment/>
    </xf>
    <xf numFmtId="171" fontId="0" fillId="0" borderId="6" xfId="15" applyNumberFormat="1" applyBorder="1" applyAlignment="1">
      <alignment/>
    </xf>
    <xf numFmtId="0" fontId="0" fillId="0" borderId="42" xfId="0" applyBorder="1" applyAlignment="1">
      <alignment/>
    </xf>
    <xf numFmtId="171" fontId="0" fillId="0" borderId="42" xfId="15" applyNumberFormat="1" applyBorder="1" applyAlignment="1">
      <alignment/>
    </xf>
    <xf numFmtId="0" fontId="0" fillId="0" borderId="15" xfId="0" applyBorder="1" applyAlignment="1">
      <alignment/>
    </xf>
    <xf numFmtId="164" fontId="0" fillId="4" borderId="10" xfId="0" applyNumberFormat="1" applyFill="1" applyBorder="1" applyAlignment="1">
      <alignment wrapText="1"/>
    </xf>
    <xf numFmtId="164" fontId="0" fillId="0" borderId="6" xfId="0" applyNumberFormat="1" applyBorder="1" applyAlignment="1">
      <alignment/>
    </xf>
    <xf numFmtId="164" fontId="0" fillId="0" borderId="42" xfId="0" applyNumberFormat="1" applyBorder="1" applyAlignment="1">
      <alignment/>
    </xf>
    <xf numFmtId="164" fontId="0" fillId="0" borderId="15" xfId="0" applyNumberFormat="1" applyBorder="1" applyAlignment="1">
      <alignment/>
    </xf>
    <xf numFmtId="164" fontId="0" fillId="4" borderId="1" xfId="0" applyNumberFormat="1" applyFill="1" applyBorder="1" applyAlignment="1">
      <alignment wrapText="1"/>
    </xf>
    <xf numFmtId="164" fontId="0" fillId="4" borderId="11" xfId="0" applyNumberFormat="1" applyFill="1" applyBorder="1" applyAlignment="1">
      <alignment wrapText="1"/>
    </xf>
    <xf numFmtId="164" fontId="0" fillId="0" borderId="4" xfId="0" applyNumberFormat="1" applyBorder="1" applyAlignment="1">
      <alignment/>
    </xf>
    <xf numFmtId="164" fontId="0" fillId="0" borderId="7" xfId="0" applyNumberFormat="1" applyBorder="1" applyAlignment="1">
      <alignment/>
    </xf>
    <xf numFmtId="0" fontId="0" fillId="7" borderId="12" xfId="0" applyFill="1" applyBorder="1" applyAlignment="1">
      <alignment/>
    </xf>
    <xf numFmtId="9" fontId="0" fillId="7" borderId="13" xfId="24" applyFill="1" applyBorder="1" applyAlignment="1">
      <alignment/>
    </xf>
    <xf numFmtId="9" fontId="0" fillId="7" borderId="17" xfId="24" applyFill="1" applyBorder="1" applyAlignment="1">
      <alignment/>
    </xf>
    <xf numFmtId="0" fontId="0" fillId="0" borderId="44" xfId="0" applyBorder="1" applyAlignment="1">
      <alignment/>
    </xf>
    <xf numFmtId="171" fontId="0" fillId="0" borderId="39" xfId="15" applyNumberFormat="1" applyFill="1" applyBorder="1" applyAlignment="1">
      <alignment/>
    </xf>
    <xf numFmtId="0" fontId="1" fillId="4" borderId="12" xfId="0" applyFont="1" applyFill="1" applyBorder="1" applyAlignment="1">
      <alignment/>
    </xf>
    <xf numFmtId="0" fontId="1" fillId="4" borderId="13" xfId="0" applyFont="1" applyFill="1" applyBorder="1" applyAlignment="1">
      <alignment/>
    </xf>
    <xf numFmtId="0" fontId="1" fillId="4" borderId="17" xfId="0" applyFont="1" applyFill="1" applyBorder="1" applyAlignment="1">
      <alignment/>
    </xf>
    <xf numFmtId="9" fontId="0" fillId="0" borderId="16" xfId="24" applyBorder="1" applyAlignment="1">
      <alignment/>
    </xf>
    <xf numFmtId="0" fontId="0" fillId="0" borderId="44" xfId="0" applyFont="1" applyBorder="1" applyAlignment="1">
      <alignment/>
    </xf>
    <xf numFmtId="9" fontId="0" fillId="0" borderId="2" xfId="24" applyBorder="1" applyAlignment="1">
      <alignment/>
    </xf>
    <xf numFmtId="9" fontId="0" fillId="0" borderId="39" xfId="24" applyBorder="1" applyAlignment="1">
      <alignment/>
    </xf>
    <xf numFmtId="9" fontId="0" fillId="0" borderId="1" xfId="24" applyFont="1" applyFill="1" applyBorder="1" applyAlignment="1">
      <alignment/>
    </xf>
    <xf numFmtId="0" fontId="1" fillId="7" borderId="9" xfId="0" applyFont="1" applyFill="1" applyBorder="1" applyAlignment="1">
      <alignment/>
    </xf>
    <xf numFmtId="0" fontId="1" fillId="7" borderId="10" xfId="0" applyFont="1" applyFill="1" applyBorder="1" applyAlignment="1">
      <alignment/>
    </xf>
    <xf numFmtId="0" fontId="1" fillId="7" borderId="11" xfId="0" applyFont="1" applyFill="1" applyBorder="1" applyAlignment="1">
      <alignment/>
    </xf>
    <xf numFmtId="171" fontId="0" fillId="0" borderId="3" xfId="0" applyNumberFormat="1" applyBorder="1" applyAlignment="1">
      <alignment/>
    </xf>
    <xf numFmtId="171" fontId="0" fillId="0" borderId="4" xfId="15" applyNumberFormat="1" applyBorder="1" applyAlignment="1">
      <alignment/>
    </xf>
    <xf numFmtId="171" fontId="0" fillId="0" borderId="5" xfId="0" applyNumberFormat="1" applyBorder="1" applyAlignment="1">
      <alignment/>
    </xf>
    <xf numFmtId="171" fontId="0" fillId="0" borderId="6" xfId="0" applyNumberFormat="1" applyBorder="1" applyAlignment="1">
      <alignment/>
    </xf>
    <xf numFmtId="9" fontId="0" fillId="0" borderId="6" xfId="24" applyFont="1" applyFill="1" applyBorder="1" applyAlignment="1">
      <alignment/>
    </xf>
    <xf numFmtId="171" fontId="0" fillId="0" borderId="7" xfId="15" applyNumberFormat="1" applyBorder="1" applyAlignment="1">
      <alignment/>
    </xf>
    <xf numFmtId="171" fontId="0" fillId="0" borderId="0" xfId="15" applyNumberFormat="1" applyBorder="1" applyAlignment="1">
      <alignment/>
    </xf>
    <xf numFmtId="171" fontId="2" fillId="0" borderId="0" xfId="22" applyNumberFormat="1">
      <alignment/>
      <protection/>
    </xf>
    <xf numFmtId="171" fontId="0" fillId="8" borderId="1" xfId="0" applyNumberFormat="1" applyFill="1" applyBorder="1" applyAlignment="1">
      <alignment/>
    </xf>
    <xf numFmtId="9" fontId="0" fillId="0" borderId="0" xfId="24" applyBorder="1" applyAlignment="1">
      <alignment/>
    </xf>
    <xf numFmtId="0" fontId="0" fillId="0" borderId="1" xfId="0" applyFont="1" applyBorder="1" applyAlignment="1">
      <alignment wrapText="1"/>
    </xf>
    <xf numFmtId="0" fontId="0" fillId="0" borderId="0" xfId="0" applyFont="1" applyAlignment="1">
      <alignment wrapText="1"/>
    </xf>
    <xf numFmtId="0" fontId="0" fillId="0" borderId="0" xfId="0" applyFont="1" applyBorder="1" applyAlignment="1">
      <alignment wrapText="1"/>
    </xf>
    <xf numFmtId="0" fontId="1" fillId="0" borderId="1" xfId="0" applyFont="1" applyBorder="1" applyAlignment="1">
      <alignment horizontal="left" wrapText="1" indent="1"/>
    </xf>
    <xf numFmtId="3" fontId="1" fillId="0" borderId="1" xfId="0" applyNumberFormat="1" applyFont="1" applyBorder="1" applyAlignment="1">
      <alignment horizontal="right" wrapText="1"/>
    </xf>
    <xf numFmtId="0" fontId="0" fillId="0" borderId="0" xfId="0" applyFont="1" applyBorder="1" applyAlignment="1">
      <alignment/>
    </xf>
    <xf numFmtId="0" fontId="1" fillId="0" borderId="1" xfId="0" applyFont="1" applyBorder="1" applyAlignment="1">
      <alignment wrapText="1"/>
    </xf>
    <xf numFmtId="9" fontId="0" fillId="0" borderId="0" xfId="24" applyFont="1" applyAlignment="1">
      <alignment/>
    </xf>
    <xf numFmtId="3" fontId="1" fillId="0" borderId="1" xfId="0" applyNumberFormat="1" applyFont="1" applyBorder="1" applyAlignment="1">
      <alignment wrapText="1"/>
    </xf>
    <xf numFmtId="0" fontId="0" fillId="0" borderId="1" xfId="0" applyFont="1" applyBorder="1" applyAlignment="1">
      <alignment horizontal="left" wrapText="1" indent="1"/>
    </xf>
    <xf numFmtId="9" fontId="1" fillId="0" borderId="1" xfId="24" applyNumberFormat="1" applyFont="1" applyBorder="1" applyAlignment="1">
      <alignment/>
    </xf>
    <xf numFmtId="3" fontId="1" fillId="0" borderId="1" xfId="0" applyNumberFormat="1" applyFont="1" applyBorder="1" applyAlignment="1">
      <alignment/>
    </xf>
    <xf numFmtId="171" fontId="1" fillId="8" borderId="1" xfId="0" applyNumberFormat="1" applyFont="1" applyFill="1" applyBorder="1" applyAlignment="1">
      <alignment/>
    </xf>
    <xf numFmtId="9" fontId="1" fillId="8" borderId="1" xfId="24" applyFont="1" applyFill="1" applyBorder="1" applyAlignment="1">
      <alignment/>
    </xf>
    <xf numFmtId="9" fontId="0" fillId="8" borderId="1" xfId="24" applyFont="1" applyFill="1" applyBorder="1" applyAlignment="1">
      <alignment/>
    </xf>
    <xf numFmtId="171" fontId="0" fillId="0" borderId="1" xfId="15" applyNumberFormat="1" applyFill="1" applyBorder="1" applyAlignment="1">
      <alignment/>
    </xf>
    <xf numFmtId="0" fontId="0" fillId="0" borderId="0" xfId="0" applyFont="1" applyAlignment="1">
      <alignment horizontal="left" wrapText="1"/>
    </xf>
    <xf numFmtId="9" fontId="0" fillId="0" borderId="0" xfId="24" applyFont="1" applyAlignment="1">
      <alignment/>
    </xf>
    <xf numFmtId="0" fontId="2" fillId="0" borderId="27" xfId="22" applyFill="1" applyBorder="1">
      <alignment/>
      <protection/>
    </xf>
    <xf numFmtId="0" fontId="2" fillId="0" borderId="0" xfId="22" applyFill="1" applyBorder="1">
      <alignment/>
      <protection/>
    </xf>
    <xf numFmtId="3" fontId="2" fillId="0" borderId="0" xfId="22" applyNumberFormat="1" applyFill="1" applyBorder="1">
      <alignment/>
      <protection/>
    </xf>
    <xf numFmtId="9" fontId="2" fillId="0" borderId="0" xfId="24" applyFill="1" applyBorder="1" applyAlignment="1">
      <alignment/>
    </xf>
    <xf numFmtId="171" fontId="2" fillId="0" borderId="0" xfId="15" applyNumberFormat="1" applyFill="1" applyBorder="1" applyAlignment="1">
      <alignment/>
    </xf>
    <xf numFmtId="9" fontId="2" fillId="0" borderId="35" xfId="24" applyFill="1" applyBorder="1" applyAlignment="1">
      <alignment/>
    </xf>
    <xf numFmtId="0" fontId="10" fillId="8" borderId="20" xfId="22" applyFont="1" applyFill="1" applyBorder="1">
      <alignment/>
      <protection/>
    </xf>
    <xf numFmtId="171" fontId="10" fillId="8" borderId="18" xfId="22" applyNumberFormat="1" applyFont="1" applyFill="1" applyBorder="1" applyAlignment="1">
      <alignment wrapText="1"/>
      <protection/>
    </xf>
    <xf numFmtId="171" fontId="10" fillId="8" borderId="42" xfId="22" applyNumberFormat="1" applyFont="1" applyFill="1" applyBorder="1" applyAlignment="1">
      <alignment wrapText="1"/>
      <protection/>
    </xf>
    <xf numFmtId="171" fontId="2" fillId="4" borderId="45" xfId="15" applyNumberFormat="1" applyFill="1" applyBorder="1" applyAlignment="1">
      <alignment/>
    </xf>
    <xf numFmtId="171" fontId="2" fillId="0" borderId="39" xfId="15" applyNumberFormat="1" applyBorder="1" applyAlignment="1">
      <alignment/>
    </xf>
    <xf numFmtId="171" fontId="2" fillId="0" borderId="3" xfId="15" applyNumberFormat="1" applyBorder="1" applyAlignment="1">
      <alignment/>
    </xf>
    <xf numFmtId="171" fontId="2" fillId="0" borderId="46" xfId="15" applyNumberFormat="1" applyBorder="1" applyAlignment="1">
      <alignment/>
    </xf>
    <xf numFmtId="171" fontId="2" fillId="0" borderId="40" xfId="15" applyNumberFormat="1" applyBorder="1" applyAlignment="1">
      <alignment/>
    </xf>
    <xf numFmtId="171" fontId="2" fillId="4" borderId="40" xfId="15" applyNumberFormat="1" applyFill="1" applyBorder="1" applyAlignment="1">
      <alignment/>
    </xf>
    <xf numFmtId="0" fontId="10" fillId="0" borderId="47" xfId="22" applyFont="1" applyBorder="1">
      <alignment/>
      <protection/>
    </xf>
    <xf numFmtId="0" fontId="10" fillId="0" borderId="48" xfId="22" applyFont="1" applyBorder="1">
      <alignment/>
      <protection/>
    </xf>
    <xf numFmtId="0" fontId="10" fillId="0" borderId="49" xfId="22" applyFont="1" applyBorder="1">
      <alignment/>
      <protection/>
    </xf>
    <xf numFmtId="9" fontId="0" fillId="0" borderId="0" xfId="24" applyNumberFormat="1" applyAlignment="1">
      <alignment/>
    </xf>
    <xf numFmtId="171" fontId="1" fillId="0" borderId="0" xfId="15" applyNumberFormat="1" applyFont="1" applyAlignment="1">
      <alignment/>
    </xf>
    <xf numFmtId="43" fontId="1" fillId="0" borderId="1" xfId="0" applyNumberFormat="1" applyFont="1" applyBorder="1" applyAlignment="1">
      <alignment wrapText="1"/>
    </xf>
    <xf numFmtId="2" fontId="0" fillId="4" borderId="1" xfId="0" applyNumberFormat="1" applyFill="1" applyBorder="1" applyAlignment="1">
      <alignment/>
    </xf>
    <xf numFmtId="171" fontId="2" fillId="4" borderId="50" xfId="15" applyNumberFormat="1" applyFill="1" applyBorder="1" applyAlignment="1">
      <alignment/>
    </xf>
    <xf numFmtId="0" fontId="2" fillId="0" borderId="9" xfId="22" applyBorder="1">
      <alignment/>
      <protection/>
    </xf>
    <xf numFmtId="10" fontId="0" fillId="0" borderId="0" xfId="24" applyNumberFormat="1" applyAlignment="1">
      <alignment/>
    </xf>
    <xf numFmtId="0" fontId="2" fillId="0" borderId="0" xfId="22" applyFont="1">
      <alignment/>
      <protection/>
    </xf>
    <xf numFmtId="171" fontId="2" fillId="0" borderId="0" xfId="15" applyNumberFormat="1" applyAlignment="1">
      <alignment/>
    </xf>
    <xf numFmtId="0" fontId="2" fillId="7" borderId="18" xfId="22" applyFill="1" applyBorder="1" applyAlignment="1">
      <alignment wrapText="1"/>
      <protection/>
    </xf>
    <xf numFmtId="0" fontId="2" fillId="7" borderId="19" xfId="22" applyFill="1" applyBorder="1" applyAlignment="1">
      <alignment wrapText="1"/>
      <protection/>
    </xf>
    <xf numFmtId="171" fontId="10" fillId="8" borderId="51" xfId="22" applyNumberFormat="1" applyFont="1" applyFill="1" applyBorder="1">
      <alignment/>
      <protection/>
    </xf>
    <xf numFmtId="171" fontId="2" fillId="0" borderId="52" xfId="22" applyNumberFormat="1" applyBorder="1">
      <alignment/>
      <protection/>
    </xf>
    <xf numFmtId="171" fontId="2" fillId="0" borderId="53" xfId="22" applyNumberFormat="1" applyBorder="1">
      <alignment/>
      <protection/>
    </xf>
    <xf numFmtId="9" fontId="2" fillId="0" borderId="38" xfId="24" applyBorder="1" applyAlignment="1">
      <alignment/>
    </xf>
    <xf numFmtId="9" fontId="2" fillId="0" borderId="54" xfId="24" applyBorder="1" applyAlignment="1">
      <alignment/>
    </xf>
    <xf numFmtId="0" fontId="2" fillId="0" borderId="1" xfId="22" applyFont="1" applyBorder="1">
      <alignment/>
      <protection/>
    </xf>
    <xf numFmtId="171" fontId="2" fillId="0" borderId="1" xfId="22" applyNumberFormat="1" applyBorder="1">
      <alignment/>
      <protection/>
    </xf>
    <xf numFmtId="10" fontId="2" fillId="0" borderId="1" xfId="24" applyNumberFormat="1" applyBorder="1" applyAlignment="1">
      <alignment/>
    </xf>
    <xf numFmtId="0" fontId="2" fillId="7" borderId="19" xfId="22" applyFont="1" applyFill="1" applyBorder="1" applyAlignment="1">
      <alignment wrapText="1"/>
      <protection/>
    </xf>
    <xf numFmtId="171" fontId="2" fillId="4" borderId="0" xfId="15" applyNumberFormat="1" applyFill="1" applyAlignment="1">
      <alignment/>
    </xf>
    <xf numFmtId="0" fontId="2" fillId="4" borderId="0" xfId="22" applyFill="1">
      <alignment/>
      <protection/>
    </xf>
    <xf numFmtId="1" fontId="2" fillId="0" borderId="0" xfId="22" applyNumberFormat="1">
      <alignment/>
      <protection/>
    </xf>
    <xf numFmtId="0" fontId="0" fillId="0" borderId="0" xfId="0" applyAlignment="1">
      <alignment horizontal="right"/>
    </xf>
    <xf numFmtId="0" fontId="0" fillId="0" borderId="55" xfId="0" applyBorder="1" applyAlignment="1">
      <alignment/>
    </xf>
    <xf numFmtId="171" fontId="0" fillId="0" borderId="4" xfId="0" applyNumberFormat="1" applyBorder="1" applyAlignment="1">
      <alignment/>
    </xf>
    <xf numFmtId="0" fontId="0" fillId="0" borderId="27" xfId="0" applyBorder="1" applyAlignment="1">
      <alignment/>
    </xf>
    <xf numFmtId="0" fontId="0" fillId="0" borderId="35" xfId="0" applyBorder="1" applyAlignment="1">
      <alignment/>
    </xf>
    <xf numFmtId="9" fontId="0" fillId="0" borderId="6" xfId="0" applyNumberFormat="1" applyBorder="1" applyAlignment="1">
      <alignment/>
    </xf>
    <xf numFmtId="10" fontId="0" fillId="0" borderId="6" xfId="24" applyNumberFormat="1" applyBorder="1" applyAlignment="1">
      <alignment/>
    </xf>
    <xf numFmtId="0" fontId="0" fillId="0" borderId="56" xfId="0" applyBorder="1" applyAlignment="1">
      <alignment/>
    </xf>
    <xf numFmtId="0" fontId="0" fillId="0" borderId="57" xfId="0" applyBorder="1" applyAlignment="1">
      <alignment/>
    </xf>
    <xf numFmtId="0" fontId="0" fillId="0" borderId="41" xfId="0" applyFill="1" applyBorder="1" applyAlignment="1">
      <alignment wrapText="1"/>
    </xf>
    <xf numFmtId="9" fontId="0" fillId="0" borderId="40" xfId="24" applyBorder="1" applyAlignment="1">
      <alignment/>
    </xf>
    <xf numFmtId="171" fontId="0" fillId="0" borderId="40" xfId="0" applyNumberFormat="1" applyBorder="1" applyAlignment="1">
      <alignment/>
    </xf>
    <xf numFmtId="0" fontId="0" fillId="0" borderId="58" xfId="0" applyFill="1" applyBorder="1" applyAlignment="1">
      <alignment/>
    </xf>
    <xf numFmtId="171" fontId="0" fillId="0" borderId="2" xfId="0" applyNumberFormat="1" applyBorder="1" applyAlignment="1">
      <alignment/>
    </xf>
    <xf numFmtId="9" fontId="0" fillId="0" borderId="2" xfId="24" applyFont="1" applyBorder="1" applyAlignment="1">
      <alignment/>
    </xf>
    <xf numFmtId="171" fontId="0" fillId="0" borderId="39" xfId="0" applyNumberFormat="1" applyBorder="1" applyAlignment="1">
      <alignment/>
    </xf>
    <xf numFmtId="0" fontId="0" fillId="4" borderId="12" xfId="0" applyFill="1" applyBorder="1" applyAlignment="1">
      <alignment wrapText="1"/>
    </xf>
    <xf numFmtId="0" fontId="0" fillId="4" borderId="13" xfId="0" applyFill="1" applyBorder="1" applyAlignment="1">
      <alignment wrapText="1"/>
    </xf>
    <xf numFmtId="0" fontId="0" fillId="9" borderId="17" xfId="0" applyFill="1" applyBorder="1" applyAlignment="1">
      <alignment wrapText="1"/>
    </xf>
    <xf numFmtId="171" fontId="0" fillId="0" borderId="15" xfId="0" applyNumberFormat="1" applyBorder="1" applyAlignment="1">
      <alignment/>
    </xf>
    <xf numFmtId="10" fontId="0" fillId="0" borderId="2" xfId="24" applyNumberFormat="1" applyBorder="1" applyAlignment="1">
      <alignment/>
    </xf>
    <xf numFmtId="0" fontId="0" fillId="0" borderId="32" xfId="0" applyBorder="1" applyAlignment="1">
      <alignment/>
    </xf>
    <xf numFmtId="9" fontId="0" fillId="0" borderId="2" xfId="0" applyNumberFormat="1" applyBorder="1" applyAlignment="1">
      <alignment/>
    </xf>
    <xf numFmtId="9" fontId="0" fillId="4" borderId="17" xfId="24" applyFill="1" applyBorder="1" applyAlignment="1">
      <alignment/>
    </xf>
    <xf numFmtId="171" fontId="0" fillId="0" borderId="53" xfId="0" applyNumberFormat="1" applyBorder="1" applyAlignment="1">
      <alignment/>
    </xf>
    <xf numFmtId="171" fontId="0" fillId="0" borderId="59" xfId="0" applyNumberFormat="1" applyBorder="1" applyAlignment="1">
      <alignment/>
    </xf>
    <xf numFmtId="171" fontId="0" fillId="8" borderId="47" xfId="0" applyNumberFormat="1" applyFill="1" applyBorder="1" applyAlignment="1">
      <alignment/>
    </xf>
    <xf numFmtId="171" fontId="0" fillId="8" borderId="48" xfId="0" applyNumberFormat="1" applyFill="1" applyBorder="1" applyAlignment="1">
      <alignment/>
    </xf>
    <xf numFmtId="171" fontId="0" fillId="8" borderId="49" xfId="0" applyNumberFormat="1" applyFill="1" applyBorder="1" applyAlignment="1">
      <alignment/>
    </xf>
    <xf numFmtId="9" fontId="0" fillId="0" borderId="46" xfId="24" applyFont="1" applyBorder="1" applyAlignment="1">
      <alignment/>
    </xf>
    <xf numFmtId="9" fontId="0" fillId="0" borderId="40" xfId="24" applyFont="1" applyBorder="1" applyAlignment="1">
      <alignment/>
    </xf>
    <xf numFmtId="9" fontId="0" fillId="0" borderId="59" xfId="24" applyBorder="1" applyAlignment="1">
      <alignment/>
    </xf>
    <xf numFmtId="10" fontId="0" fillId="0" borderId="60" xfId="24" applyNumberFormat="1" applyBorder="1" applyAlignment="1">
      <alignment/>
    </xf>
    <xf numFmtId="10" fontId="0" fillId="0" borderId="38" xfId="24" applyNumberFormat="1" applyBorder="1" applyAlignment="1">
      <alignment/>
    </xf>
    <xf numFmtId="10" fontId="0" fillId="0" borderId="54" xfId="0" applyNumberFormat="1" applyBorder="1" applyAlignment="1">
      <alignment/>
    </xf>
    <xf numFmtId="171" fontId="0" fillId="0" borderId="60" xfId="15" applyNumberFormat="1" applyBorder="1" applyAlignment="1">
      <alignment/>
    </xf>
    <xf numFmtId="171" fontId="0" fillId="0" borderId="38" xfId="15" applyNumberFormat="1" applyBorder="1" applyAlignment="1">
      <alignment/>
    </xf>
    <xf numFmtId="171" fontId="0" fillId="0" borderId="33" xfId="0" applyNumberFormat="1" applyBorder="1" applyAlignment="1">
      <alignment/>
    </xf>
    <xf numFmtId="171" fontId="0" fillId="0" borderId="61" xfId="0" applyNumberFormat="1" applyBorder="1" applyAlignment="1">
      <alignment/>
    </xf>
    <xf numFmtId="171" fontId="0" fillId="0" borderId="62" xfId="0" applyNumberFormat="1" applyBorder="1" applyAlignment="1">
      <alignment/>
    </xf>
    <xf numFmtId="171" fontId="0" fillId="8" borderId="47" xfId="15" applyNumberFormat="1" applyFill="1" applyBorder="1" applyAlignment="1">
      <alignment/>
    </xf>
    <xf numFmtId="171" fontId="0" fillId="8" borderId="48" xfId="15" applyNumberFormat="1" applyFill="1" applyBorder="1" applyAlignment="1">
      <alignment/>
    </xf>
    <xf numFmtId="171" fontId="0" fillId="8" borderId="63" xfId="0" applyNumberFormat="1" applyFill="1" applyBorder="1" applyAlignment="1">
      <alignment/>
    </xf>
    <xf numFmtId="171" fontId="0" fillId="8" borderId="64" xfId="0" applyNumberFormat="1" applyFill="1" applyBorder="1" applyAlignment="1">
      <alignment/>
    </xf>
    <xf numFmtId="171" fontId="0" fillId="8" borderId="55" xfId="0" applyNumberFormat="1" applyFill="1" applyBorder="1" applyAlignment="1">
      <alignment/>
    </xf>
    <xf numFmtId="171" fontId="0" fillId="8" borderId="28" xfId="0" applyNumberFormat="1" applyFill="1" applyBorder="1" applyAlignment="1">
      <alignment/>
    </xf>
    <xf numFmtId="0" fontId="0" fillId="4" borderId="65" xfId="0" applyFill="1" applyBorder="1" applyAlignment="1">
      <alignment wrapText="1"/>
    </xf>
    <xf numFmtId="171" fontId="0" fillId="8" borderId="49" xfId="15" applyNumberFormat="1" applyFill="1" applyBorder="1" applyAlignment="1">
      <alignment/>
    </xf>
    <xf numFmtId="171" fontId="0" fillId="8" borderId="66" xfId="15" applyNumberFormat="1" applyFill="1" applyBorder="1" applyAlignment="1">
      <alignment/>
    </xf>
    <xf numFmtId="0" fontId="0" fillId="4" borderId="29" xfId="0" applyFill="1" applyBorder="1" applyAlignment="1">
      <alignment wrapText="1"/>
    </xf>
    <xf numFmtId="0" fontId="0" fillId="4" borderId="23" xfId="0" applyFill="1" applyBorder="1" applyAlignment="1">
      <alignment wrapText="1"/>
    </xf>
    <xf numFmtId="0" fontId="1" fillId="4" borderId="1" xfId="0" applyFont="1" applyFill="1" applyBorder="1" applyAlignment="1">
      <alignment wrapText="1"/>
    </xf>
    <xf numFmtId="171" fontId="1" fillId="4" borderId="1" xfId="0" applyNumberFormat="1" applyFont="1" applyFill="1" applyBorder="1" applyAlignment="1">
      <alignment wrapText="1"/>
    </xf>
    <xf numFmtId="171" fontId="1" fillId="0" borderId="1" xfId="15" applyNumberFormat="1" applyFont="1" applyBorder="1" applyAlignment="1">
      <alignment/>
    </xf>
    <xf numFmtId="9" fontId="1" fillId="0" borderId="1" xfId="0" applyNumberFormat="1" applyFont="1" applyBorder="1" applyAlignment="1">
      <alignment/>
    </xf>
    <xf numFmtId="171" fontId="1" fillId="0" borderId="1" xfId="0" applyNumberFormat="1" applyFont="1" applyBorder="1" applyAlignment="1">
      <alignment/>
    </xf>
    <xf numFmtId="1" fontId="1" fillId="0" borderId="1" xfId="0" applyNumberFormat="1" applyFont="1" applyBorder="1" applyAlignment="1">
      <alignment/>
    </xf>
    <xf numFmtId="1" fontId="1" fillId="0" borderId="1" xfId="0" applyNumberFormat="1" applyFont="1" applyFill="1" applyBorder="1" applyAlignment="1">
      <alignment/>
    </xf>
    <xf numFmtId="0" fontId="0" fillId="0" borderId="2" xfId="0" applyBorder="1" applyAlignment="1">
      <alignment/>
    </xf>
    <xf numFmtId="1" fontId="1" fillId="8" borderId="12" xfId="15" applyNumberFormat="1" applyFont="1" applyFill="1" applyBorder="1" applyAlignment="1">
      <alignment/>
    </xf>
    <xf numFmtId="1" fontId="1" fillId="8" borderId="13" xfId="15" applyNumberFormat="1" applyFont="1" applyFill="1" applyBorder="1" applyAlignment="1">
      <alignment/>
    </xf>
    <xf numFmtId="1" fontId="1" fillId="8" borderId="17" xfId="15" applyNumberFormat="1" applyFont="1" applyFill="1" applyBorder="1" applyAlignment="1">
      <alignment/>
    </xf>
    <xf numFmtId="0" fontId="0" fillId="5" borderId="12" xfId="0" applyFill="1" applyBorder="1" applyAlignment="1">
      <alignment/>
    </xf>
    <xf numFmtId="171" fontId="0" fillId="5" borderId="13" xfId="15" applyNumberFormat="1" applyFill="1" applyBorder="1" applyAlignment="1">
      <alignment/>
    </xf>
    <xf numFmtId="171" fontId="0" fillId="5" borderId="17" xfId="15" applyNumberFormat="1" applyFill="1" applyBorder="1" applyAlignment="1">
      <alignment/>
    </xf>
    <xf numFmtId="0" fontId="1" fillId="3" borderId="1" xfId="0" applyFont="1" applyFill="1" applyBorder="1" applyAlignment="1">
      <alignment horizontal="center" vertical="center" wrapText="1"/>
    </xf>
    <xf numFmtId="0" fontId="1" fillId="0" borderId="1" xfId="0" applyFont="1" applyBorder="1" applyAlignment="1">
      <alignment horizontal="right" wrapText="1"/>
    </xf>
    <xf numFmtId="10" fontId="0" fillId="0" borderId="0" xfId="24" applyNumberFormat="1" applyFont="1" applyAlignment="1">
      <alignment/>
    </xf>
    <xf numFmtId="174" fontId="0" fillId="0" borderId="0" xfId="0" applyNumberFormat="1" applyAlignment="1">
      <alignment/>
    </xf>
    <xf numFmtId="181" fontId="0" fillId="0" borderId="0" xfId="0" applyNumberFormat="1" applyAlignment="1">
      <alignment/>
    </xf>
    <xf numFmtId="171" fontId="0" fillId="7" borderId="0" xfId="15" applyNumberFormat="1" applyFill="1" applyAlignment="1">
      <alignment/>
    </xf>
    <xf numFmtId="0" fontId="0" fillId="0" borderId="0" xfId="0" applyAlignment="1">
      <alignment horizontal="center"/>
    </xf>
    <xf numFmtId="0" fontId="0" fillId="0" borderId="1" xfId="0" applyBorder="1" applyAlignment="1">
      <alignment horizontal="center"/>
    </xf>
    <xf numFmtId="0" fontId="1" fillId="3" borderId="1"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2" fillId="4" borderId="1" xfId="22" applyFont="1" applyFill="1" applyBorder="1">
      <alignment/>
      <protection/>
    </xf>
    <xf numFmtId="171" fontId="2" fillId="4" borderId="1" xfId="22" applyNumberFormat="1" applyFill="1" applyBorder="1">
      <alignment/>
      <protection/>
    </xf>
    <xf numFmtId="0" fontId="1" fillId="10" borderId="21" xfId="0" applyFont="1" applyFill="1" applyBorder="1" applyAlignment="1">
      <alignment horizontal="center"/>
    </xf>
    <xf numFmtId="0" fontId="1" fillId="10" borderId="22" xfId="0" applyFont="1" applyFill="1" applyBorder="1" applyAlignment="1">
      <alignment horizontal="center"/>
    </xf>
    <xf numFmtId="0" fontId="1" fillId="10" borderId="23" xfId="0" applyFont="1" applyFill="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2" fillId="0" borderId="68" xfId="22" applyBorder="1" applyAlignment="1">
      <alignment horizontal="center"/>
      <protection/>
    </xf>
    <xf numFmtId="0" fontId="2" fillId="0" borderId="56" xfId="22" applyBorder="1" applyAlignment="1">
      <alignment horizontal="center"/>
      <protection/>
    </xf>
    <xf numFmtId="0" fontId="2" fillId="0" borderId="57" xfId="22" applyBorder="1" applyAlignment="1">
      <alignment horizontal="center"/>
      <protection/>
    </xf>
    <xf numFmtId="0" fontId="2" fillId="7" borderId="21" xfId="22" applyFont="1" applyFill="1" applyBorder="1" applyAlignment="1">
      <alignment horizontal="center"/>
      <protection/>
    </xf>
    <xf numFmtId="0" fontId="2" fillId="7" borderId="22" xfId="22" applyFont="1" applyFill="1" applyBorder="1" applyAlignment="1">
      <alignment horizontal="center"/>
      <protection/>
    </xf>
    <xf numFmtId="0" fontId="2" fillId="7" borderId="23" xfId="22" applyFont="1" applyFill="1" applyBorder="1" applyAlignment="1">
      <alignment horizontal="center"/>
      <protection/>
    </xf>
    <xf numFmtId="0" fontId="10" fillId="0" borderId="33" xfId="22" applyFont="1" applyBorder="1">
      <alignment/>
      <protection/>
    </xf>
    <xf numFmtId="0" fontId="10" fillId="0" borderId="34" xfId="22" applyFont="1" applyBorder="1">
      <alignment/>
      <protection/>
    </xf>
    <xf numFmtId="0" fontId="10" fillId="0" borderId="32" xfId="22" applyFont="1" applyBorder="1">
      <alignment/>
      <protection/>
    </xf>
    <xf numFmtId="0" fontId="10" fillId="0" borderId="1" xfId="0" applyFont="1" applyBorder="1" applyAlignment="1">
      <alignment horizontal="center" wrapText="1"/>
    </xf>
    <xf numFmtId="0" fontId="0" fillId="0" borderId="1" xfId="0" applyBorder="1" applyAlignment="1">
      <alignment wrapText="1"/>
    </xf>
    <xf numFmtId="0" fontId="0" fillId="0" borderId="62" xfId="0" applyBorder="1" applyAlignment="1">
      <alignment horizontal="left" wrapText="1"/>
    </xf>
    <xf numFmtId="0" fontId="0" fillId="0" borderId="1" xfId="0" applyFont="1" applyBorder="1" applyAlignment="1">
      <alignment horizontal="center" wrapText="1"/>
    </xf>
    <xf numFmtId="0" fontId="0" fillId="0" borderId="38" xfId="0" applyBorder="1" applyAlignment="1">
      <alignment horizontal="left" wrapText="1"/>
    </xf>
    <xf numFmtId="0" fontId="0" fillId="0" borderId="61" xfId="0" applyBorder="1" applyAlignment="1">
      <alignment horizontal="left" wrapText="1"/>
    </xf>
    <xf numFmtId="0" fontId="0" fillId="0" borderId="40" xfId="0" applyBorder="1" applyAlignment="1">
      <alignment horizontal="left" wrapText="1"/>
    </xf>
    <xf numFmtId="0" fontId="0" fillId="0" borderId="1" xfId="0" applyBorder="1" applyAlignment="1">
      <alignment horizontal="center" wrapText="1"/>
    </xf>
    <xf numFmtId="0" fontId="1" fillId="0" borderId="1" xfId="0" applyFont="1" applyBorder="1" applyAlignment="1">
      <alignment horizontal="center"/>
    </xf>
    <xf numFmtId="0" fontId="1" fillId="0" borderId="64" xfId="0" applyFont="1" applyBorder="1" applyAlignment="1">
      <alignment horizontal="center"/>
    </xf>
    <xf numFmtId="0" fontId="1" fillId="0" borderId="69" xfId="0" applyFont="1" applyBorder="1" applyAlignment="1">
      <alignment horizontal="center"/>
    </xf>
    <xf numFmtId="0" fontId="1" fillId="0" borderId="70" xfId="0" applyFont="1" applyBorder="1" applyAlignment="1">
      <alignment horizontal="center"/>
    </xf>
    <xf numFmtId="0" fontId="0" fillId="2" borderId="0" xfId="0" applyFill="1" applyAlignment="1">
      <alignment horizontal="center"/>
    </xf>
    <xf numFmtId="0" fontId="0" fillId="0" borderId="0" xfId="0" applyAlignment="1">
      <alignment/>
    </xf>
    <xf numFmtId="0" fontId="11" fillId="2" borderId="0" xfId="0" applyFont="1" applyFill="1" applyAlignment="1">
      <alignment horizontal="center"/>
    </xf>
    <xf numFmtId="0" fontId="1" fillId="3" borderId="0" xfId="0" applyFont="1" applyFill="1" applyBorder="1" applyAlignment="1">
      <alignment horizontal="center" vertical="center" wrapText="1"/>
    </xf>
    <xf numFmtId="0" fontId="1" fillId="0" borderId="38" xfId="0" applyFont="1" applyBorder="1" applyAlignment="1">
      <alignment horizontal="left" wrapText="1"/>
    </xf>
    <xf numFmtId="0" fontId="1" fillId="0" borderId="61" xfId="0" applyFont="1" applyBorder="1" applyAlignment="1">
      <alignment horizontal="left" wrapText="1"/>
    </xf>
    <xf numFmtId="0" fontId="1" fillId="0" borderId="40" xfId="0" applyFont="1" applyBorder="1" applyAlignment="1">
      <alignment horizontal="left" wrapText="1"/>
    </xf>
    <xf numFmtId="0" fontId="1" fillId="0" borderId="38" xfId="0" applyFont="1" applyBorder="1" applyAlignment="1">
      <alignment wrapText="1"/>
    </xf>
    <xf numFmtId="0" fontId="1" fillId="0" borderId="61" xfId="0" applyFont="1" applyBorder="1" applyAlignment="1">
      <alignment wrapText="1"/>
    </xf>
    <xf numFmtId="0" fontId="1" fillId="0" borderId="40" xfId="0" applyFont="1" applyBorder="1" applyAlignment="1">
      <alignment wrapText="1"/>
    </xf>
    <xf numFmtId="0" fontId="1" fillId="0" borderId="38" xfId="0" applyFont="1" applyBorder="1" applyAlignment="1">
      <alignment horizontal="center" wrapText="1"/>
    </xf>
    <xf numFmtId="0" fontId="1" fillId="0" borderId="61" xfId="0" applyFont="1" applyBorder="1" applyAlignment="1">
      <alignment horizontal="center" wrapText="1"/>
    </xf>
    <xf numFmtId="0" fontId="1" fillId="0" borderId="40" xfId="0" applyFont="1" applyBorder="1" applyAlignment="1">
      <alignment horizontal="center" wrapText="1"/>
    </xf>
    <xf numFmtId="0" fontId="0" fillId="0" borderId="38" xfId="0" applyBorder="1" applyAlignment="1">
      <alignment horizontal="center" wrapText="1"/>
    </xf>
    <xf numFmtId="0" fontId="0" fillId="0" borderId="40" xfId="0" applyBorder="1" applyAlignment="1">
      <alignment horizontal="center" wrapText="1"/>
    </xf>
    <xf numFmtId="0" fontId="0" fillId="0" borderId="38" xfId="0" applyBorder="1" applyAlignment="1">
      <alignment horizontal="center"/>
    </xf>
    <xf numFmtId="0" fontId="0" fillId="0" borderId="40" xfId="0" applyBorder="1" applyAlignment="1">
      <alignment horizontal="center"/>
    </xf>
    <xf numFmtId="0" fontId="0" fillId="0" borderId="0" xfId="0" applyFont="1" applyAlignment="1">
      <alignment horizontal="left" wrapText="1"/>
    </xf>
    <xf numFmtId="0" fontId="16"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MORTRATENEW" xfId="21"/>
    <cellStyle name="Normal_PNWHousingForecast802025" xfId="22"/>
    <cellStyle name="Normal_Regional SGC Market Share"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Picture 2"/>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Picture 3"/>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ew%20Plan\Residential%20Resource%20Assessment\PNWResSectorSupplyCurveUni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of Residential Units"/>
      <sheetName val="Housing Units by Climate Zone"/>
      <sheetName val="Total Housing Units"/>
      <sheetName val="Pre-1980 Space Heating Unit"/>
      <sheetName val="Post79 - Pre93 Units"/>
      <sheetName val="Existing Space Heating Units"/>
      <sheetName val="New Space Heating Units"/>
      <sheetName val="DHW &amp; Appliance Units"/>
    </sheetNames>
    <sheetDataSet>
      <sheetData sheetId="3">
        <row r="12">
          <cell r="C12">
            <v>0.33</v>
          </cell>
        </row>
        <row r="25">
          <cell r="C25">
            <v>0.74</v>
          </cell>
        </row>
        <row r="38">
          <cell r="C38">
            <v>0.8400000000000001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3.vm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74"/>
  <sheetViews>
    <sheetView tabSelected="1" workbookViewId="0" topLeftCell="A1">
      <selection activeCell="K15" sqref="K15"/>
    </sheetView>
  </sheetViews>
  <sheetFormatPr defaultColWidth="9.140625" defaultRowHeight="12.75"/>
  <cols>
    <col min="1" max="1" width="37.140625" style="0" customWidth="1"/>
    <col min="2" max="2" width="10.7109375" style="0" customWidth="1"/>
    <col min="3" max="3" width="13.00390625" style="0" customWidth="1"/>
    <col min="4" max="4" width="14.421875" style="0" customWidth="1"/>
    <col min="5" max="5" width="18.57421875" style="0" customWidth="1"/>
    <col min="6" max="6" width="10.421875" style="0" customWidth="1"/>
    <col min="7" max="7" width="13.00390625" style="0" customWidth="1"/>
    <col min="8" max="8" width="14.421875" style="0" customWidth="1"/>
    <col min="9" max="9" width="11.421875" style="0" customWidth="1"/>
    <col min="10" max="10" width="10.28125" style="0" customWidth="1"/>
    <col min="11" max="11" width="38.8515625" style="0" customWidth="1"/>
    <col min="12" max="12" width="12.8515625" style="0" bestFit="1" customWidth="1"/>
    <col min="13" max="13" width="32.57421875" style="0" customWidth="1"/>
    <col min="14" max="14" width="15.140625" style="0" customWidth="1"/>
    <col min="15" max="15" width="13.00390625" style="0" customWidth="1"/>
    <col min="16" max="16" width="14.00390625" style="0" customWidth="1"/>
    <col min="17" max="18" width="19.28125" style="0" customWidth="1"/>
    <col min="19" max="19" width="11.7109375" style="0" bestFit="1" customWidth="1"/>
    <col min="21" max="21" width="10.28125" style="0" bestFit="1" customWidth="1"/>
  </cols>
  <sheetData>
    <row r="1" spans="1:8" ht="13.5" thickBot="1">
      <c r="A1" s="412" t="s">
        <v>342</v>
      </c>
      <c r="B1" s="413"/>
      <c r="C1" s="413"/>
      <c r="D1" s="413"/>
      <c r="E1" s="413"/>
      <c r="F1" s="413"/>
      <c r="G1" s="413"/>
      <c r="H1" s="414"/>
    </row>
    <row r="2" spans="1:19" ht="64.5" thickBot="1">
      <c r="A2" s="351" t="s">
        <v>345</v>
      </c>
      <c r="B2" s="352" t="s">
        <v>346</v>
      </c>
      <c r="C2" s="352" t="s">
        <v>355</v>
      </c>
      <c r="D2" s="352" t="s">
        <v>356</v>
      </c>
      <c r="E2" s="352" t="s">
        <v>362</v>
      </c>
      <c r="F2" s="352" t="s">
        <v>513</v>
      </c>
      <c r="G2" s="352" t="s">
        <v>7</v>
      </c>
      <c r="H2" s="353" t="s">
        <v>563</v>
      </c>
      <c r="I2" s="344"/>
      <c r="K2" s="208"/>
      <c r="L2" s="208"/>
      <c r="M2" s="19"/>
      <c r="N2" s="211" t="s">
        <v>39</v>
      </c>
      <c r="O2" s="211" t="s">
        <v>40</v>
      </c>
      <c r="P2" s="211" t="s">
        <v>41</v>
      </c>
      <c r="Q2" s="211" t="s">
        <v>42</v>
      </c>
      <c r="R2" s="210" t="s">
        <v>284</v>
      </c>
      <c r="S2" s="210" t="s">
        <v>311</v>
      </c>
    </row>
    <row r="3" spans="1:19" ht="12.75">
      <c r="A3" s="253" t="s">
        <v>339</v>
      </c>
      <c r="B3" s="370">
        <f>'Existing Pre-80 Housing Units'!G43</f>
        <v>3603683</v>
      </c>
      <c r="C3" s="375">
        <f>'Housing Completion Summary'!B4</f>
        <v>1893947.8914018378</v>
      </c>
      <c r="D3" s="372">
        <f>B3*D8</f>
        <v>199100.89140183723</v>
      </c>
      <c r="E3" s="361">
        <v>5298529.5658703605</v>
      </c>
      <c r="F3" s="361">
        <f>F16-(F16*D8)</f>
        <v>2468066.780708859</v>
      </c>
      <c r="G3" s="364">
        <f>'Existing Pre-80 Housing Units'!D75</f>
        <v>1.1140525005177317</v>
      </c>
      <c r="H3" s="350">
        <f>B3+C3-D3</f>
        <v>5298530</v>
      </c>
      <c r="I3" s="345"/>
      <c r="K3" s="209"/>
      <c r="L3" s="209"/>
      <c r="M3" s="19" t="s">
        <v>364</v>
      </c>
      <c r="N3" s="212">
        <v>0.11696069306781086</v>
      </c>
      <c r="O3" s="212">
        <v>0.06692973866096397</v>
      </c>
      <c r="P3" s="212">
        <v>0.29017907770200974</v>
      </c>
      <c r="Q3" s="212">
        <v>0.5259304905692154</v>
      </c>
      <c r="R3" s="212">
        <f>SUM(N3:Q3)</f>
        <v>1</v>
      </c>
      <c r="S3" s="213">
        <f>E6</f>
        <v>7231597</v>
      </c>
    </row>
    <row r="4" spans="1:19" ht="12.75">
      <c r="A4" s="58" t="s">
        <v>340</v>
      </c>
      <c r="B4" s="371">
        <f>'Existing Pre-80 Housing Units'!I43</f>
        <v>768740</v>
      </c>
      <c r="C4" s="376">
        <f>'Housing Completion Summary'!C4</f>
        <v>570031.3315719645</v>
      </c>
      <c r="D4" s="373">
        <f>B4*D9</f>
        <v>42472.33157196356</v>
      </c>
      <c r="E4" s="362">
        <v>1296298.7594064295</v>
      </c>
      <c r="F4" s="362">
        <f>F17-(F17*D9)</f>
        <v>391032.3229731304</v>
      </c>
      <c r="G4" s="365">
        <f>'Existing Pre-80 Housing Units'!D64</f>
        <v>1.0530585716026672</v>
      </c>
      <c r="H4" s="337">
        <f>B4+C4-D4</f>
        <v>1296299.000000001</v>
      </c>
      <c r="I4" s="346"/>
      <c r="K4" s="209"/>
      <c r="L4" s="209"/>
      <c r="M4" s="19" t="s">
        <v>365</v>
      </c>
      <c r="N4" s="212">
        <v>0.13876493842640067</v>
      </c>
      <c r="O4" s="212">
        <v>0.017197863642484722</v>
      </c>
      <c r="P4" s="212">
        <v>0.2637341453303465</v>
      </c>
      <c r="Q4" s="212">
        <v>0.580303052600768</v>
      </c>
      <c r="R4" s="212">
        <f>SUM(N4:Q4)</f>
        <v>0.9999999999999999</v>
      </c>
      <c r="S4" s="213">
        <f>C6</f>
        <v>2747651.0292714275</v>
      </c>
    </row>
    <row r="5" spans="1:19" ht="12.75">
      <c r="A5" s="58" t="s">
        <v>341</v>
      </c>
      <c r="B5" s="371">
        <f>'Existing Pre-80 Housing Units'!K43</f>
        <v>461902</v>
      </c>
      <c r="C5" s="376">
        <f>'Housing Completion Summary'!D4</f>
        <v>283671.806297625</v>
      </c>
      <c r="D5" s="373">
        <f>B5*D10</f>
        <v>108804.80629762495</v>
      </c>
      <c r="E5" s="362">
        <v>636768.67472321</v>
      </c>
      <c r="F5" s="362">
        <f>F18-(F18*D10)</f>
        <v>152696.48398330316</v>
      </c>
      <c r="G5" s="365">
        <f>G18</f>
        <v>1</v>
      </c>
      <c r="H5" s="337">
        <f>B5+C5-D5</f>
        <v>636769</v>
      </c>
      <c r="I5" s="345"/>
      <c r="K5" s="209"/>
      <c r="L5" s="209"/>
      <c r="M5" s="19" t="s">
        <v>366</v>
      </c>
      <c r="N5" s="214"/>
      <c r="O5" s="214"/>
      <c r="P5" s="214"/>
      <c r="Q5" s="214"/>
      <c r="R5" s="214"/>
      <c r="S5" s="215"/>
    </row>
    <row r="6" spans="1:19" ht="13.5" thickBot="1">
      <c r="A6" s="347" t="s">
        <v>81</v>
      </c>
      <c r="B6" s="359">
        <f>'Existing Pre-80 Housing Units'!M43</f>
        <v>4834325</v>
      </c>
      <c r="C6" s="377">
        <f>'Housing Completion Summary'!E4</f>
        <v>2747651.0292714275</v>
      </c>
      <c r="D6" s="374">
        <f>SUM(D3:D5)</f>
        <v>350378.02927142574</v>
      </c>
      <c r="E6" s="363">
        <v>7231597</v>
      </c>
      <c r="F6" s="363">
        <f>SUM(F3:F5)</f>
        <v>3011795.5876652924</v>
      </c>
      <c r="G6" s="366"/>
      <c r="H6" s="337">
        <f>B6+C6-D6</f>
        <v>7231598.000000002</v>
      </c>
      <c r="I6" s="360"/>
      <c r="K6" s="209"/>
      <c r="L6" s="209"/>
      <c r="M6" s="19" t="s">
        <v>314</v>
      </c>
      <c r="N6" s="212">
        <v>0.14103045510807002</v>
      </c>
      <c r="O6" s="212">
        <v>0.03447731214648015</v>
      </c>
      <c r="P6" s="212">
        <v>0.2764959837562161</v>
      </c>
      <c r="Q6" s="212">
        <v>0.5479962489892337</v>
      </c>
      <c r="R6" s="212">
        <f>S6/S$13</f>
        <v>0.6393907360268539</v>
      </c>
      <c r="S6" s="49">
        <v>1317495.4748489</v>
      </c>
    </row>
    <row r="7" spans="1:19" ht="64.5" thickBot="1">
      <c r="A7" s="351" t="s">
        <v>345</v>
      </c>
      <c r="B7" s="352" t="s">
        <v>347</v>
      </c>
      <c r="C7" s="352" t="s">
        <v>349</v>
      </c>
      <c r="D7" s="352" t="s">
        <v>350</v>
      </c>
      <c r="E7" s="381" t="s">
        <v>571</v>
      </c>
      <c r="F7" s="384" t="s">
        <v>13</v>
      </c>
      <c r="G7" s="385" t="s">
        <v>514</v>
      </c>
      <c r="H7" s="381" t="s">
        <v>512</v>
      </c>
      <c r="I7" s="384" t="s">
        <v>750</v>
      </c>
      <c r="M7" s="19" t="s">
        <v>315</v>
      </c>
      <c r="N7" s="212">
        <v>0.04776579352850539</v>
      </c>
      <c r="O7" s="212">
        <v>0.026635150869776834</v>
      </c>
      <c r="P7" s="212">
        <v>0.27380558625567053</v>
      </c>
      <c r="Q7" s="212">
        <v>0.6517934693460472</v>
      </c>
      <c r="R7" s="212">
        <f>S7/S$13</f>
        <v>0.25260776714740274</v>
      </c>
      <c r="S7" s="49">
        <v>520510.4975346562</v>
      </c>
    </row>
    <row r="8" spans="1:19" ht="12.75">
      <c r="A8" s="253" t="s">
        <v>339</v>
      </c>
      <c r="B8" s="260">
        <f>B3/B$6</f>
        <v>0.7454366431714873</v>
      </c>
      <c r="C8" s="260">
        <f>'Housing Completion Summary'!B7</f>
        <v>0.6892971018608723</v>
      </c>
      <c r="D8" s="355">
        <v>0.05524928008424638</v>
      </c>
      <c r="E8" s="367">
        <v>0.0125</v>
      </c>
      <c r="F8" s="361">
        <f>F3*'Existing Pre-80 Housing Units'!B85</f>
        <v>814462.0376339236</v>
      </c>
      <c r="G8" s="361">
        <f>'Housing Completion Summary'!F4</f>
        <v>483555.17694916396</v>
      </c>
      <c r="H8" s="378">
        <f>B3-D3</f>
        <v>3404582.108598163</v>
      </c>
      <c r="I8" s="383">
        <f>H8*'PNW Households &amp;  Housing Units'!B$48/'PNW Households &amp;  Housing Units'!C$48</f>
        <v>3008359.6007769923</v>
      </c>
      <c r="M8" s="19" t="s">
        <v>367</v>
      </c>
      <c r="N8" s="212">
        <v>0.1349114446473374</v>
      </c>
      <c r="O8" s="212">
        <v>0.09097893377276979</v>
      </c>
      <c r="P8" s="212">
        <v>0.3440297510354964</v>
      </c>
      <c r="Q8" s="212">
        <v>0.43007987054439645</v>
      </c>
      <c r="R8" s="212">
        <f>S8/S$13</f>
        <v>0.1080014968257433</v>
      </c>
      <c r="S8" s="49">
        <v>222542.2974205377</v>
      </c>
    </row>
    <row r="9" spans="1:9" ht="12.75">
      <c r="A9" s="58" t="s">
        <v>340</v>
      </c>
      <c r="B9" s="66">
        <f>B4/B$6</f>
        <v>0.15901702926468536</v>
      </c>
      <c r="C9" s="66">
        <f>'Housing Completion Summary'!C7</f>
        <v>0.20746132805777565</v>
      </c>
      <c r="D9" s="197">
        <v>0.05524928008424638</v>
      </c>
      <c r="E9" s="368">
        <v>0.025519524773257616</v>
      </c>
      <c r="F9" s="362">
        <f>F4*'Existing Pre-80 Housing Units'!B86</f>
        <v>289363.91900011647</v>
      </c>
      <c r="G9" s="362">
        <f>'Housing Completion Summary'!G4</f>
        <v>399770.3795035209</v>
      </c>
      <c r="H9" s="379">
        <f>B4-D4</f>
        <v>726267.6684280364</v>
      </c>
      <c r="I9" s="376">
        <f>H9*'PNW Households &amp;  Housing Units'!B$48/'PNW Households &amp;  Housing Units'!C$48</f>
        <v>641745.2255099311</v>
      </c>
    </row>
    <row r="10" spans="1:19" ht="12.75">
      <c r="A10" s="58" t="s">
        <v>341</v>
      </c>
      <c r="B10" s="66">
        <f>B5/B$6</f>
        <v>0.09554632756382742</v>
      </c>
      <c r="C10" s="66">
        <f>'Housing Completion Summary'!D7</f>
        <v>0.10324157008135199</v>
      </c>
      <c r="D10" s="197">
        <v>0.2355582056315516</v>
      </c>
      <c r="E10" s="368">
        <v>0.035</v>
      </c>
      <c r="F10" s="362">
        <f>F5*'Existing Pre-80 Housing Units'!B87</f>
        <v>128265.04654597466</v>
      </c>
      <c r="G10" s="362">
        <f>'Housing Completion Summary'!H4</f>
        <v>216393.9293751746</v>
      </c>
      <c r="H10" s="379">
        <f>B5-D5</f>
        <v>353097.19370237505</v>
      </c>
      <c r="I10" s="376">
        <f>H10*'PNW Households &amp;  Housing Units'!B$48/'PNW Households &amp;  Housing Units'!C$48</f>
        <v>312004.0283356045</v>
      </c>
      <c r="M10" s="19" t="s">
        <v>314</v>
      </c>
      <c r="N10" s="49">
        <f aca="true" t="shared" si="0" ref="N10:Q12">N6*$S6</f>
        <v>185806.9864207632</v>
      </c>
      <c r="O10" s="49">
        <f t="shared" si="0"/>
        <v>45423.70273794061</v>
      </c>
      <c r="P10" s="49">
        <f t="shared" si="0"/>
        <v>364282.20741270966</v>
      </c>
      <c r="Q10" s="49">
        <f t="shared" si="0"/>
        <v>721982.5782774865</v>
      </c>
      <c r="R10" s="212">
        <f>S10/S$13</f>
        <v>0.6393907360268539</v>
      </c>
      <c r="S10" s="49">
        <f>SUM(N10:Q10)</f>
        <v>1317495.4748489</v>
      </c>
    </row>
    <row r="11" spans="1:19" ht="13.5" thickBot="1">
      <c r="A11" s="237"/>
      <c r="B11" s="221">
        <f>B6/B$6</f>
        <v>1</v>
      </c>
      <c r="C11" s="340">
        <f>SUM(C8:C10)</f>
        <v>1</v>
      </c>
      <c r="D11" s="341">
        <f>D6/B6</f>
        <v>0.07247713574727097</v>
      </c>
      <c r="E11" s="369">
        <f>'Housing Start Summary'!O7</f>
        <v>0.017824515760668506</v>
      </c>
      <c r="F11" s="363">
        <f>SUM(F8:F10)</f>
        <v>1232091.0031800147</v>
      </c>
      <c r="G11" s="363">
        <f>SUM(G8:G10)</f>
        <v>1099719.4858278595</v>
      </c>
      <c r="H11" s="380">
        <f>SUM(H8:H10)</f>
        <v>4483946.970728574</v>
      </c>
      <c r="I11" s="382">
        <f>H11*'PNW Households &amp;  Housing Units'!B$48/'PNW Households &amp;  Housing Units'!C$48</f>
        <v>3962108.8546225275</v>
      </c>
      <c r="M11" s="19" t="s">
        <v>315</v>
      </c>
      <c r="N11" s="49">
        <f t="shared" si="0"/>
        <v>24862.596954660003</v>
      </c>
      <c r="O11" s="49">
        <f t="shared" si="0"/>
        <v>13863.875631138171</v>
      </c>
      <c r="P11" s="49">
        <f t="shared" si="0"/>
        <v>142518.6819297073</v>
      </c>
      <c r="Q11" s="49">
        <f t="shared" si="0"/>
        <v>339265.3430191507</v>
      </c>
      <c r="R11" s="212">
        <f>S11/S$13</f>
        <v>0.25260776714740274</v>
      </c>
      <c r="S11" s="49">
        <f>SUM(N11:Q11)</f>
        <v>520510.4975346562</v>
      </c>
    </row>
    <row r="12" spans="13:19" ht="12.75">
      <c r="M12" s="19" t="s">
        <v>367</v>
      </c>
      <c r="N12" s="49">
        <f t="shared" si="0"/>
        <v>30023.50284014217</v>
      </c>
      <c r="O12" s="49">
        <f t="shared" si="0"/>
        <v>20246.66093866314</v>
      </c>
      <c r="P12" s="49">
        <f t="shared" si="0"/>
        <v>76561.17117645498</v>
      </c>
      <c r="Q12" s="49">
        <f t="shared" si="0"/>
        <v>95710.96246527744</v>
      </c>
      <c r="R12" s="212">
        <f>S12/S$13</f>
        <v>0.10800149682574332</v>
      </c>
      <c r="S12" s="49">
        <f>SUM(N12:Q12)</f>
        <v>222542.29742053774</v>
      </c>
    </row>
    <row r="13" spans="13:19" ht="13.5" thickBot="1">
      <c r="M13" s="19" t="s">
        <v>81</v>
      </c>
      <c r="N13" s="26">
        <f>SUM(N10:N12)</f>
        <v>240693.08621556536</v>
      </c>
      <c r="O13" s="26">
        <f>SUM(O10:O12)</f>
        <v>79534.23930774193</v>
      </c>
      <c r="P13" s="26">
        <f>SUM(P10:P12)</f>
        <v>583362.060518872</v>
      </c>
      <c r="Q13" s="26">
        <f>SUM(Q10:Q12)</f>
        <v>1156958.8837619147</v>
      </c>
      <c r="R13" s="212">
        <f>S13/S$13</f>
        <v>1</v>
      </c>
      <c r="S13" s="49">
        <f>SUM(N13:Q13)</f>
        <v>2060548.269804094</v>
      </c>
    </row>
    <row r="14" spans="1:18" ht="13.5" thickBot="1">
      <c r="A14" s="412" t="s">
        <v>352</v>
      </c>
      <c r="B14" s="413"/>
      <c r="C14" s="413"/>
      <c r="D14" s="413"/>
      <c r="E14" s="413"/>
      <c r="F14" s="413"/>
      <c r="G14" s="413"/>
      <c r="H14" s="414"/>
      <c r="M14" s="19" t="s">
        <v>314</v>
      </c>
      <c r="N14" s="66">
        <f aca="true" t="shared" si="1" ref="N14:R16">N10/N$13</f>
        <v>0.7719664463247355</v>
      </c>
      <c r="O14" s="66">
        <f t="shared" si="1"/>
        <v>0.5711213577108927</v>
      </c>
      <c r="P14" s="66">
        <f t="shared" si="1"/>
        <v>0.6244530319450299</v>
      </c>
      <c r="Q14" s="66">
        <f t="shared" si="1"/>
        <v>0.6240347763525709</v>
      </c>
      <c r="R14" s="66">
        <f t="shared" si="1"/>
        <v>0.6393907360268539</v>
      </c>
    </row>
    <row r="15" spans="1:18" ht="64.5" thickBot="1">
      <c r="A15" s="351" t="s">
        <v>345</v>
      </c>
      <c r="B15" s="352" t="s">
        <v>542</v>
      </c>
      <c r="C15" s="352" t="s">
        <v>348</v>
      </c>
      <c r="D15" s="352" t="s">
        <v>515</v>
      </c>
      <c r="E15" s="352" t="s">
        <v>363</v>
      </c>
      <c r="F15" s="352" t="s">
        <v>6</v>
      </c>
      <c r="G15" s="352" t="s">
        <v>568</v>
      </c>
      <c r="H15" s="353" t="s">
        <v>563</v>
      </c>
      <c r="I15" s="208"/>
      <c r="J15" s="208"/>
      <c r="M15" s="19" t="s">
        <v>315</v>
      </c>
      <c r="N15" s="66">
        <f t="shared" si="1"/>
        <v>0.10329585010345081</v>
      </c>
      <c r="O15" s="66">
        <f t="shared" si="1"/>
        <v>0.17431329892393466</v>
      </c>
      <c r="P15" s="66">
        <f t="shared" si="1"/>
        <v>0.2443057092244633</v>
      </c>
      <c r="Q15" s="66">
        <f t="shared" si="1"/>
        <v>0.2932388936035575</v>
      </c>
      <c r="R15" s="66">
        <f t="shared" si="1"/>
        <v>0.25260776714740274</v>
      </c>
    </row>
    <row r="16" spans="1:18" ht="12.75">
      <c r="A16" s="356" t="s">
        <v>339</v>
      </c>
      <c r="B16" s="348">
        <f>'Existing Pre-80 Housing Units'!B53</f>
        <v>2750685.6846382543</v>
      </c>
      <c r="C16" s="22">
        <f>'Housing Completion Summary'!B3</f>
        <v>991283.0000000002</v>
      </c>
      <c r="D16" s="348">
        <f>B16*D21</f>
        <v>138285.68463725448</v>
      </c>
      <c r="E16" s="348">
        <f>B3</f>
        <v>3603683</v>
      </c>
      <c r="F16" s="348">
        <f>B16-D16</f>
        <v>2612400.000001</v>
      </c>
      <c r="G16" s="349">
        <f>'Existing Pre-80 Housing Units'!D76</f>
        <v>1.0453131458844769</v>
      </c>
      <c r="H16" s="350">
        <f>B16+C16-D16</f>
        <v>3603683.000001</v>
      </c>
      <c r="I16" s="209"/>
      <c r="J16" s="209"/>
      <c r="M16" s="19" t="s">
        <v>367</v>
      </c>
      <c r="N16" s="66">
        <f t="shared" si="1"/>
        <v>0.12473770357181362</v>
      </c>
      <c r="O16" s="66">
        <f t="shared" si="1"/>
        <v>0.2545653433651727</v>
      </c>
      <c r="P16" s="66">
        <f t="shared" si="1"/>
        <v>0.1312412588305067</v>
      </c>
      <c r="Q16" s="66">
        <f t="shared" si="1"/>
        <v>0.0827263300438716</v>
      </c>
      <c r="R16" s="66">
        <f t="shared" si="1"/>
        <v>0.10800149682574332</v>
      </c>
    </row>
    <row r="17" spans="1:15" ht="12.75">
      <c r="A17" s="336" t="s">
        <v>340</v>
      </c>
      <c r="B17" s="26">
        <f>'Existing Pre-80 Housing Units'!B54</f>
        <v>435809.5256743888</v>
      </c>
      <c r="C17" s="49">
        <f>'Housing Completion Summary'!C3</f>
        <v>354840.00000000006</v>
      </c>
      <c r="D17" s="26">
        <f>B17*D22</f>
        <v>21909.525674388868</v>
      </c>
      <c r="E17" s="26">
        <f>B4</f>
        <v>768740</v>
      </c>
      <c r="F17" s="26">
        <f>B17-D17</f>
        <v>413899.99999999994</v>
      </c>
      <c r="G17" s="66">
        <f>'Existing Pre-80 Housing Units'!D65</f>
        <v>0.9963609407642025</v>
      </c>
      <c r="H17" s="337">
        <f>B17+C17-D17</f>
        <v>768740</v>
      </c>
      <c r="I17" s="209"/>
      <c r="J17" s="209"/>
      <c r="O17" s="7">
        <f>SUM(O14:O16)</f>
        <v>1</v>
      </c>
    </row>
    <row r="18" spans="1:10" ht="12.75">
      <c r="A18" s="336" t="s">
        <v>341</v>
      </c>
      <c r="B18" s="26">
        <f>'Existing Pre-80 Housing Units'!B55</f>
        <v>289931.78968735685</v>
      </c>
      <c r="C18" s="49">
        <f>'Housing Completion Summary'!D3</f>
        <v>262153</v>
      </c>
      <c r="D18" s="26">
        <f>B18*D23</f>
        <v>90182.78968735691</v>
      </c>
      <c r="E18" s="26">
        <f>B5</f>
        <v>461902</v>
      </c>
      <c r="F18" s="26">
        <f>B18-D18</f>
        <v>199748.99999999994</v>
      </c>
      <c r="G18" s="66">
        <v>1</v>
      </c>
      <c r="H18" s="337">
        <f>B18+C18-D18</f>
        <v>461902</v>
      </c>
      <c r="I18" s="209"/>
      <c r="J18" s="209"/>
    </row>
    <row r="19" spans="1:10" ht="13.5" thickBot="1">
      <c r="A19" s="338"/>
      <c r="B19" s="354">
        <f>'Existing Pre-80 Housing Units'!B52</f>
        <v>3476427</v>
      </c>
      <c r="C19" s="82">
        <f>'Housing Completion Summary'!E3</f>
        <v>1608276.0000000002</v>
      </c>
      <c r="D19" s="354">
        <f>SUM(D16:D18)</f>
        <v>250377.99999900025</v>
      </c>
      <c r="E19" s="354">
        <f>B6</f>
        <v>4834325</v>
      </c>
      <c r="F19" s="354">
        <f>B19-D19</f>
        <v>3226049.000001</v>
      </c>
      <c r="G19" s="66"/>
      <c r="H19" s="337">
        <f>B19+C19-D19</f>
        <v>4834325.000000999</v>
      </c>
      <c r="I19" s="209"/>
      <c r="J19" s="209"/>
    </row>
    <row r="20" spans="1:8" ht="39" thickBot="1">
      <c r="A20" s="351" t="s">
        <v>345</v>
      </c>
      <c r="B20" s="352" t="s">
        <v>354</v>
      </c>
      <c r="C20" s="352" t="s">
        <v>358</v>
      </c>
      <c r="D20" s="352" t="s">
        <v>357</v>
      </c>
      <c r="E20" s="352" t="s">
        <v>347</v>
      </c>
      <c r="F20" s="358">
        <f>F19/E19</f>
        <v>0.6673214978308243</v>
      </c>
      <c r="G20" s="275"/>
      <c r="H20" s="339"/>
    </row>
    <row r="21" spans="1:18" ht="12.75">
      <c r="A21" s="356" t="s">
        <v>339</v>
      </c>
      <c r="B21" s="260">
        <f>'Existing Pre-80 Housing Units'!C47</f>
        <v>0.7912393053667615</v>
      </c>
      <c r="C21" s="357">
        <f>'Housing Completion Summary'!B6</f>
        <v>0.616363733588016</v>
      </c>
      <c r="D21" s="355">
        <v>0.05027316839926063</v>
      </c>
      <c r="E21" s="260">
        <f>E16/E$19</f>
        <v>0.7454366431714873</v>
      </c>
      <c r="F21" s="208"/>
      <c r="G21" s="208"/>
      <c r="H21" s="339"/>
      <c r="M21" s="263" t="s">
        <v>11</v>
      </c>
      <c r="N21" s="264" t="s">
        <v>12</v>
      </c>
      <c r="O21" s="264"/>
      <c r="P21" s="264"/>
      <c r="Q21" s="265"/>
      <c r="R21" t="s">
        <v>518</v>
      </c>
    </row>
    <row r="22" spans="1:18" ht="12.75">
      <c r="A22" s="336" t="s">
        <v>340</v>
      </c>
      <c r="B22" s="66">
        <f>'Existing Pre-80 Housing Units'!C48</f>
        <v>0.12536133382763073</v>
      </c>
      <c r="C22" s="44">
        <f>'Housing Completion Summary'!C6</f>
        <v>0.22063377181528543</v>
      </c>
      <c r="D22" s="197">
        <v>0.05027316839962414</v>
      </c>
      <c r="E22" s="66">
        <f>E17/E$19</f>
        <v>0.15901702926468536</v>
      </c>
      <c r="F22" s="208"/>
      <c r="G22" s="208"/>
      <c r="H22" s="339"/>
      <c r="M22" s="58">
        <v>1980</v>
      </c>
      <c r="N22" s="19">
        <v>1980</v>
      </c>
      <c r="O22" s="19">
        <v>2025</v>
      </c>
      <c r="P22" s="19">
        <v>2025</v>
      </c>
      <c r="Q22" s="61">
        <v>2025</v>
      </c>
      <c r="R22" s="208"/>
    </row>
    <row r="23" spans="1:18" ht="12.75">
      <c r="A23" s="336" t="s">
        <v>341</v>
      </c>
      <c r="B23" s="66">
        <f>'Existing Pre-80 Housing Units'!C49</f>
        <v>0.08339936080560785</v>
      </c>
      <c r="C23" s="44">
        <f>'Housing Completion Summary'!D6</f>
        <v>0.16300249459669855</v>
      </c>
      <c r="D23" s="197">
        <v>0.3110482978931149</v>
      </c>
      <c r="E23" s="66">
        <v>0.09554632756382742</v>
      </c>
      <c r="F23" s="208"/>
      <c r="G23" s="208"/>
      <c r="H23" s="339"/>
      <c r="M23" s="266">
        <v>2620215.6044685645</v>
      </c>
      <c r="N23" s="49">
        <f>(0.36899*(N22^3)-2436.86401*(N22^2)+5299328.99562*(N22)-3801245575.34114)</f>
        <v>2189195.2624616623</v>
      </c>
      <c r="O23" s="49">
        <f>0.36899*(O22^3)-2436.86401*(O22^2)+5299328.99562*(O22)-3801245575.34114</f>
        <v>1236637.751862526</v>
      </c>
      <c r="P23" s="262">
        <f>O23/N23</f>
        <v>0.5648823442418637</v>
      </c>
      <c r="Q23" s="267">
        <f>M23*P23</f>
        <v>1480113.5330713147</v>
      </c>
      <c r="R23" s="272"/>
    </row>
    <row r="24" spans="1:18" ht="13.5" thickBot="1">
      <c r="A24" s="237" t="s">
        <v>81</v>
      </c>
      <c r="B24" s="340">
        <f>SUM(B21:B23)</f>
        <v>1</v>
      </c>
      <c r="C24" s="340">
        <f>SUM(C21:C23)</f>
        <v>1</v>
      </c>
      <c r="D24" s="341">
        <f>D19/B19</f>
        <v>0.07202164751309326</v>
      </c>
      <c r="E24" s="221">
        <f>E19/E$19</f>
        <v>1</v>
      </c>
      <c r="F24" s="342"/>
      <c r="G24" s="342"/>
      <c r="H24" s="343"/>
      <c r="M24" s="266">
        <v>561575.1253391836</v>
      </c>
      <c r="N24" s="49">
        <f>-0.20904*(N22^3)+1206.21734*(N22^2)-2319560.66074*(N22)+1486976606.92184</f>
        <v>450534.7126390934</v>
      </c>
      <c r="O24" s="49">
        <f>-0.20904*(O22^3)+1206.21734*(O22^2)-2319560.66074*(O22)+1486976606.92184</f>
        <v>292082.510838747</v>
      </c>
      <c r="P24" s="262">
        <f>O24/N24</f>
        <v>0.6483019013736316</v>
      </c>
      <c r="Q24" s="267">
        <f>M24*P24</f>
        <v>364070.22152152826</v>
      </c>
      <c r="R24" s="272"/>
    </row>
    <row r="25" spans="13:18" ht="12.75">
      <c r="M25" s="266">
        <v>294636.27019225224</v>
      </c>
      <c r="N25" s="49">
        <f>5.33764*(N22^3)-32076.01079*(N22^2)+64243951.63847*(N22)-42884831354.1406</f>
        <v>254223.79401397705</v>
      </c>
      <c r="O25" s="49">
        <f>5.33764*(O22^3)-32076.01079*(O22^2)+64243951.63847*(O22)-42884831354.1406</f>
        <v>-9481.357597351074</v>
      </c>
      <c r="P25" s="262">
        <f>O25/N25</f>
        <v>-0.03729531940204541</v>
      </c>
      <c r="Q25" s="267">
        <v>0</v>
      </c>
      <c r="R25" s="272"/>
    </row>
    <row r="26" spans="13:18" ht="13.5" thickBot="1">
      <c r="M26" s="268">
        <v>3476427</v>
      </c>
      <c r="N26" s="269">
        <f>SUM(N23:N25)</f>
        <v>2893953.7691147327</v>
      </c>
      <c r="O26" s="269">
        <f>SUM(O23:O25)</f>
        <v>1519238.905103922</v>
      </c>
      <c r="P26" s="270">
        <f>O26/N26</f>
        <v>0.52496999824868</v>
      </c>
      <c r="Q26" s="271">
        <f>SUM(Q23:Q25)</f>
        <v>1844183.754592843</v>
      </c>
      <c r="R26" s="272"/>
    </row>
    <row r="27" spans="15:18" ht="12.75">
      <c r="O27" s="2"/>
      <c r="P27" s="2"/>
      <c r="Q27" s="2"/>
      <c r="R27" s="2"/>
    </row>
    <row r="29" spans="1:8" ht="76.5">
      <c r="A29" s="386" t="s">
        <v>368</v>
      </c>
      <c r="B29" s="386" t="s">
        <v>382</v>
      </c>
      <c r="C29" s="387" t="s">
        <v>375</v>
      </c>
      <c r="D29" s="386" t="s">
        <v>381</v>
      </c>
      <c r="E29" s="386" t="s">
        <v>399</v>
      </c>
      <c r="F29" s="386" t="s">
        <v>379</v>
      </c>
      <c r="H29" t="s">
        <v>511</v>
      </c>
    </row>
    <row r="30" spans="1:8" ht="12.75">
      <c r="A30" s="24" t="s">
        <v>372</v>
      </c>
      <c r="B30" s="232">
        <f>F61</f>
        <v>1.1203756500436188</v>
      </c>
      <c r="C30" s="388">
        <f>E$6*B30</f>
        <v>8102105.189728484</v>
      </c>
      <c r="D30" s="389">
        <f>1-D32</f>
        <v>0.83</v>
      </c>
      <c r="E30" s="24">
        <v>228</v>
      </c>
      <c r="F30" s="390">
        <f>C30*D30*E30/8760000</f>
        <v>175.02766964660026</v>
      </c>
      <c r="H30" t="s">
        <v>413</v>
      </c>
    </row>
    <row r="31" spans="1:10" ht="12.75">
      <c r="A31" s="24" t="s">
        <v>373</v>
      </c>
      <c r="B31" s="232">
        <f>F62</f>
        <v>0.5673320734574471</v>
      </c>
      <c r="C31" s="388">
        <f aca="true" t="shared" si="2" ref="C31:C40">E$6*B31</f>
        <v>4102716.920418654</v>
      </c>
      <c r="D31" s="389">
        <f>1-D33</f>
        <v>0.9</v>
      </c>
      <c r="E31" s="391">
        <v>81.795</v>
      </c>
      <c r="F31" s="390">
        <f aca="true" t="shared" si="3" ref="F31:F47">C31*D31*E31/8760000</f>
        <v>34.47757505194971</v>
      </c>
      <c r="H31" s="19" t="s">
        <v>414</v>
      </c>
      <c r="I31" s="49">
        <v>111001</v>
      </c>
      <c r="J31" s="66">
        <v>0.022914003281833715</v>
      </c>
    </row>
    <row r="32" spans="1:10" ht="12.75">
      <c r="A32" s="24" t="s">
        <v>370</v>
      </c>
      <c r="B32" s="232">
        <f>F61</f>
        <v>1.1203756500436188</v>
      </c>
      <c r="C32" s="388">
        <f t="shared" si="2"/>
        <v>8102105.189728484</v>
      </c>
      <c r="D32" s="232">
        <v>0.17</v>
      </c>
      <c r="E32" s="391">
        <f>E30+48</f>
        <v>276</v>
      </c>
      <c r="F32" s="390">
        <f t="shared" si="3"/>
        <v>43.39620724909366</v>
      </c>
      <c r="H32" s="19" t="s">
        <v>415</v>
      </c>
      <c r="I32" s="49">
        <v>469055</v>
      </c>
      <c r="J32" s="66">
        <v>0.09682730614463395</v>
      </c>
    </row>
    <row r="33" spans="1:11" ht="12.75">
      <c r="A33" s="24" t="s">
        <v>371</v>
      </c>
      <c r="B33" s="232">
        <f>F62</f>
        <v>0.5673320734574471</v>
      </c>
      <c r="C33" s="388">
        <f t="shared" si="2"/>
        <v>4102716.920418654</v>
      </c>
      <c r="D33" s="232">
        <v>0.1</v>
      </c>
      <c r="E33" s="391">
        <f>E31+32.2875</f>
        <v>114.08250000000001</v>
      </c>
      <c r="F33" s="390">
        <f t="shared" si="3"/>
        <v>5.343016016822617</v>
      </c>
      <c r="H33" s="19" t="s">
        <v>416</v>
      </c>
      <c r="I33" s="49">
        <v>462986</v>
      </c>
      <c r="J33" s="66">
        <v>0.0955744788194977</v>
      </c>
      <c r="K33" t="s">
        <v>751</v>
      </c>
    </row>
    <row r="34" spans="1:11" ht="12.75">
      <c r="A34" s="24" t="s">
        <v>747</v>
      </c>
      <c r="B34" s="232">
        <f>F64</f>
        <v>0.846848788764822</v>
      </c>
      <c r="C34" s="388">
        <f t="shared" si="2"/>
        <v>6124069.16028532</v>
      </c>
      <c r="D34" s="389">
        <f>1-D36</f>
        <v>0.6799999999999999</v>
      </c>
      <c r="E34" s="392">
        <f>286*1.07625</f>
        <v>307.8075</v>
      </c>
      <c r="F34" s="390">
        <f t="shared" si="3"/>
        <v>146.3268726343694</v>
      </c>
      <c r="H34" s="19" t="s">
        <v>417</v>
      </c>
      <c r="I34" s="49">
        <v>678810</v>
      </c>
      <c r="J34" s="66">
        <v>0.1401271571223822</v>
      </c>
      <c r="K34" s="100">
        <f>I34+(2/5*I33)</f>
        <v>864004.4</v>
      </c>
    </row>
    <row r="35" spans="1:10" ht="12.75">
      <c r="A35" s="24" t="s">
        <v>376</v>
      </c>
      <c r="B35" s="232">
        <f>F63</f>
        <v>0.6715642024417108</v>
      </c>
      <c r="C35" s="388">
        <f t="shared" si="2"/>
        <v>4856481.671684869</v>
      </c>
      <c r="D35" s="389">
        <f>1-D37</f>
        <v>0.75</v>
      </c>
      <c r="E35" s="391">
        <v>53.8125</v>
      </c>
      <c r="F35" s="390">
        <f t="shared" si="3"/>
        <v>22.37495033883065</v>
      </c>
      <c r="H35" s="19" t="s">
        <v>418</v>
      </c>
      <c r="I35" s="49">
        <v>1045983</v>
      </c>
      <c r="J35" s="66">
        <v>0.21592290064722186</v>
      </c>
    </row>
    <row r="36" spans="1:10" ht="12.75">
      <c r="A36" s="24" t="s">
        <v>748</v>
      </c>
      <c r="B36" s="232">
        <f>F64</f>
        <v>0.846848788764822</v>
      </c>
      <c r="C36" s="388">
        <f t="shared" si="2"/>
        <v>6124069.16028532</v>
      </c>
      <c r="D36" s="232">
        <v>0.32</v>
      </c>
      <c r="E36" s="391">
        <f>320*1.07625</f>
        <v>344.4</v>
      </c>
      <c r="F36" s="390">
        <f t="shared" si="3"/>
        <v>77.04582351789092</v>
      </c>
      <c r="H36" s="19" t="s">
        <v>419</v>
      </c>
      <c r="I36" s="49">
        <v>562052</v>
      </c>
      <c r="J36" s="66">
        <v>0.11602473286331838</v>
      </c>
    </row>
    <row r="37" spans="1:10" ht="12.75">
      <c r="A37" s="24" t="s">
        <v>377</v>
      </c>
      <c r="B37" s="232">
        <f>F63</f>
        <v>0.6715642024417108</v>
      </c>
      <c r="C37" s="388">
        <f t="shared" si="2"/>
        <v>4856481.671684869</v>
      </c>
      <c r="D37" s="232">
        <v>0.25</v>
      </c>
      <c r="E37" s="391">
        <f>E35+120.54</f>
        <v>174.35250000000002</v>
      </c>
      <c r="F37" s="390">
        <f t="shared" si="3"/>
        <v>24.164946365937105</v>
      </c>
      <c r="H37" s="19" t="s">
        <v>420</v>
      </c>
      <c r="I37" s="49">
        <v>489736</v>
      </c>
      <c r="J37" s="66">
        <v>0.10109649743004222</v>
      </c>
    </row>
    <row r="38" spans="1:10" ht="12.75">
      <c r="A38" s="24" t="s">
        <v>400</v>
      </c>
      <c r="B38" s="232">
        <f>F66</f>
        <v>0.6380151065473334</v>
      </c>
      <c r="C38" s="388">
        <f t="shared" si="2"/>
        <v>4613868.130462376</v>
      </c>
      <c r="D38" s="232">
        <v>1</v>
      </c>
      <c r="E38" s="391">
        <v>140</v>
      </c>
      <c r="F38" s="390">
        <f t="shared" si="3"/>
        <v>73.73761852337131</v>
      </c>
      <c r="H38" s="19" t="s">
        <v>421</v>
      </c>
      <c r="I38" s="49">
        <v>353279</v>
      </c>
      <c r="J38" s="66">
        <v>0.07292759673699276</v>
      </c>
    </row>
    <row r="39" spans="1:10" ht="12.75">
      <c r="A39" s="24" t="s">
        <v>401</v>
      </c>
      <c r="B39" s="232">
        <f>F70</f>
        <v>0.11108768106901334</v>
      </c>
      <c r="C39" s="388">
        <f t="shared" si="2"/>
        <v>803341.3411556337</v>
      </c>
      <c r="D39" s="389">
        <f>1-D40</f>
        <v>0.86</v>
      </c>
      <c r="E39" s="391">
        <v>80</v>
      </c>
      <c r="F39" s="390">
        <f t="shared" si="3"/>
        <v>6.309347519578493</v>
      </c>
      <c r="H39" s="19" t="s">
        <v>422</v>
      </c>
      <c r="I39" s="49">
        <v>671341</v>
      </c>
      <c r="J39" s="66">
        <v>0.13858532695407724</v>
      </c>
    </row>
    <row r="40" spans="1:6" ht="12.75">
      <c r="A40" s="24" t="s">
        <v>374</v>
      </c>
      <c r="B40" s="232">
        <f>F70</f>
        <v>0.11108768106901334</v>
      </c>
      <c r="C40" s="388">
        <f t="shared" si="2"/>
        <v>803341.3411556337</v>
      </c>
      <c r="D40" s="232">
        <v>0.14</v>
      </c>
      <c r="E40" s="391">
        <f>E39+41.97375</f>
        <v>121.97375</v>
      </c>
      <c r="F40" s="390">
        <f t="shared" si="3"/>
        <v>1.565995185788753</v>
      </c>
    </row>
    <row r="41" spans="1:12" ht="25.5">
      <c r="A41" s="24" t="s">
        <v>378</v>
      </c>
      <c r="B41" s="232"/>
      <c r="C41" s="388"/>
      <c r="D41" s="24"/>
      <c r="E41" s="391"/>
      <c r="F41" s="24"/>
      <c r="G41" s="27" t="s">
        <v>345</v>
      </c>
      <c r="H41" s="27" t="s">
        <v>354</v>
      </c>
      <c r="I41" s="274">
        <f>SUM(I35:I39)</f>
        <v>3122391</v>
      </c>
      <c r="J41" s="66">
        <f>SUM(J35:J39)</f>
        <v>0.6445570546316525</v>
      </c>
      <c r="K41" t="s">
        <v>520</v>
      </c>
      <c r="L41" t="s">
        <v>521</v>
      </c>
    </row>
    <row r="42" spans="1:12" ht="12.75">
      <c r="A42" s="65" t="s">
        <v>339</v>
      </c>
      <c r="B42" s="232"/>
      <c r="C42" s="388">
        <v>347331.51185040694</v>
      </c>
      <c r="D42" s="232">
        <v>0.7</v>
      </c>
      <c r="E42" s="391">
        <v>641.9293124999999</v>
      </c>
      <c r="F42" s="390">
        <f t="shared" si="3"/>
        <v>17.81662043700937</v>
      </c>
      <c r="G42" s="190" t="s">
        <v>339</v>
      </c>
      <c r="H42" s="66">
        <v>0.7537093701287455</v>
      </c>
      <c r="I42" s="26">
        <f>H42*I$41</f>
        <v>2353375.353905664</v>
      </c>
      <c r="K42" s="49">
        <v>1876375.8988599777</v>
      </c>
      <c r="L42" s="2">
        <f>I42/K42</f>
        <v>1.254213164502643</v>
      </c>
    </row>
    <row r="43" spans="1:12" ht="12.75">
      <c r="A43" s="65" t="s">
        <v>340</v>
      </c>
      <c r="B43" s="24"/>
      <c r="C43" s="388">
        <v>374179.31243173266</v>
      </c>
      <c r="D43" s="232">
        <v>0.7</v>
      </c>
      <c r="E43" s="391">
        <v>475.7025</v>
      </c>
      <c r="F43" s="390">
        <f t="shared" si="3"/>
        <v>14.223587221511346</v>
      </c>
      <c r="G43" s="190" t="s">
        <v>340</v>
      </c>
      <c r="H43" s="66">
        <v>0.16153801743548293</v>
      </c>
      <c r="I43" s="26">
        <f>H43*I$41</f>
        <v>504384.851798395</v>
      </c>
      <c r="K43" s="49">
        <v>404645.44183945656</v>
      </c>
      <c r="L43" s="2">
        <f>I43/K43</f>
        <v>1.2464859347124688</v>
      </c>
    </row>
    <row r="44" spans="1:12" ht="12.75">
      <c r="A44" s="65" t="s">
        <v>341</v>
      </c>
      <c r="B44" s="24"/>
      <c r="C44" s="388">
        <v>169060.15032753567</v>
      </c>
      <c r="D44" s="232">
        <v>0.7</v>
      </c>
      <c r="E44" s="391">
        <v>1144.05375</v>
      </c>
      <c r="F44" s="390">
        <f t="shared" si="3"/>
        <v>15.455448546854639</v>
      </c>
      <c r="G44" s="190" t="s">
        <v>341</v>
      </c>
      <c r="H44" s="66">
        <v>0.08475261243577162</v>
      </c>
      <c r="I44" s="26">
        <f>H44*I$41</f>
        <v>264630.79429594136</v>
      </c>
      <c r="K44" s="49">
        <v>148762.7994003296</v>
      </c>
      <c r="L44" s="2">
        <f>I44/K44</f>
        <v>1.7788774839051265</v>
      </c>
    </row>
    <row r="45" spans="1:12" ht="12.75">
      <c r="A45" s="24"/>
      <c r="B45" s="24"/>
      <c r="C45" s="24"/>
      <c r="D45" s="232"/>
      <c r="E45" s="232"/>
      <c r="F45" s="232"/>
      <c r="G45" s="19"/>
      <c r="H45" s="44">
        <f>SUM(H42:H44)</f>
        <v>1</v>
      </c>
      <c r="I45" s="26">
        <f>H45*I$41</f>
        <v>3122391</v>
      </c>
      <c r="K45" s="26">
        <v>2429784.140099764</v>
      </c>
      <c r="L45" s="2">
        <f>I45/K45</f>
        <v>1.2850487203656695</v>
      </c>
    </row>
    <row r="46" spans="1:6" ht="12.75">
      <c r="A46" s="24" t="s">
        <v>380</v>
      </c>
      <c r="B46" s="24" t="s">
        <v>585</v>
      </c>
      <c r="C46" s="390">
        <f>E6</f>
        <v>7231597</v>
      </c>
      <c r="D46" s="232">
        <v>0.3</v>
      </c>
      <c r="E46" s="24">
        <v>76</v>
      </c>
      <c r="F46" s="390">
        <f t="shared" si="3"/>
        <v>18.821964794520547</v>
      </c>
    </row>
    <row r="47" spans="1:6" ht="12.75">
      <c r="A47" s="24" t="s">
        <v>369</v>
      </c>
      <c r="B47" s="389">
        <v>0.15</v>
      </c>
      <c r="C47" s="388">
        <v>721982.5782774865</v>
      </c>
      <c r="D47" s="232">
        <f>1-D44</f>
        <v>0.30000000000000004</v>
      </c>
      <c r="E47" s="24">
        <v>860</v>
      </c>
      <c r="F47" s="390">
        <f t="shared" si="3"/>
        <v>21.263870456117754</v>
      </c>
    </row>
    <row r="48" spans="1:6" ht="12.75">
      <c r="A48" s="24"/>
      <c r="B48" s="24"/>
      <c r="C48" s="24"/>
      <c r="D48" s="24"/>
      <c r="E48" s="24"/>
      <c r="F48" s="390">
        <f>SUM(F30:F47)</f>
        <v>697.3515135062468</v>
      </c>
    </row>
    <row r="52" ht="13.5" thickBot="1">
      <c r="D52" s="11"/>
    </row>
    <row r="53" spans="1:6" ht="13.5" thickBot="1">
      <c r="A53" s="255" t="s">
        <v>383</v>
      </c>
      <c r="B53" s="256" t="s">
        <v>39</v>
      </c>
      <c r="C53" s="256" t="s">
        <v>40</v>
      </c>
      <c r="D53" s="256" t="s">
        <v>41</v>
      </c>
      <c r="E53" s="256" t="s">
        <v>42</v>
      </c>
      <c r="F53" s="257" t="s">
        <v>43</v>
      </c>
    </row>
    <row r="54" spans="1:6" ht="12.75">
      <c r="A54" s="253" t="s">
        <v>384</v>
      </c>
      <c r="B54" s="22">
        <v>531075</v>
      </c>
      <c r="C54" s="22">
        <v>401168</v>
      </c>
      <c r="D54" s="22">
        <v>1434298</v>
      </c>
      <c r="E54" s="22">
        <v>2429513</v>
      </c>
      <c r="F54" s="254">
        <v>4796054</v>
      </c>
    </row>
    <row r="55" spans="1:6" ht="12.75">
      <c r="A55" s="58" t="s">
        <v>326</v>
      </c>
      <c r="B55" s="66">
        <v>0.1107316556485811</v>
      </c>
      <c r="C55" s="66">
        <v>0.08364543018072775</v>
      </c>
      <c r="D55" s="66">
        <v>0.2990579338764743</v>
      </c>
      <c r="E55" s="66">
        <v>0.5065649802942168</v>
      </c>
      <c r="F55" s="218">
        <v>1</v>
      </c>
    </row>
    <row r="56" spans="1:6" ht="12.75">
      <c r="A56" s="58" t="s">
        <v>314</v>
      </c>
      <c r="B56" s="66">
        <v>0.7747453540896133</v>
      </c>
      <c r="C56" s="66">
        <v>0.7893385641142809</v>
      </c>
      <c r="D56" s="66">
        <v>0.7050152358258817</v>
      </c>
      <c r="E56" s="66">
        <v>0.803169832943577</v>
      </c>
      <c r="F56" s="218">
        <v>0.769511509893462</v>
      </c>
    </row>
    <row r="57" spans="1:6" ht="12.75">
      <c r="A57" s="58" t="s">
        <v>315</v>
      </c>
      <c r="B57" s="66">
        <v>0.10953062005909824</v>
      </c>
      <c r="C57" s="66">
        <v>0.032433125755975574</v>
      </c>
      <c r="D57" s="66">
        <v>0.16842635916080426</v>
      </c>
      <c r="E57" s="66">
        <v>0.1354713348736597</v>
      </c>
      <c r="F57" s="218">
        <v>0.13383566272099764</v>
      </c>
    </row>
    <row r="58" spans="1:6" ht="13.5" thickBot="1">
      <c r="A58" s="79" t="s">
        <v>367</v>
      </c>
      <c r="B58" s="81">
        <v>0.1033268356618064</v>
      </c>
      <c r="C58" s="81">
        <v>0.17277031154337835</v>
      </c>
      <c r="D58" s="81">
        <v>0.12655840501331395</v>
      </c>
      <c r="E58" s="81">
        <v>0.058449928137198584</v>
      </c>
      <c r="F58" s="258">
        <v>0.09334998043026699</v>
      </c>
    </row>
    <row r="59" spans="1:6" ht="13.5" thickBot="1">
      <c r="A59" s="255" t="s">
        <v>385</v>
      </c>
      <c r="B59" s="256" t="s">
        <v>39</v>
      </c>
      <c r="C59" s="256" t="s">
        <v>40</v>
      </c>
      <c r="D59" s="256" t="s">
        <v>41</v>
      </c>
      <c r="E59" s="256" t="s">
        <v>42</v>
      </c>
      <c r="F59" s="257" t="s">
        <v>43</v>
      </c>
    </row>
    <row r="60" spans="1:6" ht="12.75">
      <c r="A60" s="259" t="s">
        <v>386</v>
      </c>
      <c r="B60" s="260">
        <v>0.8854969554206094</v>
      </c>
      <c r="C60" s="260">
        <v>0.830973459691194</v>
      </c>
      <c r="D60" s="260">
        <v>0.850148138734938</v>
      </c>
      <c r="E60" s="260">
        <v>0.7943411349222869</v>
      </c>
      <c r="F60" s="261">
        <v>0.8241886236679343</v>
      </c>
    </row>
    <row r="61" spans="1:6" ht="12.75">
      <c r="A61" s="219" t="s">
        <v>387</v>
      </c>
      <c r="B61" s="66">
        <v>1.1868244957694756</v>
      </c>
      <c r="C61" s="66">
        <v>1.1303615350386575</v>
      </c>
      <c r="D61" s="66">
        <v>1.236418111918277</v>
      </c>
      <c r="E61" s="66">
        <v>1.0356941483445343</v>
      </c>
      <c r="F61" s="218">
        <v>1.1203756500436188</v>
      </c>
    </row>
    <row r="62" spans="1:6" ht="12.75">
      <c r="A62" s="219" t="s">
        <v>388</v>
      </c>
      <c r="B62" s="66">
        <v>0.7082716098416494</v>
      </c>
      <c r="C62" s="66">
        <v>0.8553106022957007</v>
      </c>
      <c r="D62" s="66">
        <v>0.5868261426932763</v>
      </c>
      <c r="E62" s="66">
        <v>0.47746322350314097</v>
      </c>
      <c r="F62" s="218">
        <v>0.5673320734574471</v>
      </c>
    </row>
    <row r="63" spans="1:6" ht="12.75">
      <c r="A63" s="219" t="s">
        <v>389</v>
      </c>
      <c r="B63" s="66">
        <v>0.6321177006479433</v>
      </c>
      <c r="C63" s="66">
        <v>0.6047104822725234</v>
      </c>
      <c r="D63" s="66">
        <v>0.7499993472211292</v>
      </c>
      <c r="E63" s="66">
        <v>0.644920695231059</v>
      </c>
      <c r="F63" s="218">
        <v>0.6715642024417108</v>
      </c>
    </row>
    <row r="64" spans="1:6" ht="12.75">
      <c r="A64" s="219" t="s">
        <v>390</v>
      </c>
      <c r="B64" s="66">
        <v>0.9076398390992435</v>
      </c>
      <c r="C64" s="66">
        <v>0.9332436739300042</v>
      </c>
      <c r="D64" s="66">
        <v>0.8760229148630703</v>
      </c>
      <c r="E64" s="66">
        <v>0.8020711477055793</v>
      </c>
      <c r="F64" s="218">
        <v>0.846848788764822</v>
      </c>
    </row>
    <row r="65" spans="1:6" ht="12.75">
      <c r="A65" s="219" t="s">
        <v>391</v>
      </c>
      <c r="B65" s="66">
        <v>0.8632964957825991</v>
      </c>
      <c r="C65" s="66">
        <v>0.8637451044642558</v>
      </c>
      <c r="D65" s="66">
        <v>0.8477875826926753</v>
      </c>
      <c r="E65" s="66">
        <v>0.7885081325214603</v>
      </c>
      <c r="F65" s="218">
        <v>0.8208107905818012</v>
      </c>
    </row>
    <row r="66" spans="1:6" ht="12.75">
      <c r="A66" s="219" t="s">
        <v>392</v>
      </c>
      <c r="B66" s="66">
        <v>0.4707999231777573</v>
      </c>
      <c r="C66" s="66">
        <v>0.5268258539542354</v>
      </c>
      <c r="D66" s="66">
        <v>0.7142805765658526</v>
      </c>
      <c r="E66" s="66">
        <v>0.6479026693945558</v>
      </c>
      <c r="F66" s="218">
        <v>0.6380151065473334</v>
      </c>
    </row>
    <row r="67" spans="1:6" ht="12.75">
      <c r="A67" s="219" t="s">
        <v>393</v>
      </c>
      <c r="B67" s="66">
        <v>0.9102152823492509</v>
      </c>
      <c r="C67" s="66">
        <v>0.9039892089501232</v>
      </c>
      <c r="D67" s="66">
        <v>0.9287378555303719</v>
      </c>
      <c r="E67" s="66">
        <v>0.8340524306053736</v>
      </c>
      <c r="F67" s="218">
        <v>0.8766523887342773</v>
      </c>
    </row>
    <row r="68" spans="1:6" ht="12.75">
      <c r="A68" s="219" t="s">
        <v>394</v>
      </c>
      <c r="B68" s="66">
        <v>1.5836024477597253</v>
      </c>
      <c r="C68" s="66">
        <v>1.4779767778133874</v>
      </c>
      <c r="D68" s="66">
        <v>1.8303426279169428</v>
      </c>
      <c r="E68" s="66">
        <v>1.798717027382315</v>
      </c>
      <c r="F68" s="218">
        <v>1.7575264644285786</v>
      </c>
    </row>
    <row r="69" spans="1:6" ht="12.75">
      <c r="A69" s="219" t="s">
        <v>395</v>
      </c>
      <c r="B69" s="66">
        <v>1</v>
      </c>
      <c r="C69" s="66">
        <v>0.9962986017534069</v>
      </c>
      <c r="D69" s="66">
        <v>1</v>
      </c>
      <c r="E69" s="66">
        <v>1</v>
      </c>
      <c r="F69" s="218">
        <v>0.9996903949513934</v>
      </c>
    </row>
    <row r="70" spans="1:6" ht="12.75">
      <c r="A70" s="219" t="s">
        <v>396</v>
      </c>
      <c r="B70" s="66">
        <v>0.18676961074984325</v>
      </c>
      <c r="C70" s="66">
        <v>0.14421383652761985</v>
      </c>
      <c r="D70" s="66">
        <v>0.12276658324948739</v>
      </c>
      <c r="E70" s="66">
        <v>0.08217943469292294</v>
      </c>
      <c r="F70" s="218">
        <v>0.11108768106901334</v>
      </c>
    </row>
    <row r="71" spans="1:6" ht="12.75">
      <c r="A71" s="219" t="s">
        <v>397</v>
      </c>
      <c r="B71" s="66">
        <v>0.24852709123696454</v>
      </c>
      <c r="C71" s="66">
        <v>0.1439468935169628</v>
      </c>
      <c r="D71" s="66">
        <v>0.2709698440972251</v>
      </c>
      <c r="E71" s="66">
        <v>0.10608882771092612</v>
      </c>
      <c r="F71" s="218">
        <v>0.17433688275496917</v>
      </c>
    </row>
    <row r="72" spans="1:6" ht="13.5" thickBot="1">
      <c r="A72" s="220" t="s">
        <v>398</v>
      </c>
      <c r="B72" s="221">
        <v>0.34250767814875804</v>
      </c>
      <c r="C72" s="221">
        <v>0.1747592330964088</v>
      </c>
      <c r="D72" s="221">
        <v>0.48640513684450354</v>
      </c>
      <c r="E72" s="221">
        <v>0.4375094317054111</v>
      </c>
      <c r="F72" s="222">
        <v>0.4196345254061731</v>
      </c>
    </row>
    <row r="73" ht="13.5" thickBot="1"/>
    <row r="74" spans="1:6" ht="13.5" thickBot="1">
      <c r="A74" s="250" t="s">
        <v>8</v>
      </c>
      <c r="B74" s="251">
        <f>'Historical Heating Fuel'!E3</f>
        <v>0.28896374549092124</v>
      </c>
      <c r="C74" s="251">
        <f>'Historical Heating Fuel'!E4</f>
        <v>0.14384175807131744</v>
      </c>
      <c r="D74" s="251">
        <f>'Historical Heating Fuel'!E5</f>
        <v>0.4299326293152999</v>
      </c>
      <c r="E74" s="251">
        <f>'Historical Heating Fuel'!E6</f>
        <v>0.5097830503827707</v>
      </c>
      <c r="F74" s="252">
        <f>'Historical Heating Fuel'!E7</f>
        <v>0.4327611362619928</v>
      </c>
    </row>
  </sheetData>
  <mergeCells count="2">
    <mergeCell ref="A14:H14"/>
    <mergeCell ref="A1:H1"/>
  </mergeCells>
  <printOptions/>
  <pageMargins left="0.75" right="0.75" top="1" bottom="1" header="0.5" footer="0.5"/>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dimension ref="A1:O27"/>
  <sheetViews>
    <sheetView workbookViewId="0" topLeftCell="A1">
      <selection activeCell="B28" sqref="B28:D28"/>
    </sheetView>
  </sheetViews>
  <sheetFormatPr defaultColWidth="9.140625" defaultRowHeight="12.75"/>
  <cols>
    <col min="2" max="2" width="10.28125" style="0" bestFit="1" customWidth="1"/>
    <col min="3" max="3" width="9.57421875" style="0" customWidth="1"/>
    <col min="4" max="4" width="12.140625" style="0" customWidth="1"/>
    <col min="5" max="6" width="12.28125" style="0" customWidth="1"/>
  </cols>
  <sheetData>
    <row r="1" ht="12.75">
      <c r="A1" t="s">
        <v>27</v>
      </c>
    </row>
    <row r="2" ht="12.75">
      <c r="A2" t="s">
        <v>32</v>
      </c>
    </row>
    <row r="3" spans="1:15" ht="38.25">
      <c r="A3" s="19"/>
      <c r="B3" s="27" t="s">
        <v>15</v>
      </c>
      <c r="C3" s="27" t="s">
        <v>120</v>
      </c>
      <c r="D3" s="27" t="s">
        <v>17</v>
      </c>
      <c r="E3" s="27" t="s">
        <v>18</v>
      </c>
      <c r="F3" s="27" t="s">
        <v>19</v>
      </c>
      <c r="G3" s="27" t="s">
        <v>28</v>
      </c>
      <c r="H3" s="27" t="s">
        <v>29</v>
      </c>
      <c r="I3" s="27" t="s">
        <v>30</v>
      </c>
      <c r="J3" t="s">
        <v>79</v>
      </c>
      <c r="K3" s="3" t="s">
        <v>31</v>
      </c>
      <c r="M3" s="206" t="s">
        <v>359</v>
      </c>
      <c r="N3" t="s">
        <v>360</v>
      </c>
      <c r="O3" s="206" t="s">
        <v>361</v>
      </c>
    </row>
    <row r="4" spans="1:9" ht="12.75">
      <c r="A4" s="19"/>
      <c r="B4" s="19"/>
      <c r="C4" s="19"/>
      <c r="D4" s="19"/>
      <c r="E4" s="19"/>
      <c r="F4" s="19"/>
      <c r="G4" s="19"/>
      <c r="H4" s="19"/>
      <c r="I4" s="19"/>
    </row>
    <row r="5" spans="1:11" ht="12.75">
      <c r="A5" s="19">
        <v>1981</v>
      </c>
      <c r="B5" s="51">
        <f>WA!B7+WA!H7</f>
        <v>17851</v>
      </c>
      <c r="C5" s="51">
        <f>WA!N7</f>
        <v>6602</v>
      </c>
      <c r="D5" s="51">
        <f>'MHSHIPMNTS &amp; SF &amp; MF Starts'!E6</f>
        <v>6163</v>
      </c>
      <c r="E5" s="51">
        <f>SUM(B5:D5)</f>
        <v>30616</v>
      </c>
      <c r="F5" s="66">
        <f>D5/(B5+D5)</f>
        <v>0.2566419588573332</v>
      </c>
      <c r="G5" s="66">
        <f>E5/PNWStarts!E5</f>
        <v>0.5527650892808782</v>
      </c>
      <c r="H5" s="66">
        <f>B5/PNWStarts!B5</f>
        <v>0.5481483756064607</v>
      </c>
      <c r="I5" s="68">
        <v>0.14730000000000001</v>
      </c>
      <c r="K5" s="2">
        <f>H5*I5</f>
        <v>0.08074225572683166</v>
      </c>
    </row>
    <row r="6" spans="1:11" ht="12.75">
      <c r="A6" s="19">
        <v>1982</v>
      </c>
      <c r="B6" s="51">
        <f>WA!B8+WA!H8</f>
        <v>12977</v>
      </c>
      <c r="C6" s="51">
        <f>WA!N8</f>
        <v>4608</v>
      </c>
      <c r="D6" s="51">
        <f>'MHSHIPMNTS &amp; SF &amp; MF Starts'!E7</f>
        <v>4840</v>
      </c>
      <c r="E6" s="51">
        <f aca="true" t="shared" si="0" ref="E6:E23">SUM(B6:D6)</f>
        <v>22425</v>
      </c>
      <c r="F6" s="66">
        <f aca="true" t="shared" si="1" ref="F6:F23">D6/(B6+D6)</f>
        <v>0.271650670707751</v>
      </c>
      <c r="G6" s="66">
        <f>E6/PNWStarts!E6</f>
        <v>0.5831643002028397</v>
      </c>
      <c r="H6" s="66">
        <f>B6/PNWStarts!B6</f>
        <v>0.5821632048808937</v>
      </c>
      <c r="I6" s="68">
        <v>0.1489</v>
      </c>
      <c r="K6" s="2">
        <f aca="true" t="shared" si="2" ref="K6:K23">H6*I6</f>
        <v>0.08668410120676508</v>
      </c>
    </row>
    <row r="7" spans="1:11" ht="12.75">
      <c r="A7" s="19">
        <v>1983</v>
      </c>
      <c r="B7" s="51">
        <f>WA!B9+WA!H9</f>
        <v>21010</v>
      </c>
      <c r="C7" s="51">
        <f>WA!N9</f>
        <v>6268</v>
      </c>
      <c r="D7" s="51">
        <f>'MHSHIPMNTS &amp; SF &amp; MF Starts'!E8</f>
        <v>6153</v>
      </c>
      <c r="E7" s="51">
        <f t="shared" si="0"/>
        <v>33431</v>
      </c>
      <c r="F7" s="66">
        <f t="shared" si="1"/>
        <v>0.2265213709825866</v>
      </c>
      <c r="G7" s="66">
        <f>E7/PNWStarts!E7</f>
        <v>0.6036110860341247</v>
      </c>
      <c r="H7" s="66">
        <f>B7/PNWStarts!B7</f>
        <v>0.6084916589434661</v>
      </c>
      <c r="I7" s="68">
        <v>0.1301</v>
      </c>
      <c r="K7" s="2">
        <f t="shared" si="2"/>
        <v>0.07916476482854494</v>
      </c>
    </row>
    <row r="8" spans="1:11" ht="12.75">
      <c r="A8" s="19">
        <v>1984</v>
      </c>
      <c r="B8" s="51">
        <f>WA!B10+WA!H10</f>
        <v>19507</v>
      </c>
      <c r="C8" s="51">
        <f>WA!N10</f>
        <v>10884</v>
      </c>
      <c r="D8" s="51">
        <f>'MHSHIPMNTS &amp; SF &amp; MF Starts'!E9</f>
        <v>6014</v>
      </c>
      <c r="E8" s="51">
        <f t="shared" si="0"/>
        <v>36405</v>
      </c>
      <c r="F8" s="66">
        <f t="shared" si="1"/>
        <v>0.2356490733121743</v>
      </c>
      <c r="G8" s="66">
        <f>E8/PNWStarts!E8</f>
        <v>0.6337255857675034</v>
      </c>
      <c r="H8" s="66">
        <f>B8/PNWStarts!B8</f>
        <v>0.6083959704332096</v>
      </c>
      <c r="I8" s="68">
        <v>0.12179999999999999</v>
      </c>
      <c r="K8" s="2">
        <f t="shared" si="2"/>
        <v>0.07410262919876492</v>
      </c>
    </row>
    <row r="9" spans="1:11" ht="12.75">
      <c r="A9" s="19">
        <v>1985</v>
      </c>
      <c r="B9" s="51">
        <f>WA!B11+WA!H11</f>
        <v>19766</v>
      </c>
      <c r="C9" s="51">
        <f>WA!N11</f>
        <v>14939</v>
      </c>
      <c r="D9" s="51">
        <f>'MHSHIPMNTS &amp; SF &amp; MF Starts'!E10</f>
        <v>5597</v>
      </c>
      <c r="E9" s="51">
        <f t="shared" si="0"/>
        <v>40302</v>
      </c>
      <c r="F9" s="66">
        <f t="shared" si="1"/>
        <v>0.22067578756456255</v>
      </c>
      <c r="G9" s="66">
        <f>E9/PNWStarts!E9</f>
        <v>0.6521675809505316</v>
      </c>
      <c r="H9" s="66">
        <f>B9/PNWStarts!B9</f>
        <v>0.6404640010368738</v>
      </c>
      <c r="I9" s="68">
        <v>0.1116</v>
      </c>
      <c r="K9" s="2">
        <f t="shared" si="2"/>
        <v>0.07147578251571512</v>
      </c>
    </row>
    <row r="10" spans="1:11" ht="12.75">
      <c r="A10" s="19">
        <v>1986</v>
      </c>
      <c r="B10" s="51">
        <f>WA!B12+WA!H12</f>
        <v>21548</v>
      </c>
      <c r="C10" s="51">
        <f>WA!N12</f>
        <v>14886</v>
      </c>
      <c r="D10" s="51">
        <f>'MHSHIPMNTS &amp; SF &amp; MF Starts'!E11</f>
        <v>4550</v>
      </c>
      <c r="E10" s="51">
        <f t="shared" si="0"/>
        <v>40984</v>
      </c>
      <c r="F10" s="66">
        <f t="shared" si="1"/>
        <v>0.17434286152195572</v>
      </c>
      <c r="G10" s="66">
        <f>E10/PNWStarts!E10</f>
        <v>0.6782510839704763</v>
      </c>
      <c r="H10" s="66">
        <f>B10/PNWStarts!B10</f>
        <v>0.6451110711933418</v>
      </c>
      <c r="I10" s="68">
        <v>0.1024</v>
      </c>
      <c r="K10" s="2">
        <f t="shared" si="2"/>
        <v>0.0660593736901982</v>
      </c>
    </row>
    <row r="11" spans="1:11" ht="12.75">
      <c r="A11" s="19">
        <v>1987</v>
      </c>
      <c r="B11" s="51">
        <f>WA!B13+WA!H13</f>
        <v>21843</v>
      </c>
      <c r="C11" s="51">
        <f>WA!N13</f>
        <v>16498</v>
      </c>
      <c r="D11" s="51">
        <f>'MHSHIPMNTS &amp; SF &amp; MF Starts'!E12</f>
        <v>3873</v>
      </c>
      <c r="E11" s="51">
        <f t="shared" si="0"/>
        <v>42214</v>
      </c>
      <c r="F11" s="66">
        <f t="shared" si="1"/>
        <v>0.15060662622491833</v>
      </c>
      <c r="G11" s="66">
        <f>E11/PNWStarts!E11</f>
        <v>0.6758998334827718</v>
      </c>
      <c r="H11" s="66">
        <f>B11/PNWStarts!B11</f>
        <v>0.6483333828025288</v>
      </c>
      <c r="I11" s="68">
        <v>0.0917</v>
      </c>
      <c r="K11" s="2">
        <f t="shared" si="2"/>
        <v>0.0594521712029919</v>
      </c>
    </row>
    <row r="12" spans="1:11" ht="12.75">
      <c r="A12" s="19">
        <v>1988</v>
      </c>
      <c r="B12" s="51">
        <f>WA!B14+WA!H14</f>
        <v>23714</v>
      </c>
      <c r="C12" s="51">
        <f>WA!N14</f>
        <v>21341</v>
      </c>
      <c r="D12" s="51">
        <f>'MHSHIPMNTS &amp; SF &amp; MF Starts'!E13</f>
        <v>4184</v>
      </c>
      <c r="E12" s="51">
        <f t="shared" si="0"/>
        <v>49239</v>
      </c>
      <c r="F12" s="66">
        <f t="shared" si="1"/>
        <v>0.14997490859559826</v>
      </c>
      <c r="G12" s="66">
        <f>E12/PNWStarts!E12</f>
        <v>0.6821223245826695</v>
      </c>
      <c r="H12" s="66">
        <f>B12/PNWStarts!B12</f>
        <v>0.637593095474955</v>
      </c>
      <c r="I12" s="68">
        <v>0.0917</v>
      </c>
      <c r="K12" s="2">
        <f t="shared" si="2"/>
        <v>0.058467286855053376</v>
      </c>
    </row>
    <row r="13" spans="1:11" ht="12.75">
      <c r="A13" s="19">
        <v>1989</v>
      </c>
      <c r="B13" s="51">
        <f>WA!B15+WA!H15</f>
        <v>28546</v>
      </c>
      <c r="C13" s="51">
        <f>WA!N15</f>
        <v>19664</v>
      </c>
      <c r="D13" s="51">
        <f>'MHSHIPMNTS &amp; SF &amp; MF Starts'!E14</f>
        <v>4397</v>
      </c>
      <c r="E13" s="51">
        <f t="shared" si="0"/>
        <v>52607</v>
      </c>
      <c r="F13" s="66">
        <f t="shared" si="1"/>
        <v>0.1334729684606745</v>
      </c>
      <c r="G13" s="66">
        <f>E13/PNWStarts!E13</f>
        <v>0.6060644462621398</v>
      </c>
      <c r="H13" s="66">
        <f>B13/PNWStarts!B13</f>
        <v>0.6240654103449783</v>
      </c>
      <c r="I13" s="68">
        <v>0.10220000000000001</v>
      </c>
      <c r="K13" s="2">
        <f t="shared" si="2"/>
        <v>0.0637794849372568</v>
      </c>
    </row>
    <row r="14" spans="1:11" ht="12.75">
      <c r="A14" s="19">
        <v>1990</v>
      </c>
      <c r="B14" s="51">
        <f>WA!B16+WA!H16</f>
        <v>31390</v>
      </c>
      <c r="C14" s="51">
        <f>WA!N16</f>
        <v>17057</v>
      </c>
      <c r="D14" s="51">
        <f>'MHSHIPMNTS &amp; SF &amp; MF Starts'!E15</f>
        <v>5645</v>
      </c>
      <c r="E14" s="51">
        <f t="shared" si="0"/>
        <v>54092</v>
      </c>
      <c r="F14" s="66">
        <f t="shared" si="1"/>
        <v>0.15242338328608074</v>
      </c>
      <c r="G14" s="66">
        <f>E14/PNWStarts!E14</f>
        <v>0.6002552294290628</v>
      </c>
      <c r="H14" s="66">
        <f>B14/PNWStarts!B14</f>
        <v>0.6032246286296289</v>
      </c>
      <c r="I14" s="68">
        <v>0.10369999999999999</v>
      </c>
      <c r="K14" s="2">
        <f t="shared" si="2"/>
        <v>0.06255439398889251</v>
      </c>
    </row>
    <row r="15" spans="1:11" ht="12.75">
      <c r="A15" s="19">
        <v>1991</v>
      </c>
      <c r="B15" s="51">
        <f>WA!B17+WA!H17</f>
        <v>25389</v>
      </c>
      <c r="C15" s="51">
        <f>WA!N17</f>
        <v>7624</v>
      </c>
      <c r="D15" s="51">
        <f>'MHSHIPMNTS &amp; SF &amp; MF Starts'!E16</f>
        <v>5353</v>
      </c>
      <c r="E15" s="51">
        <f t="shared" si="0"/>
        <v>38366</v>
      </c>
      <c r="F15" s="66">
        <f t="shared" si="1"/>
        <v>0.1741266020428079</v>
      </c>
      <c r="G15" s="66">
        <f>E15/PNWStarts!E15</f>
        <v>0.5522274199352285</v>
      </c>
      <c r="H15" s="66">
        <f>B15/PNWStarts!B15</f>
        <v>0.5589212988442488</v>
      </c>
      <c r="I15" s="68">
        <v>0.0947</v>
      </c>
      <c r="K15" s="2">
        <f t="shared" si="2"/>
        <v>0.05292984700055037</v>
      </c>
    </row>
    <row r="16" spans="1:11" ht="12.75">
      <c r="A16" s="19">
        <v>1992</v>
      </c>
      <c r="B16" s="51">
        <f>WA!B18+WA!H18</f>
        <v>31207</v>
      </c>
      <c r="C16" s="51">
        <f>WA!N18</f>
        <v>8475</v>
      </c>
      <c r="D16" s="51">
        <f>'MHSHIPMNTS &amp; SF &amp; MF Starts'!E17</f>
        <v>5964</v>
      </c>
      <c r="E16" s="51">
        <f t="shared" si="0"/>
        <v>45646</v>
      </c>
      <c r="F16" s="66">
        <f t="shared" si="1"/>
        <v>0.16044766081084716</v>
      </c>
      <c r="G16" s="66">
        <f>E16/PNWStarts!E16</f>
        <v>0.5531306423663706</v>
      </c>
      <c r="H16" s="66">
        <f>B16/PNWStarts!B16</f>
        <v>0.5557890612477515</v>
      </c>
      <c r="I16" s="68">
        <v>0.08220000000000001</v>
      </c>
      <c r="K16" s="2">
        <f t="shared" si="2"/>
        <v>0.04568586083456518</v>
      </c>
    </row>
    <row r="17" spans="1:11" ht="12.75">
      <c r="A17" s="19">
        <v>1993</v>
      </c>
      <c r="B17" s="51">
        <f>WA!B19+WA!H19</f>
        <v>32883</v>
      </c>
      <c r="C17" s="51">
        <f>WA!N19</f>
        <v>8463</v>
      </c>
      <c r="D17" s="51">
        <f>'MHSHIPMNTS &amp; SF &amp; MF Starts'!E18</f>
        <v>6849</v>
      </c>
      <c r="E17" s="51">
        <f t="shared" si="0"/>
        <v>48195</v>
      </c>
      <c r="F17" s="66">
        <f t="shared" si="1"/>
        <v>0.1723799456357596</v>
      </c>
      <c r="G17" s="66">
        <f>E17/PNWStarts!E17</f>
        <v>0.5107404385193349</v>
      </c>
      <c r="H17" s="66">
        <f>B17/PNWStarts!B17</f>
        <v>0.5284616868089483</v>
      </c>
      <c r="I17" s="68">
        <v>0.0705</v>
      </c>
      <c r="K17" s="2">
        <f t="shared" si="2"/>
        <v>0.03725654892003086</v>
      </c>
    </row>
    <row r="18" spans="1:11" ht="12.75">
      <c r="A18" s="19">
        <v>1994</v>
      </c>
      <c r="B18" s="51">
        <f>WA!B20+WA!H20</f>
        <v>34398</v>
      </c>
      <c r="C18" s="51">
        <f>WA!N20</f>
        <v>9701</v>
      </c>
      <c r="D18" s="51">
        <f>'MHSHIPMNTS &amp; SF &amp; MF Starts'!E19</f>
        <v>7332</v>
      </c>
      <c r="E18" s="51">
        <f t="shared" si="0"/>
        <v>51431</v>
      </c>
      <c r="F18" s="66">
        <f t="shared" si="1"/>
        <v>0.17570093457943925</v>
      </c>
      <c r="G18" s="66">
        <f>E18/PNWStarts!E18</f>
        <v>0.49330507011452357</v>
      </c>
      <c r="H18" s="66">
        <f>B18/PNWStarts!B18</f>
        <v>0.521323997453851</v>
      </c>
      <c r="I18" s="68">
        <v>0.0698</v>
      </c>
      <c r="K18" s="2">
        <f t="shared" si="2"/>
        <v>0.036388415022278804</v>
      </c>
    </row>
    <row r="19" spans="1:11" ht="12.75">
      <c r="A19" s="19">
        <v>1995</v>
      </c>
      <c r="B19" s="51">
        <f>WA!B21+WA!H21</f>
        <v>29713</v>
      </c>
      <c r="C19" s="51">
        <f>WA!N21</f>
        <v>8463</v>
      </c>
      <c r="D19" s="51">
        <f>'MHSHIPMNTS &amp; SF &amp; MF Starts'!E20</f>
        <v>7252</v>
      </c>
      <c r="E19" s="51">
        <f t="shared" si="0"/>
        <v>45428</v>
      </c>
      <c r="F19" s="66">
        <f t="shared" si="1"/>
        <v>0.1961855809549574</v>
      </c>
      <c r="G19" s="66">
        <f>E19/PNWStarts!E19</f>
        <v>0.46474608176126364</v>
      </c>
      <c r="H19" s="66">
        <f>B19/PNWStarts!B19</f>
        <v>0.5044138118358062</v>
      </c>
      <c r="I19" s="68">
        <v>0.0766</v>
      </c>
      <c r="K19" s="2">
        <f t="shared" si="2"/>
        <v>0.03863809798662276</v>
      </c>
    </row>
    <row r="20" spans="1:11" ht="12.75">
      <c r="A20" s="19">
        <v>1996</v>
      </c>
      <c r="B20" s="51">
        <f>WA!B22+WA!H22</f>
        <v>30211</v>
      </c>
      <c r="C20" s="51">
        <f>WA!N22</f>
        <v>9455</v>
      </c>
      <c r="D20" s="51">
        <f>'MHSHIPMNTS &amp; SF &amp; MF Starts'!E21</f>
        <v>6257</v>
      </c>
      <c r="E20" s="51">
        <f t="shared" si="0"/>
        <v>45923</v>
      </c>
      <c r="F20" s="66">
        <f t="shared" si="1"/>
        <v>0.1715750795217725</v>
      </c>
      <c r="G20" s="66">
        <f>E20/PNWStarts!E20</f>
        <v>0.4684108527131783</v>
      </c>
      <c r="H20" s="66">
        <f>B20/PNWStarts!B20</f>
        <v>0.4910840553324989</v>
      </c>
      <c r="I20" s="68">
        <v>0.0764</v>
      </c>
      <c r="K20" s="2">
        <f t="shared" si="2"/>
        <v>0.03751882182740291</v>
      </c>
    </row>
    <row r="21" spans="1:11" ht="12.75">
      <c r="A21" s="19">
        <v>1997</v>
      </c>
      <c r="B21" s="51">
        <f>WA!B23+WA!H23</f>
        <v>30905</v>
      </c>
      <c r="C21" s="51">
        <f>WA!N23</f>
        <v>10184</v>
      </c>
      <c r="D21" s="51">
        <f>'MHSHIPMNTS &amp; SF &amp; MF Starts'!E22</f>
        <v>6419</v>
      </c>
      <c r="E21" s="51">
        <f t="shared" si="0"/>
        <v>47508</v>
      </c>
      <c r="F21" s="66">
        <f t="shared" si="1"/>
        <v>0.17198049512378094</v>
      </c>
      <c r="G21" s="66">
        <f>E21/PNWStarts!E21</f>
        <v>0.48379311398283076</v>
      </c>
      <c r="H21" s="66">
        <f>B21/PNWStarts!B21</f>
        <v>0.5054544265083493</v>
      </c>
      <c r="I21" s="68">
        <v>0.07690000000000001</v>
      </c>
      <c r="K21" s="2">
        <f t="shared" si="2"/>
        <v>0.03886944539849206</v>
      </c>
    </row>
    <row r="22" spans="1:11" ht="12.75">
      <c r="A22" s="19">
        <v>1998</v>
      </c>
      <c r="B22" s="51">
        <f>WA!B24+WA!H24</f>
        <v>31943</v>
      </c>
      <c r="C22" s="51">
        <f>WA!N24</f>
        <v>13784</v>
      </c>
      <c r="D22" s="51">
        <f>'MHSHIPMNTS &amp; SF &amp; MF Starts'!E23</f>
        <v>6874</v>
      </c>
      <c r="E22" s="51">
        <f t="shared" si="0"/>
        <v>52601</v>
      </c>
      <c r="F22" s="66">
        <f t="shared" si="1"/>
        <v>0.17708735863152741</v>
      </c>
      <c r="G22" s="66">
        <f>E22/PNWStarts!E22</f>
        <v>0.5067289629593951</v>
      </c>
      <c r="H22" s="66">
        <f>B22/PNWStarts!B22</f>
        <v>0.5036898041565486</v>
      </c>
      <c r="I22" s="68">
        <v>0.0708</v>
      </c>
      <c r="K22" s="2">
        <f t="shared" si="2"/>
        <v>0.035661238134283645</v>
      </c>
    </row>
    <row r="23" spans="1:11" ht="12.75">
      <c r="A23" s="19">
        <v>1999</v>
      </c>
      <c r="B23" s="51">
        <f>WA!B25+WA!H25</f>
        <v>30400</v>
      </c>
      <c r="C23" s="51">
        <f>WA!N25</f>
        <v>12409</v>
      </c>
      <c r="D23" s="51">
        <f>'MHSHIPMNTS &amp; SF &amp; MF Starts'!E24</f>
        <v>5339</v>
      </c>
      <c r="E23" s="51">
        <f t="shared" si="0"/>
        <v>48148</v>
      </c>
      <c r="F23" s="66">
        <f t="shared" si="1"/>
        <v>0.1493886230728336</v>
      </c>
      <c r="G23" s="66">
        <f>E23/PNWStarts!E23</f>
        <v>0.503887894676253</v>
      </c>
      <c r="H23" s="66">
        <f>B23/PNWStarts!B23</f>
        <v>0.4897775056791635</v>
      </c>
      <c r="I23" s="68">
        <f>'SF Mortgage Rates &amp; Home Prices'!S29/100</f>
        <v>0.0708</v>
      </c>
      <c r="K23" s="2">
        <f t="shared" si="2"/>
        <v>0.034676247402084776</v>
      </c>
    </row>
    <row r="24" spans="1:11" ht="12.75">
      <c r="A24" s="19">
        <v>2000</v>
      </c>
      <c r="B24" s="51">
        <f>WA!B26+WA!H26</f>
        <v>27940</v>
      </c>
      <c r="C24" s="51">
        <f>WA!N26</f>
        <v>11243</v>
      </c>
      <c r="D24" s="51">
        <f>'MHSHIPMNTS &amp; SF &amp; MF Starts'!E25</f>
        <v>3853</v>
      </c>
      <c r="E24" s="51">
        <f>SUM(B24:D24)</f>
        <v>43036</v>
      </c>
      <c r="F24" s="66">
        <f>D24/(B24+D24)</f>
        <v>0.12119019910043091</v>
      </c>
      <c r="G24" s="66">
        <f>E24/PNWStarts!E24</f>
        <v>0.523647867615745</v>
      </c>
      <c r="H24" s="66">
        <f>B24/PNWStarts!B24</f>
        <v>0.4892998493923155</v>
      </c>
      <c r="I24" s="68">
        <f>'SF Mortgage Rates &amp; Home Prices'!S30/100</f>
        <v>0.07690000000000001</v>
      </c>
      <c r="K24" s="2">
        <f>H24*I24</f>
        <v>0.037627158418269066</v>
      </c>
    </row>
    <row r="25" spans="1:11" ht="12.75">
      <c r="A25" s="19">
        <v>2001</v>
      </c>
      <c r="B25" s="51">
        <f>WA!B27+WA!H27</f>
        <v>28506</v>
      </c>
      <c r="C25" s="51">
        <f>WA!N27</f>
        <v>9839</v>
      </c>
      <c r="D25" s="51">
        <f>'MHSHIPMNTS &amp; SF &amp; MF Starts'!E26</f>
        <v>2971</v>
      </c>
      <c r="E25" s="51">
        <f>SUM(B25:D25)</f>
        <v>41316</v>
      </c>
      <c r="F25" s="66">
        <f>D25/(B25+D25)</f>
        <v>0.09438637735489405</v>
      </c>
      <c r="G25" s="66">
        <f>E25/PNWStarts!E25</f>
        <v>0.5077297416865337</v>
      </c>
      <c r="H25" s="66">
        <f>B25/PNWStarts!B25</f>
        <v>0.48853470437017993</v>
      </c>
      <c r="I25" s="68">
        <f>'SF Mortgage Rates &amp; Home Prices'!S31/100</f>
        <v>0.0694</v>
      </c>
      <c r="K25" s="2">
        <f>H25*I25</f>
        <v>0.03390430848329049</v>
      </c>
    </row>
    <row r="26" spans="2:11" ht="12.75">
      <c r="B26" s="11"/>
      <c r="C26" s="11"/>
      <c r="D26" s="1"/>
      <c r="E26" s="1"/>
      <c r="F26" s="2"/>
      <c r="G26" s="2"/>
      <c r="H26" s="2"/>
      <c r="I26" s="5"/>
      <c r="K26" s="2"/>
    </row>
    <row r="27" spans="2:11" ht="12.75">
      <c r="B27" s="11"/>
      <c r="C27" s="11"/>
      <c r="D27" s="1"/>
      <c r="E27" s="1"/>
      <c r="F27" s="2"/>
      <c r="G27" s="2"/>
      <c r="H27" s="2"/>
      <c r="I27" s="5"/>
      <c r="K27" s="2"/>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Q28"/>
  <sheetViews>
    <sheetView workbookViewId="0" topLeftCell="A1">
      <selection activeCell="E30" sqref="E30"/>
    </sheetView>
  </sheetViews>
  <sheetFormatPr defaultColWidth="9.140625" defaultRowHeight="12.75"/>
  <sheetData>
    <row r="1" spans="1:17" ht="15.75" customHeight="1">
      <c r="A1" s="427" t="s">
        <v>103</v>
      </c>
      <c r="B1" s="427"/>
      <c r="C1" s="427"/>
      <c r="D1" s="427"/>
      <c r="E1" s="427"/>
      <c r="G1" s="427" t="s">
        <v>104</v>
      </c>
      <c r="H1" s="427"/>
      <c r="I1" s="427"/>
      <c r="J1" s="427"/>
      <c r="K1" s="427"/>
      <c r="M1" s="427" t="s">
        <v>105</v>
      </c>
      <c r="N1" s="427"/>
      <c r="O1" s="427"/>
      <c r="P1" s="427"/>
      <c r="Q1" s="427"/>
    </row>
    <row r="2" spans="1:17" ht="12.75">
      <c r="A2" s="428"/>
      <c r="B2" s="428"/>
      <c r="C2" s="428"/>
      <c r="D2" s="428"/>
      <c r="E2" s="428"/>
      <c r="G2" s="428"/>
      <c r="H2" s="428"/>
      <c r="I2" s="428"/>
      <c r="J2" s="428"/>
      <c r="K2" s="428"/>
      <c r="M2" s="428"/>
      <c r="N2" s="428"/>
      <c r="O2" s="428"/>
      <c r="P2" s="428"/>
      <c r="Q2" s="428"/>
    </row>
    <row r="3" spans="1:17" ht="25.5" customHeight="1">
      <c r="A3" s="430" t="s">
        <v>38</v>
      </c>
      <c r="B3" s="430" t="s">
        <v>106</v>
      </c>
      <c r="C3" s="430"/>
      <c r="D3" s="430" t="s">
        <v>107</v>
      </c>
      <c r="E3" s="430"/>
      <c r="G3" s="430" t="s">
        <v>38</v>
      </c>
      <c r="H3" s="430" t="s">
        <v>106</v>
      </c>
      <c r="I3" s="430"/>
      <c r="J3" s="430" t="s">
        <v>107</v>
      </c>
      <c r="K3" s="430"/>
      <c r="M3" s="430" t="s">
        <v>38</v>
      </c>
      <c r="N3" s="430" t="s">
        <v>106</v>
      </c>
      <c r="O3" s="430"/>
      <c r="P3" s="430" t="s">
        <v>107</v>
      </c>
      <c r="Q3" s="430"/>
    </row>
    <row r="4" spans="1:17" ht="12.75">
      <c r="A4" s="430"/>
      <c r="B4" s="430" t="s">
        <v>63</v>
      </c>
      <c r="C4" s="46" t="s">
        <v>108</v>
      </c>
      <c r="D4" s="430" t="s">
        <v>109</v>
      </c>
      <c r="E4" s="46" t="s">
        <v>108</v>
      </c>
      <c r="G4" s="430"/>
      <c r="H4" s="430" t="s">
        <v>63</v>
      </c>
      <c r="I4" s="46" t="s">
        <v>108</v>
      </c>
      <c r="J4" s="430" t="s">
        <v>109</v>
      </c>
      <c r="K4" s="46" t="s">
        <v>108</v>
      </c>
      <c r="M4" s="430"/>
      <c r="N4" s="430" t="s">
        <v>63</v>
      </c>
      <c r="O4" s="46" t="s">
        <v>108</v>
      </c>
      <c r="P4" s="430" t="s">
        <v>109</v>
      </c>
      <c r="Q4" s="46" t="s">
        <v>108</v>
      </c>
    </row>
    <row r="5" spans="1:17" ht="12.75">
      <c r="A5" s="430"/>
      <c r="B5" s="430"/>
      <c r="C5" s="46" t="s">
        <v>88</v>
      </c>
      <c r="D5" s="430"/>
      <c r="E5" s="46" t="s">
        <v>88</v>
      </c>
      <c r="G5" s="430"/>
      <c r="H5" s="430"/>
      <c r="I5" s="46" t="s">
        <v>88</v>
      </c>
      <c r="J5" s="430"/>
      <c r="K5" s="46" t="s">
        <v>88</v>
      </c>
      <c r="M5" s="430"/>
      <c r="N5" s="430"/>
      <c r="O5" s="46" t="s">
        <v>88</v>
      </c>
      <c r="P5" s="430"/>
      <c r="Q5" s="46" t="s">
        <v>88</v>
      </c>
    </row>
    <row r="6" spans="1:17" ht="12.75">
      <c r="A6" s="47">
        <v>1980</v>
      </c>
      <c r="B6" s="48">
        <v>4648</v>
      </c>
      <c r="C6" s="47"/>
      <c r="D6" s="48">
        <v>40900</v>
      </c>
      <c r="E6" s="47"/>
      <c r="G6" s="47">
        <v>1980</v>
      </c>
      <c r="H6" s="47">
        <v>681</v>
      </c>
      <c r="I6" s="47"/>
      <c r="J6" s="48">
        <v>30800</v>
      </c>
      <c r="K6" s="47"/>
      <c r="M6" s="47">
        <v>1980</v>
      </c>
      <c r="N6" s="47">
        <v>690</v>
      </c>
      <c r="O6" s="47"/>
      <c r="P6" s="48">
        <v>24600</v>
      </c>
      <c r="Q6" s="47"/>
    </row>
    <row r="7" spans="1:17" ht="12.75">
      <c r="A7" s="47">
        <v>1981</v>
      </c>
      <c r="B7" s="48">
        <v>3026</v>
      </c>
      <c r="C7" s="47">
        <v>-35</v>
      </c>
      <c r="D7" s="48">
        <v>47600</v>
      </c>
      <c r="E7" s="47">
        <v>16</v>
      </c>
      <c r="G7" s="47">
        <v>1981</v>
      </c>
      <c r="H7" s="47">
        <v>293</v>
      </c>
      <c r="I7" s="47">
        <v>-57</v>
      </c>
      <c r="J7" s="48">
        <v>38000</v>
      </c>
      <c r="K7" s="47">
        <v>23</v>
      </c>
      <c r="M7" s="47">
        <v>1981</v>
      </c>
      <c r="N7" s="47">
        <v>577</v>
      </c>
      <c r="O7" s="47">
        <v>-16</v>
      </c>
      <c r="P7" s="48">
        <v>31200</v>
      </c>
      <c r="Q7" s="47">
        <v>27</v>
      </c>
    </row>
    <row r="8" spans="1:17" ht="12.75">
      <c r="A8" s="47">
        <v>1982</v>
      </c>
      <c r="B8" s="48">
        <v>2269</v>
      </c>
      <c r="C8" s="47">
        <v>-25</v>
      </c>
      <c r="D8" s="48">
        <v>44600</v>
      </c>
      <c r="E8" s="47">
        <v>-6</v>
      </c>
      <c r="G8" s="47">
        <v>1982</v>
      </c>
      <c r="H8" s="47">
        <v>123</v>
      </c>
      <c r="I8" s="47">
        <v>-58</v>
      </c>
      <c r="J8" s="48">
        <v>39000</v>
      </c>
      <c r="K8" s="47">
        <v>3</v>
      </c>
      <c r="M8" s="47">
        <v>1982</v>
      </c>
      <c r="N8" s="47">
        <v>239</v>
      </c>
      <c r="O8" s="47">
        <v>-59</v>
      </c>
      <c r="P8" s="48">
        <v>69200</v>
      </c>
      <c r="Q8" s="47">
        <v>122</v>
      </c>
    </row>
    <row r="9" spans="1:17" ht="12.75">
      <c r="A9" s="47">
        <v>1983</v>
      </c>
      <c r="B9" s="48">
        <v>3524</v>
      </c>
      <c r="C9" s="47">
        <v>55</v>
      </c>
      <c r="D9" s="48">
        <v>53600</v>
      </c>
      <c r="E9" s="47">
        <v>20</v>
      </c>
      <c r="G9" s="47">
        <v>1983</v>
      </c>
      <c r="H9" s="47">
        <v>364</v>
      </c>
      <c r="I9" s="47">
        <v>196</v>
      </c>
      <c r="J9" s="48">
        <v>33500</v>
      </c>
      <c r="K9" s="47">
        <v>-14</v>
      </c>
      <c r="M9" s="47">
        <v>1983</v>
      </c>
      <c r="N9" s="47">
        <v>510</v>
      </c>
      <c r="O9" s="47">
        <v>113</v>
      </c>
      <c r="P9" s="48">
        <v>23200</v>
      </c>
      <c r="Q9" s="47">
        <v>-66</v>
      </c>
    </row>
    <row r="10" spans="1:17" ht="12.75">
      <c r="A10" s="47">
        <v>1984</v>
      </c>
      <c r="B10" s="48">
        <v>3394</v>
      </c>
      <c r="C10" s="47">
        <v>-4</v>
      </c>
      <c r="D10" s="48">
        <v>58000</v>
      </c>
      <c r="E10" s="47">
        <v>8</v>
      </c>
      <c r="G10" s="47">
        <v>1984</v>
      </c>
      <c r="H10" s="47">
        <v>460</v>
      </c>
      <c r="I10" s="47">
        <v>26</v>
      </c>
      <c r="J10" s="48">
        <v>34600</v>
      </c>
      <c r="K10" s="47">
        <v>3</v>
      </c>
      <c r="M10" s="47">
        <v>1984</v>
      </c>
      <c r="N10" s="47">
        <v>478</v>
      </c>
      <c r="O10" s="47">
        <v>-6</v>
      </c>
      <c r="P10" s="48">
        <v>28000</v>
      </c>
      <c r="Q10" s="47">
        <v>21</v>
      </c>
    </row>
    <row r="11" spans="1:17" ht="12.75">
      <c r="A11" s="47">
        <v>1985</v>
      </c>
      <c r="B11" s="48">
        <v>2683</v>
      </c>
      <c r="C11" s="47">
        <v>-21</v>
      </c>
      <c r="D11" s="48">
        <v>60400</v>
      </c>
      <c r="E11" s="47">
        <v>4</v>
      </c>
      <c r="G11" s="47">
        <v>1985</v>
      </c>
      <c r="H11" s="47">
        <v>452</v>
      </c>
      <c r="I11" s="47">
        <v>-2</v>
      </c>
      <c r="J11" s="48">
        <v>34400</v>
      </c>
      <c r="K11" s="47">
        <v>-1</v>
      </c>
      <c r="M11" s="47">
        <v>1985</v>
      </c>
      <c r="N11" s="47">
        <v>875</v>
      </c>
      <c r="O11" s="47">
        <v>83</v>
      </c>
      <c r="P11" s="48">
        <v>25500</v>
      </c>
      <c r="Q11" s="47">
        <v>-9</v>
      </c>
    </row>
    <row r="12" spans="1:17" ht="12.75">
      <c r="A12" s="47">
        <v>1986</v>
      </c>
      <c r="B12" s="48">
        <v>2918</v>
      </c>
      <c r="C12" s="47">
        <v>9</v>
      </c>
      <c r="D12" s="48">
        <v>65300</v>
      </c>
      <c r="E12" s="47">
        <v>8</v>
      </c>
      <c r="G12" s="47">
        <v>1986</v>
      </c>
      <c r="H12" s="47">
        <v>350</v>
      </c>
      <c r="I12" s="47">
        <v>-23</v>
      </c>
      <c r="J12" s="48">
        <v>38700</v>
      </c>
      <c r="K12" s="47">
        <v>12</v>
      </c>
      <c r="M12" s="47">
        <v>1986</v>
      </c>
      <c r="N12" s="47">
        <v>557</v>
      </c>
      <c r="O12" s="47">
        <v>-36</v>
      </c>
      <c r="P12" s="48">
        <v>25000</v>
      </c>
      <c r="Q12" s="47">
        <v>-2</v>
      </c>
    </row>
    <row r="13" spans="1:17" ht="12.75">
      <c r="A13" s="47">
        <v>1987</v>
      </c>
      <c r="B13" s="48">
        <v>2582</v>
      </c>
      <c r="C13" s="47">
        <v>-12</v>
      </c>
      <c r="D13" s="48">
        <v>71000</v>
      </c>
      <c r="E13" s="47">
        <v>9</v>
      </c>
      <c r="G13" s="47">
        <v>1987</v>
      </c>
      <c r="H13" s="47">
        <v>234</v>
      </c>
      <c r="I13" s="47">
        <v>-33</v>
      </c>
      <c r="J13" s="48">
        <v>40000</v>
      </c>
      <c r="K13" s="47">
        <v>3</v>
      </c>
      <c r="M13" s="47">
        <v>1987</v>
      </c>
      <c r="N13" s="47">
        <v>381</v>
      </c>
      <c r="O13" s="47">
        <v>-32</v>
      </c>
      <c r="P13" s="48">
        <v>23100</v>
      </c>
      <c r="Q13" s="47">
        <v>-8</v>
      </c>
    </row>
    <row r="14" spans="1:17" ht="12.75">
      <c r="A14" s="47">
        <v>1988</v>
      </c>
      <c r="B14" s="48">
        <v>2815</v>
      </c>
      <c r="C14" s="47">
        <v>9</v>
      </c>
      <c r="D14" s="48">
        <v>76100</v>
      </c>
      <c r="E14" s="47">
        <v>7</v>
      </c>
      <c r="G14" s="47">
        <v>1988</v>
      </c>
      <c r="H14" s="47">
        <v>201</v>
      </c>
      <c r="I14" s="47">
        <v>-14</v>
      </c>
      <c r="J14" s="48">
        <v>36800</v>
      </c>
      <c r="K14" s="47">
        <v>-8</v>
      </c>
      <c r="M14" s="47">
        <v>1988</v>
      </c>
      <c r="N14" s="47">
        <v>204</v>
      </c>
      <c r="O14" s="47">
        <v>-46</v>
      </c>
      <c r="P14" s="48">
        <v>22900</v>
      </c>
      <c r="Q14" s="47">
        <v>-1</v>
      </c>
    </row>
    <row r="15" spans="1:17" ht="12.75">
      <c r="A15" s="47">
        <v>1989</v>
      </c>
      <c r="B15" s="48">
        <v>3607</v>
      </c>
      <c r="C15" s="47">
        <v>28</v>
      </c>
      <c r="D15" s="48">
        <v>85700</v>
      </c>
      <c r="E15" s="47">
        <v>13</v>
      </c>
      <c r="G15" s="47">
        <v>1989</v>
      </c>
      <c r="H15" s="47">
        <v>299</v>
      </c>
      <c r="I15" s="47">
        <v>49</v>
      </c>
      <c r="J15" s="48">
        <v>33800</v>
      </c>
      <c r="K15" s="47">
        <v>-8</v>
      </c>
      <c r="M15" s="47">
        <v>1989</v>
      </c>
      <c r="N15" s="47">
        <v>895</v>
      </c>
      <c r="O15" s="47">
        <v>339</v>
      </c>
      <c r="P15" s="48">
        <v>27100</v>
      </c>
      <c r="Q15" s="47">
        <v>18</v>
      </c>
    </row>
    <row r="16" spans="1:17" ht="12.75">
      <c r="A16" s="47">
        <v>1990</v>
      </c>
      <c r="B16" s="48">
        <v>4686</v>
      </c>
      <c r="C16" s="47">
        <v>30</v>
      </c>
      <c r="D16" s="48">
        <v>86700</v>
      </c>
      <c r="E16" s="47">
        <v>1</v>
      </c>
      <c r="G16" s="47">
        <v>1990</v>
      </c>
      <c r="H16" s="47">
        <v>414</v>
      </c>
      <c r="I16" s="47">
        <v>38</v>
      </c>
      <c r="J16" s="48">
        <v>52000</v>
      </c>
      <c r="K16" s="47">
        <v>54</v>
      </c>
      <c r="M16" s="47">
        <v>1990</v>
      </c>
      <c r="N16" s="47">
        <v>612</v>
      </c>
      <c r="O16" s="47">
        <v>-32</v>
      </c>
      <c r="P16" s="48">
        <v>29400</v>
      </c>
      <c r="Q16" s="47">
        <v>8</v>
      </c>
    </row>
    <row r="17" spans="1:17" ht="12.75">
      <c r="A17" s="47">
        <v>1991</v>
      </c>
      <c r="B17" s="48">
        <v>5570</v>
      </c>
      <c r="C17" s="47">
        <v>19</v>
      </c>
      <c r="D17" s="48">
        <v>86400</v>
      </c>
      <c r="E17" s="47">
        <v>0</v>
      </c>
      <c r="G17" s="47">
        <v>1991</v>
      </c>
      <c r="H17" s="47">
        <v>424</v>
      </c>
      <c r="I17" s="47">
        <v>2</v>
      </c>
      <c r="J17" s="48">
        <v>48400</v>
      </c>
      <c r="K17" s="47">
        <v>-7</v>
      </c>
      <c r="M17" s="47">
        <v>1991</v>
      </c>
      <c r="N17" s="47">
        <v>696</v>
      </c>
      <c r="O17" s="47">
        <v>14</v>
      </c>
      <c r="P17" s="48">
        <v>32500</v>
      </c>
      <c r="Q17" s="47">
        <v>11</v>
      </c>
    </row>
    <row r="18" spans="1:17" ht="12.75">
      <c r="A18" s="47">
        <v>1992</v>
      </c>
      <c r="B18" s="48">
        <v>7874</v>
      </c>
      <c r="C18" s="47">
        <v>41</v>
      </c>
      <c r="D18" s="48">
        <v>88500</v>
      </c>
      <c r="E18" s="47">
        <v>2</v>
      </c>
      <c r="G18" s="47">
        <v>1992</v>
      </c>
      <c r="H18" s="47">
        <v>901</v>
      </c>
      <c r="I18" s="47">
        <v>112</v>
      </c>
      <c r="J18" s="48">
        <v>43000</v>
      </c>
      <c r="K18" s="47">
        <v>-11</v>
      </c>
      <c r="M18" s="47">
        <v>1992</v>
      </c>
      <c r="N18" s="48">
        <v>1178</v>
      </c>
      <c r="O18" s="47">
        <v>69</v>
      </c>
      <c r="P18" s="48">
        <v>34000</v>
      </c>
      <c r="Q18" s="47">
        <v>5</v>
      </c>
    </row>
    <row r="19" spans="1:17" ht="12.75">
      <c r="A19" s="47">
        <v>1993</v>
      </c>
      <c r="B19" s="48">
        <v>9120</v>
      </c>
      <c r="C19" s="47">
        <v>16</v>
      </c>
      <c r="D19" s="48">
        <v>92200</v>
      </c>
      <c r="E19" s="47">
        <v>4</v>
      </c>
      <c r="G19" s="47">
        <v>1993</v>
      </c>
      <c r="H19" s="48">
        <v>1243</v>
      </c>
      <c r="I19" s="47">
        <v>38</v>
      </c>
      <c r="J19" s="48">
        <v>45300</v>
      </c>
      <c r="K19" s="47">
        <v>5</v>
      </c>
      <c r="M19" s="47">
        <v>1993</v>
      </c>
      <c r="N19" s="48">
        <v>1564</v>
      </c>
      <c r="O19" s="47">
        <v>33</v>
      </c>
      <c r="P19" s="48">
        <v>36300</v>
      </c>
      <c r="Q19" s="47">
        <v>7</v>
      </c>
    </row>
    <row r="20" spans="1:17" ht="12.75">
      <c r="A20" s="47">
        <v>1994</v>
      </c>
      <c r="B20" s="48">
        <v>9245</v>
      </c>
      <c r="C20" s="47">
        <v>1</v>
      </c>
      <c r="D20" s="48">
        <v>96900</v>
      </c>
      <c r="E20" s="47">
        <v>5</v>
      </c>
      <c r="G20" s="47">
        <v>1994</v>
      </c>
      <c r="H20" s="48">
        <v>1654</v>
      </c>
      <c r="I20" s="47">
        <v>33</v>
      </c>
      <c r="J20" s="48">
        <v>47300</v>
      </c>
      <c r="K20" s="47">
        <v>4</v>
      </c>
      <c r="M20" s="47">
        <v>1994</v>
      </c>
      <c r="N20" s="48">
        <v>1699</v>
      </c>
      <c r="O20" s="47">
        <v>9</v>
      </c>
      <c r="P20" s="48">
        <v>38700</v>
      </c>
      <c r="Q20" s="47">
        <v>7</v>
      </c>
    </row>
    <row r="21" spans="1:17" ht="12.75">
      <c r="A21" s="47">
        <v>1995</v>
      </c>
      <c r="B21" s="48">
        <v>8366</v>
      </c>
      <c r="C21" s="47">
        <v>-10</v>
      </c>
      <c r="D21" s="48">
        <v>100400</v>
      </c>
      <c r="E21" s="47">
        <v>4</v>
      </c>
      <c r="G21" s="47">
        <v>1995</v>
      </c>
      <c r="H21" s="47">
        <v>946</v>
      </c>
      <c r="I21" s="47">
        <v>-43</v>
      </c>
      <c r="J21" s="48">
        <v>56900</v>
      </c>
      <c r="K21" s="47">
        <v>20</v>
      </c>
      <c r="M21" s="47">
        <v>1995</v>
      </c>
      <c r="N21" s="48">
        <v>1354</v>
      </c>
      <c r="O21" s="47">
        <v>-20</v>
      </c>
      <c r="P21" s="48">
        <v>37000</v>
      </c>
      <c r="Q21" s="47">
        <v>-4</v>
      </c>
    </row>
    <row r="22" spans="1:17" ht="12.75">
      <c r="A22" s="47">
        <v>1996</v>
      </c>
      <c r="B22" s="48">
        <v>9180</v>
      </c>
      <c r="C22" s="47">
        <v>10</v>
      </c>
      <c r="D22" s="48">
        <v>107100</v>
      </c>
      <c r="E22" s="47">
        <v>7</v>
      </c>
      <c r="G22" s="47">
        <v>1996</v>
      </c>
      <c r="H22" s="47">
        <v>853</v>
      </c>
      <c r="I22" s="47">
        <v>-10</v>
      </c>
      <c r="J22" s="48">
        <v>56100</v>
      </c>
      <c r="K22" s="47">
        <v>-1</v>
      </c>
      <c r="M22" s="47">
        <v>1996</v>
      </c>
      <c r="N22" s="47">
        <v>722</v>
      </c>
      <c r="O22" s="47">
        <v>-47</v>
      </c>
      <c r="P22" s="48">
        <v>38800</v>
      </c>
      <c r="Q22" s="47">
        <v>5</v>
      </c>
    </row>
    <row r="23" spans="1:17" ht="12.75">
      <c r="A23" s="47">
        <v>1997</v>
      </c>
      <c r="B23" s="48">
        <v>8838</v>
      </c>
      <c r="C23" s="47">
        <v>-4</v>
      </c>
      <c r="D23" s="48">
        <v>109000</v>
      </c>
      <c r="E23" s="47">
        <v>2</v>
      </c>
      <c r="G23" s="47">
        <v>1997</v>
      </c>
      <c r="H23" s="47">
        <v>573</v>
      </c>
      <c r="I23" s="47">
        <v>-33</v>
      </c>
      <c r="J23" s="48">
        <v>60400</v>
      </c>
      <c r="K23" s="47">
        <v>8</v>
      </c>
      <c r="M23" s="47">
        <v>1997</v>
      </c>
      <c r="N23" s="47">
        <v>926</v>
      </c>
      <c r="O23" s="47">
        <v>28</v>
      </c>
      <c r="P23" s="48">
        <v>47000</v>
      </c>
      <c r="Q23" s="47">
        <v>21</v>
      </c>
    </row>
    <row r="24" spans="1:17" ht="12.75">
      <c r="A24" s="47">
        <v>1998</v>
      </c>
      <c r="B24" s="48">
        <v>10277</v>
      </c>
      <c r="C24" s="47">
        <v>16</v>
      </c>
      <c r="D24" s="48">
        <v>114100</v>
      </c>
      <c r="E24" s="47">
        <v>5</v>
      </c>
      <c r="G24" s="47">
        <v>1998</v>
      </c>
      <c r="H24" s="47">
        <v>463</v>
      </c>
      <c r="I24" s="47">
        <v>-19</v>
      </c>
      <c r="J24" s="48">
        <v>69400</v>
      </c>
      <c r="K24" s="47">
        <v>15</v>
      </c>
      <c r="M24" s="47">
        <v>1998</v>
      </c>
      <c r="N24" s="47">
        <v>927</v>
      </c>
      <c r="O24" s="47">
        <v>0</v>
      </c>
      <c r="P24" s="48">
        <v>49400</v>
      </c>
      <c r="Q24" s="47">
        <v>5</v>
      </c>
    </row>
    <row r="25" spans="1:17" ht="12.75">
      <c r="A25" s="47">
        <v>1999</v>
      </c>
      <c r="B25" s="48">
        <v>10625</v>
      </c>
      <c r="C25" s="47">
        <v>3</v>
      </c>
      <c r="D25" s="48">
        <v>120300</v>
      </c>
      <c r="E25" s="47">
        <v>5</v>
      </c>
      <c r="G25" s="47">
        <v>1999</v>
      </c>
      <c r="H25" s="47">
        <v>462</v>
      </c>
      <c r="I25" s="47">
        <v>0</v>
      </c>
      <c r="J25" s="48">
        <v>64000</v>
      </c>
      <c r="K25" s="47">
        <v>-8</v>
      </c>
      <c r="M25" s="47">
        <v>1999</v>
      </c>
      <c r="N25" s="48">
        <v>1222</v>
      </c>
      <c r="O25" s="47">
        <v>32</v>
      </c>
      <c r="P25" s="48">
        <v>47900</v>
      </c>
      <c r="Q25" s="47">
        <v>-3</v>
      </c>
    </row>
    <row r="26" spans="1:17" ht="12.75">
      <c r="A26" s="47">
        <v>2000</v>
      </c>
      <c r="B26" s="48">
        <v>9755</v>
      </c>
      <c r="C26" s="47">
        <v>-8</v>
      </c>
      <c r="D26" s="48">
        <v>132600</v>
      </c>
      <c r="E26" s="47">
        <v>10</v>
      </c>
      <c r="G26" s="47">
        <v>2000</v>
      </c>
      <c r="H26" s="47">
        <v>630</v>
      </c>
      <c r="I26" s="47">
        <v>36</v>
      </c>
      <c r="J26" s="48">
        <v>63200</v>
      </c>
      <c r="K26" s="47">
        <v>-1</v>
      </c>
      <c r="M26" s="47">
        <v>2000</v>
      </c>
      <c r="N26" s="47">
        <v>604</v>
      </c>
      <c r="O26" s="47">
        <v>-51</v>
      </c>
      <c r="P26" s="48">
        <v>52900</v>
      </c>
      <c r="Q26" s="47">
        <v>10</v>
      </c>
    </row>
    <row r="27" spans="1:17" ht="12.75">
      <c r="A27" s="47">
        <v>2001</v>
      </c>
      <c r="B27" s="48">
        <v>9738</v>
      </c>
      <c r="C27" s="47">
        <v>0</v>
      </c>
      <c r="D27" s="48">
        <v>137600</v>
      </c>
      <c r="E27" s="47">
        <v>4</v>
      </c>
      <c r="G27" s="47">
        <v>2001</v>
      </c>
      <c r="H27" s="47">
        <v>539</v>
      </c>
      <c r="I27" s="47">
        <v>-14</v>
      </c>
      <c r="J27" s="48">
        <v>63600</v>
      </c>
      <c r="K27" s="47">
        <v>1</v>
      </c>
      <c r="M27" s="47">
        <v>2001</v>
      </c>
      <c r="N27" s="48">
        <v>1543</v>
      </c>
      <c r="O27" s="47">
        <v>155</v>
      </c>
      <c r="P27" s="48">
        <v>48200</v>
      </c>
      <c r="Q27" s="47">
        <v>-9</v>
      </c>
    </row>
    <row r="28" spans="1:17" ht="25.5" customHeight="1">
      <c r="A28" s="429" t="s">
        <v>110</v>
      </c>
      <c r="B28" s="429"/>
      <c r="C28" s="429"/>
      <c r="D28" s="429"/>
      <c r="E28" s="429"/>
      <c r="G28" s="431" t="s">
        <v>110</v>
      </c>
      <c r="H28" s="432"/>
      <c r="I28" s="432"/>
      <c r="J28" s="432"/>
      <c r="K28" s="433"/>
      <c r="M28" s="434" t="s">
        <v>110</v>
      </c>
      <c r="N28" s="434"/>
      <c r="O28" s="434"/>
      <c r="P28" s="434"/>
      <c r="Q28" s="434"/>
    </row>
  </sheetData>
  <mergeCells count="24">
    <mergeCell ref="M1:Q1"/>
    <mergeCell ref="M2:Q2"/>
    <mergeCell ref="M28:Q28"/>
    <mergeCell ref="M3:M5"/>
    <mergeCell ref="N3:O3"/>
    <mergeCell ref="P3:Q3"/>
    <mergeCell ref="N4:N5"/>
    <mergeCell ref="P4:P5"/>
    <mergeCell ref="G1:K1"/>
    <mergeCell ref="G2:K2"/>
    <mergeCell ref="G28:K28"/>
    <mergeCell ref="G3:G5"/>
    <mergeCell ref="H3:I3"/>
    <mergeCell ref="J3:K3"/>
    <mergeCell ref="H4:H5"/>
    <mergeCell ref="J4:J5"/>
    <mergeCell ref="A1:E1"/>
    <mergeCell ref="A2:E2"/>
    <mergeCell ref="A28:E28"/>
    <mergeCell ref="A3:A5"/>
    <mergeCell ref="B3:C3"/>
    <mergeCell ref="D3:E3"/>
    <mergeCell ref="B4:B5"/>
    <mergeCell ref="D4:D5"/>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Q28"/>
  <sheetViews>
    <sheetView workbookViewId="0" topLeftCell="A1">
      <selection activeCell="E30" sqref="E30"/>
    </sheetView>
  </sheetViews>
  <sheetFormatPr defaultColWidth="9.140625" defaultRowHeight="12.75"/>
  <sheetData>
    <row r="1" spans="1:17" ht="15.75" customHeight="1">
      <c r="A1" s="427" t="s">
        <v>111</v>
      </c>
      <c r="B1" s="427"/>
      <c r="C1" s="427"/>
      <c r="D1" s="427"/>
      <c r="E1" s="427"/>
      <c r="G1" s="427" t="s">
        <v>112</v>
      </c>
      <c r="H1" s="427"/>
      <c r="I1" s="427"/>
      <c r="J1" s="427"/>
      <c r="K1" s="427"/>
      <c r="M1" s="427" t="s">
        <v>113</v>
      </c>
      <c r="N1" s="427"/>
      <c r="O1" s="427"/>
      <c r="P1" s="427"/>
      <c r="Q1" s="427"/>
    </row>
    <row r="2" spans="1:17" ht="12.75">
      <c r="A2" s="428"/>
      <c r="B2" s="428"/>
      <c r="C2" s="428"/>
      <c r="D2" s="428"/>
      <c r="E2" s="428"/>
      <c r="G2" s="428"/>
      <c r="H2" s="428"/>
      <c r="I2" s="428"/>
      <c r="J2" s="428"/>
      <c r="K2" s="428"/>
      <c r="M2" s="428"/>
      <c r="N2" s="428"/>
      <c r="O2" s="428"/>
      <c r="P2" s="428"/>
      <c r="Q2" s="428"/>
    </row>
    <row r="3" spans="1:17" ht="25.5" customHeight="1">
      <c r="A3" s="430" t="s">
        <v>38</v>
      </c>
      <c r="B3" s="430" t="s">
        <v>106</v>
      </c>
      <c r="C3" s="430"/>
      <c r="D3" s="430" t="s">
        <v>107</v>
      </c>
      <c r="E3" s="430"/>
      <c r="G3" s="430" t="s">
        <v>38</v>
      </c>
      <c r="H3" s="430" t="s">
        <v>106</v>
      </c>
      <c r="I3" s="430"/>
      <c r="J3" s="430" t="s">
        <v>107</v>
      </c>
      <c r="K3" s="430"/>
      <c r="M3" s="430" t="s">
        <v>38</v>
      </c>
      <c r="N3" s="430" t="s">
        <v>106</v>
      </c>
      <c r="O3" s="430"/>
      <c r="P3" s="430" t="s">
        <v>107</v>
      </c>
      <c r="Q3" s="430"/>
    </row>
    <row r="4" spans="1:17" ht="12.75">
      <c r="A4" s="430"/>
      <c r="B4" s="430" t="s">
        <v>63</v>
      </c>
      <c r="C4" s="46" t="s">
        <v>108</v>
      </c>
      <c r="D4" s="430" t="s">
        <v>109</v>
      </c>
      <c r="E4" s="46" t="s">
        <v>108</v>
      </c>
      <c r="G4" s="430"/>
      <c r="H4" s="430" t="s">
        <v>63</v>
      </c>
      <c r="I4" s="46" t="s">
        <v>108</v>
      </c>
      <c r="J4" s="430" t="s">
        <v>109</v>
      </c>
      <c r="K4" s="46" t="s">
        <v>108</v>
      </c>
      <c r="M4" s="430"/>
      <c r="N4" s="430" t="s">
        <v>63</v>
      </c>
      <c r="O4" s="46" t="s">
        <v>108</v>
      </c>
      <c r="P4" s="430" t="s">
        <v>109</v>
      </c>
      <c r="Q4" s="46" t="s">
        <v>108</v>
      </c>
    </row>
    <row r="5" spans="1:17" ht="12.75">
      <c r="A5" s="430"/>
      <c r="B5" s="430"/>
      <c r="C5" s="46" t="s">
        <v>88</v>
      </c>
      <c r="D5" s="430"/>
      <c r="E5" s="46" t="s">
        <v>88</v>
      </c>
      <c r="G5" s="430"/>
      <c r="H5" s="430"/>
      <c r="I5" s="46" t="s">
        <v>88</v>
      </c>
      <c r="J5" s="430"/>
      <c r="K5" s="46" t="s">
        <v>88</v>
      </c>
      <c r="M5" s="430"/>
      <c r="N5" s="430"/>
      <c r="O5" s="46" t="s">
        <v>88</v>
      </c>
      <c r="P5" s="430"/>
      <c r="Q5" s="46" t="s">
        <v>88</v>
      </c>
    </row>
    <row r="6" spans="1:17" ht="12.75">
      <c r="A6" s="47">
        <v>1980</v>
      </c>
      <c r="B6" s="48">
        <v>1339</v>
      </c>
      <c r="C6" s="47"/>
      <c r="D6" s="48">
        <v>36900</v>
      </c>
      <c r="E6" s="47"/>
      <c r="G6" s="47">
        <v>1980</v>
      </c>
      <c r="H6" s="47">
        <v>465</v>
      </c>
      <c r="I6" s="47"/>
      <c r="J6" s="48">
        <v>21400</v>
      </c>
      <c r="K6" s="47"/>
      <c r="M6" s="47">
        <v>1980</v>
      </c>
      <c r="N6" s="47">
        <v>510</v>
      </c>
      <c r="O6" s="47"/>
      <c r="P6" s="48">
        <v>23400</v>
      </c>
      <c r="Q6" s="47"/>
    </row>
    <row r="7" spans="1:17" ht="12.75">
      <c r="A7" s="47">
        <v>1981</v>
      </c>
      <c r="B7" s="48">
        <v>1002</v>
      </c>
      <c r="C7" s="47">
        <v>-25</v>
      </c>
      <c r="D7" s="48">
        <v>45400</v>
      </c>
      <c r="E7" s="47">
        <v>23</v>
      </c>
      <c r="G7" s="47">
        <v>1981</v>
      </c>
      <c r="H7" s="47">
        <v>439</v>
      </c>
      <c r="I7" s="47">
        <v>-6</v>
      </c>
      <c r="J7" s="48">
        <v>27200</v>
      </c>
      <c r="K7" s="47">
        <v>27</v>
      </c>
      <c r="M7" s="47">
        <v>1981</v>
      </c>
      <c r="N7" s="47">
        <v>449</v>
      </c>
      <c r="O7" s="47">
        <v>-12</v>
      </c>
      <c r="P7" s="48">
        <v>24800</v>
      </c>
      <c r="Q7" s="47">
        <v>6</v>
      </c>
    </row>
    <row r="8" spans="1:17" ht="12.75">
      <c r="A8" s="47">
        <v>1982</v>
      </c>
      <c r="B8" s="47">
        <v>983</v>
      </c>
      <c r="C8" s="47">
        <v>-2</v>
      </c>
      <c r="D8" s="48">
        <v>46200</v>
      </c>
      <c r="E8" s="47">
        <v>2</v>
      </c>
      <c r="G8" s="47">
        <v>1982</v>
      </c>
      <c r="H8" s="47">
        <v>349</v>
      </c>
      <c r="I8" s="47">
        <v>-21</v>
      </c>
      <c r="J8" s="48">
        <v>27600</v>
      </c>
      <c r="K8" s="47">
        <v>1</v>
      </c>
      <c r="M8" s="47">
        <v>1982</v>
      </c>
      <c r="N8" s="47">
        <v>690</v>
      </c>
      <c r="O8" s="47">
        <v>54</v>
      </c>
      <c r="P8" s="48">
        <v>22800</v>
      </c>
      <c r="Q8" s="47">
        <v>-8</v>
      </c>
    </row>
    <row r="9" spans="1:17" ht="12.75">
      <c r="A9" s="47">
        <v>1983</v>
      </c>
      <c r="B9" s="48">
        <v>1662</v>
      </c>
      <c r="C9" s="47">
        <v>69</v>
      </c>
      <c r="D9" s="48">
        <v>55600</v>
      </c>
      <c r="E9" s="47">
        <v>20</v>
      </c>
      <c r="G9" s="47">
        <v>1983</v>
      </c>
      <c r="H9" s="47">
        <v>555</v>
      </c>
      <c r="I9" s="47">
        <v>59</v>
      </c>
      <c r="J9" s="48">
        <v>32000</v>
      </c>
      <c r="K9" s="47">
        <v>16</v>
      </c>
      <c r="M9" s="47">
        <v>1983</v>
      </c>
      <c r="N9" s="47">
        <v>785</v>
      </c>
      <c r="O9" s="47">
        <v>14</v>
      </c>
      <c r="P9" s="48">
        <v>26800</v>
      </c>
      <c r="Q9" s="47">
        <v>18</v>
      </c>
    </row>
    <row r="10" spans="1:17" ht="12.75">
      <c r="A10" s="47">
        <v>1984</v>
      </c>
      <c r="B10" s="48">
        <v>1551</v>
      </c>
      <c r="C10" s="47">
        <v>-7</v>
      </c>
      <c r="D10" s="48">
        <v>58400</v>
      </c>
      <c r="E10" s="47">
        <v>5</v>
      </c>
      <c r="G10" s="47">
        <v>1984</v>
      </c>
      <c r="H10" s="47">
        <v>581</v>
      </c>
      <c r="I10" s="47">
        <v>5</v>
      </c>
      <c r="J10" s="48">
        <v>30700</v>
      </c>
      <c r="K10" s="47">
        <v>-4</v>
      </c>
      <c r="M10" s="47">
        <v>1984</v>
      </c>
      <c r="N10" s="47">
        <v>705</v>
      </c>
      <c r="O10" s="47">
        <v>-10</v>
      </c>
      <c r="P10" s="48">
        <v>29200</v>
      </c>
      <c r="Q10" s="47">
        <v>9</v>
      </c>
    </row>
    <row r="11" spans="1:17" ht="12.75">
      <c r="A11" s="47">
        <v>1985</v>
      </c>
      <c r="B11" s="47">
        <v>879</v>
      </c>
      <c r="C11" s="47">
        <v>-43</v>
      </c>
      <c r="D11" s="48">
        <v>58500</v>
      </c>
      <c r="E11" s="47">
        <v>0</v>
      </c>
      <c r="G11" s="47">
        <v>1985</v>
      </c>
      <c r="H11" s="47">
        <v>245</v>
      </c>
      <c r="I11" s="47">
        <v>-58</v>
      </c>
      <c r="J11" s="48">
        <v>31600</v>
      </c>
      <c r="K11" s="47">
        <v>3</v>
      </c>
      <c r="M11" s="47">
        <v>1985</v>
      </c>
      <c r="N11" s="47">
        <v>770</v>
      </c>
      <c r="O11" s="47">
        <v>9</v>
      </c>
      <c r="P11" s="48">
        <v>30500</v>
      </c>
      <c r="Q11" s="47">
        <v>4</v>
      </c>
    </row>
    <row r="12" spans="1:17" ht="12.75">
      <c r="A12" s="47">
        <v>1986</v>
      </c>
      <c r="B12" s="47">
        <v>726</v>
      </c>
      <c r="C12" s="47">
        <v>-17</v>
      </c>
      <c r="D12" s="48">
        <v>62100</v>
      </c>
      <c r="E12" s="47">
        <v>6</v>
      </c>
      <c r="G12" s="47">
        <v>1986</v>
      </c>
      <c r="H12" s="47">
        <v>256</v>
      </c>
      <c r="I12" s="47">
        <v>4</v>
      </c>
      <c r="J12" s="48">
        <v>26100</v>
      </c>
      <c r="K12" s="47">
        <v>-17</v>
      </c>
      <c r="M12" s="47">
        <v>1986</v>
      </c>
      <c r="N12" s="47">
        <v>171</v>
      </c>
      <c r="O12" s="47">
        <v>-78</v>
      </c>
      <c r="P12" s="48">
        <v>32400</v>
      </c>
      <c r="Q12" s="47">
        <v>6</v>
      </c>
    </row>
    <row r="13" spans="1:17" ht="12.75">
      <c r="A13" s="47">
        <v>1987</v>
      </c>
      <c r="B13" s="47">
        <v>616</v>
      </c>
      <c r="C13" s="47">
        <v>-15</v>
      </c>
      <c r="D13" s="48">
        <v>70200</v>
      </c>
      <c r="E13" s="47">
        <v>13</v>
      </c>
      <c r="G13" s="47">
        <v>1987</v>
      </c>
      <c r="H13" s="47">
        <v>69</v>
      </c>
      <c r="I13" s="47">
        <v>-73</v>
      </c>
      <c r="J13" s="48">
        <v>31300</v>
      </c>
      <c r="K13" s="47">
        <v>20</v>
      </c>
      <c r="M13" s="47">
        <v>1987</v>
      </c>
      <c r="N13" s="47">
        <v>113</v>
      </c>
      <c r="O13" s="47">
        <v>-34</v>
      </c>
      <c r="P13" s="48">
        <v>23900</v>
      </c>
      <c r="Q13" s="47">
        <v>-26</v>
      </c>
    </row>
    <row r="14" spans="1:17" ht="12.75">
      <c r="A14" s="47">
        <v>1988</v>
      </c>
      <c r="B14" s="47">
        <v>575</v>
      </c>
      <c r="C14" s="47">
        <v>-7</v>
      </c>
      <c r="D14" s="48">
        <v>77600</v>
      </c>
      <c r="E14" s="47">
        <v>11</v>
      </c>
      <c r="G14" s="47">
        <v>1988</v>
      </c>
      <c r="H14" s="47">
        <v>48</v>
      </c>
      <c r="I14" s="47">
        <v>-30</v>
      </c>
      <c r="J14" s="48">
        <v>46200</v>
      </c>
      <c r="K14" s="47">
        <v>48</v>
      </c>
      <c r="M14" s="47">
        <v>1988</v>
      </c>
      <c r="N14" s="47">
        <v>189</v>
      </c>
      <c r="O14" s="47">
        <v>67</v>
      </c>
      <c r="P14" s="48">
        <v>37300</v>
      </c>
      <c r="Q14" s="47">
        <v>56</v>
      </c>
    </row>
    <row r="15" spans="1:17" ht="12.75">
      <c r="A15" s="47">
        <v>1989</v>
      </c>
      <c r="B15" s="47">
        <v>564</v>
      </c>
      <c r="C15" s="47">
        <v>-2</v>
      </c>
      <c r="D15" s="48">
        <v>85100</v>
      </c>
      <c r="E15" s="47">
        <v>10</v>
      </c>
      <c r="G15" s="47">
        <v>1989</v>
      </c>
      <c r="H15" s="47">
        <v>73</v>
      </c>
      <c r="I15" s="47">
        <v>52</v>
      </c>
      <c r="J15" s="48">
        <v>55500</v>
      </c>
      <c r="K15" s="47">
        <v>20</v>
      </c>
      <c r="M15" s="47">
        <v>1989</v>
      </c>
      <c r="N15" s="47">
        <v>97</v>
      </c>
      <c r="O15" s="47">
        <v>-49</v>
      </c>
      <c r="P15" s="48">
        <v>30600</v>
      </c>
      <c r="Q15" s="47">
        <v>-18</v>
      </c>
    </row>
    <row r="16" spans="1:17" ht="12.75">
      <c r="A16" s="47">
        <v>1990</v>
      </c>
      <c r="B16" s="47">
        <v>745</v>
      </c>
      <c r="C16" s="47">
        <v>32</v>
      </c>
      <c r="D16" s="48">
        <v>89300</v>
      </c>
      <c r="E16" s="47">
        <v>5</v>
      </c>
      <c r="G16" s="47">
        <v>1990</v>
      </c>
      <c r="H16" s="47">
        <v>129</v>
      </c>
      <c r="I16" s="47">
        <v>77</v>
      </c>
      <c r="J16" s="48">
        <v>59300</v>
      </c>
      <c r="K16" s="47">
        <v>7</v>
      </c>
      <c r="M16" s="47">
        <v>1990</v>
      </c>
      <c r="N16" s="47">
        <v>349</v>
      </c>
      <c r="O16" s="47">
        <v>260</v>
      </c>
      <c r="P16" s="48">
        <v>39500</v>
      </c>
      <c r="Q16" s="47">
        <v>29</v>
      </c>
    </row>
    <row r="17" spans="1:17" ht="12.75">
      <c r="A17" s="47">
        <v>1991</v>
      </c>
      <c r="B17" s="48">
        <v>1049</v>
      </c>
      <c r="C17" s="47">
        <v>41</v>
      </c>
      <c r="D17" s="48">
        <v>86800</v>
      </c>
      <c r="E17" s="47">
        <v>-3</v>
      </c>
      <c r="G17" s="47">
        <v>1991</v>
      </c>
      <c r="H17" s="47">
        <v>247</v>
      </c>
      <c r="I17" s="47">
        <v>91</v>
      </c>
      <c r="J17" s="48">
        <v>51600</v>
      </c>
      <c r="K17" s="47">
        <v>-13</v>
      </c>
      <c r="M17" s="47">
        <v>1991</v>
      </c>
      <c r="N17" s="47">
        <v>275</v>
      </c>
      <c r="O17" s="47">
        <v>-21</v>
      </c>
      <c r="P17" s="48">
        <v>44300</v>
      </c>
      <c r="Q17" s="47">
        <v>12</v>
      </c>
    </row>
    <row r="18" spans="1:17" ht="12.75">
      <c r="A18" s="47">
        <v>1992</v>
      </c>
      <c r="B18" s="48">
        <v>1724</v>
      </c>
      <c r="C18" s="47">
        <v>64</v>
      </c>
      <c r="D18" s="48">
        <v>86400</v>
      </c>
      <c r="E18" s="47">
        <v>0</v>
      </c>
      <c r="G18" s="47">
        <v>1992</v>
      </c>
      <c r="H18" s="47">
        <v>277</v>
      </c>
      <c r="I18" s="47">
        <v>12</v>
      </c>
      <c r="J18" s="48">
        <v>56000</v>
      </c>
      <c r="K18" s="47">
        <v>9</v>
      </c>
      <c r="M18" s="47">
        <v>1992</v>
      </c>
      <c r="N18" s="47">
        <v>109</v>
      </c>
      <c r="O18" s="47">
        <v>-60</v>
      </c>
      <c r="P18" s="48">
        <v>55100</v>
      </c>
      <c r="Q18" s="47">
        <v>24</v>
      </c>
    </row>
    <row r="19" spans="1:17" ht="12.75">
      <c r="A19" s="47">
        <v>1993</v>
      </c>
      <c r="B19" s="48">
        <v>2060</v>
      </c>
      <c r="C19" s="47">
        <v>19</v>
      </c>
      <c r="D19" s="48">
        <v>89400</v>
      </c>
      <c r="E19" s="47">
        <v>3</v>
      </c>
      <c r="G19" s="47">
        <v>1993</v>
      </c>
      <c r="H19" s="47">
        <v>431</v>
      </c>
      <c r="I19" s="47">
        <v>56</v>
      </c>
      <c r="J19" s="48">
        <v>57000</v>
      </c>
      <c r="K19" s="47">
        <v>2</v>
      </c>
      <c r="M19" s="47">
        <v>1993</v>
      </c>
      <c r="N19" s="47">
        <v>535</v>
      </c>
      <c r="O19" s="47">
        <v>391</v>
      </c>
      <c r="P19" s="48">
        <v>31500</v>
      </c>
      <c r="Q19" s="47">
        <v>-43</v>
      </c>
    </row>
    <row r="20" spans="1:17" ht="12.75">
      <c r="A20" s="47">
        <v>1994</v>
      </c>
      <c r="B20" s="48">
        <v>2080</v>
      </c>
      <c r="C20" s="47">
        <v>1</v>
      </c>
      <c r="D20" s="48">
        <v>89200</v>
      </c>
      <c r="E20" s="47">
        <v>0</v>
      </c>
      <c r="G20" s="47">
        <v>1994</v>
      </c>
      <c r="H20" s="47">
        <v>497</v>
      </c>
      <c r="I20" s="47">
        <v>15</v>
      </c>
      <c r="J20" s="48">
        <v>52700</v>
      </c>
      <c r="K20" s="47">
        <v>-8</v>
      </c>
      <c r="M20" s="47">
        <v>1994</v>
      </c>
      <c r="N20" s="47">
        <v>443</v>
      </c>
      <c r="O20" s="47">
        <v>-17</v>
      </c>
      <c r="P20" s="48">
        <v>46000</v>
      </c>
      <c r="Q20" s="47">
        <v>46</v>
      </c>
    </row>
    <row r="21" spans="1:17" ht="12.75">
      <c r="A21" s="47">
        <v>1995</v>
      </c>
      <c r="B21" s="48">
        <v>1708</v>
      </c>
      <c r="C21" s="47">
        <v>-18</v>
      </c>
      <c r="D21" s="48">
        <v>93500</v>
      </c>
      <c r="E21" s="47">
        <v>5</v>
      </c>
      <c r="G21" s="47">
        <v>1995</v>
      </c>
      <c r="H21" s="47">
        <v>551</v>
      </c>
      <c r="I21" s="47">
        <v>11</v>
      </c>
      <c r="J21" s="48">
        <v>54800</v>
      </c>
      <c r="K21" s="47">
        <v>4</v>
      </c>
      <c r="M21" s="47">
        <v>1995</v>
      </c>
      <c r="N21" s="47">
        <v>805</v>
      </c>
      <c r="O21" s="47">
        <v>82</v>
      </c>
      <c r="P21" s="48">
        <v>42800</v>
      </c>
      <c r="Q21" s="47">
        <v>-7</v>
      </c>
    </row>
    <row r="22" spans="1:17" ht="12.75">
      <c r="A22" s="47">
        <v>1996</v>
      </c>
      <c r="B22" s="48">
        <v>1496</v>
      </c>
      <c r="C22" s="47">
        <v>-12</v>
      </c>
      <c r="D22" s="48">
        <v>100200</v>
      </c>
      <c r="E22" s="47">
        <v>7</v>
      </c>
      <c r="G22" s="47">
        <v>1996</v>
      </c>
      <c r="H22" s="47">
        <v>473</v>
      </c>
      <c r="I22" s="47">
        <v>-14</v>
      </c>
      <c r="J22" s="48">
        <v>62900</v>
      </c>
      <c r="K22" s="47">
        <v>15</v>
      </c>
      <c r="M22" s="47">
        <v>1996</v>
      </c>
      <c r="N22" s="47">
        <v>711</v>
      </c>
      <c r="O22" s="47">
        <v>-12</v>
      </c>
      <c r="P22" s="48">
        <v>41700</v>
      </c>
      <c r="Q22" s="47">
        <v>-3</v>
      </c>
    </row>
    <row r="23" spans="1:17" ht="12.75">
      <c r="A23" s="47">
        <v>1997</v>
      </c>
      <c r="B23" s="48">
        <v>1502</v>
      </c>
      <c r="C23" s="47">
        <v>0</v>
      </c>
      <c r="D23" s="48">
        <v>101100</v>
      </c>
      <c r="E23" s="47">
        <v>1</v>
      </c>
      <c r="G23" s="47">
        <v>1997</v>
      </c>
      <c r="H23" s="47">
        <v>415</v>
      </c>
      <c r="I23" s="47">
        <v>-12</v>
      </c>
      <c r="J23" s="48">
        <v>66800</v>
      </c>
      <c r="K23" s="47">
        <v>6</v>
      </c>
      <c r="M23" s="47">
        <v>1997</v>
      </c>
      <c r="N23" s="47">
        <v>556</v>
      </c>
      <c r="O23" s="47">
        <v>-22</v>
      </c>
      <c r="P23" s="48">
        <v>44900</v>
      </c>
      <c r="Q23" s="47">
        <v>8</v>
      </c>
    </row>
    <row r="24" spans="1:17" ht="12.75">
      <c r="A24" s="47">
        <v>1998</v>
      </c>
      <c r="B24" s="48">
        <v>1485</v>
      </c>
      <c r="C24" s="47">
        <v>-1</v>
      </c>
      <c r="D24" s="48">
        <v>106000</v>
      </c>
      <c r="E24" s="47">
        <v>5</v>
      </c>
      <c r="G24" s="47">
        <v>1998</v>
      </c>
      <c r="H24" s="47">
        <v>404</v>
      </c>
      <c r="I24" s="47">
        <v>-3</v>
      </c>
      <c r="J24" s="48">
        <v>70900</v>
      </c>
      <c r="K24" s="47">
        <v>6</v>
      </c>
      <c r="M24" s="47">
        <v>1998</v>
      </c>
      <c r="N24" s="47">
        <v>672</v>
      </c>
      <c r="O24" s="47">
        <v>21</v>
      </c>
      <c r="P24" s="48">
        <v>45900</v>
      </c>
      <c r="Q24" s="47">
        <v>2</v>
      </c>
    </row>
    <row r="25" spans="1:17" ht="12.75">
      <c r="A25" s="47">
        <v>1999</v>
      </c>
      <c r="B25" s="48">
        <v>1607</v>
      </c>
      <c r="C25" s="47">
        <v>8</v>
      </c>
      <c r="D25" s="48">
        <v>109300</v>
      </c>
      <c r="E25" s="47">
        <v>3</v>
      </c>
      <c r="G25" s="47">
        <v>1999</v>
      </c>
      <c r="H25" s="47">
        <v>464</v>
      </c>
      <c r="I25" s="47">
        <v>15</v>
      </c>
      <c r="J25" s="48">
        <v>59300</v>
      </c>
      <c r="K25" s="47">
        <v>-16</v>
      </c>
      <c r="M25" s="47">
        <v>1999</v>
      </c>
      <c r="N25" s="47">
        <v>495</v>
      </c>
      <c r="O25" s="47">
        <v>-26</v>
      </c>
      <c r="P25" s="48">
        <v>46700</v>
      </c>
      <c r="Q25" s="47">
        <v>2</v>
      </c>
    </row>
    <row r="26" spans="1:17" ht="12.75">
      <c r="A26" s="47">
        <v>2000</v>
      </c>
      <c r="B26" s="48">
        <v>1565</v>
      </c>
      <c r="C26" s="47">
        <v>-3</v>
      </c>
      <c r="D26" s="48">
        <v>116300</v>
      </c>
      <c r="E26" s="47">
        <v>6</v>
      </c>
      <c r="G26" s="47">
        <v>2000</v>
      </c>
      <c r="H26" s="47">
        <v>519</v>
      </c>
      <c r="I26" s="47">
        <v>12</v>
      </c>
      <c r="J26" s="48">
        <v>54800</v>
      </c>
      <c r="K26" s="47">
        <v>-8</v>
      </c>
      <c r="M26" s="47">
        <v>2000</v>
      </c>
      <c r="N26" s="47">
        <v>488</v>
      </c>
      <c r="O26" s="47">
        <v>-1</v>
      </c>
      <c r="P26" s="48">
        <v>50600</v>
      </c>
      <c r="Q26" s="47">
        <v>8</v>
      </c>
    </row>
    <row r="27" spans="1:17" ht="12.75">
      <c r="A27" s="47">
        <v>2001</v>
      </c>
      <c r="B27" s="48">
        <v>1790</v>
      </c>
      <c r="C27" s="47">
        <v>14</v>
      </c>
      <c r="D27" s="48">
        <v>122000</v>
      </c>
      <c r="E27" s="47">
        <v>5</v>
      </c>
      <c r="G27" s="47">
        <v>2001</v>
      </c>
      <c r="H27" s="47">
        <v>316</v>
      </c>
      <c r="I27" s="47">
        <v>-39</v>
      </c>
      <c r="J27" s="48">
        <v>69500</v>
      </c>
      <c r="K27" s="47">
        <v>27</v>
      </c>
      <c r="M27" s="47">
        <v>2001</v>
      </c>
      <c r="N27" s="47">
        <v>498</v>
      </c>
      <c r="O27" s="47">
        <v>2</v>
      </c>
      <c r="P27" s="48">
        <v>52600</v>
      </c>
      <c r="Q27" s="47">
        <v>4</v>
      </c>
    </row>
    <row r="28" spans="1:17" ht="25.5" customHeight="1">
      <c r="A28" s="434" t="s">
        <v>110</v>
      </c>
      <c r="B28" s="434"/>
      <c r="C28" s="434"/>
      <c r="D28" s="434"/>
      <c r="E28" s="434"/>
      <c r="G28" s="434" t="s">
        <v>110</v>
      </c>
      <c r="H28" s="434"/>
      <c r="I28" s="434"/>
      <c r="J28" s="434"/>
      <c r="K28" s="434"/>
      <c r="M28" s="434" t="s">
        <v>110</v>
      </c>
      <c r="N28" s="434"/>
      <c r="O28" s="434"/>
      <c r="P28" s="434"/>
      <c r="Q28" s="434"/>
    </row>
  </sheetData>
  <mergeCells count="24">
    <mergeCell ref="M28:Q28"/>
    <mergeCell ref="M3:M5"/>
    <mergeCell ref="N3:O3"/>
    <mergeCell ref="P3:Q3"/>
    <mergeCell ref="N4:N5"/>
    <mergeCell ref="P4:P5"/>
    <mergeCell ref="H4:H5"/>
    <mergeCell ref="J4:J5"/>
    <mergeCell ref="M1:Q1"/>
    <mergeCell ref="M2:Q2"/>
    <mergeCell ref="A28:E28"/>
    <mergeCell ref="G3:G5"/>
    <mergeCell ref="G1:K1"/>
    <mergeCell ref="G2:K2"/>
    <mergeCell ref="G28:K28"/>
    <mergeCell ref="A3:A5"/>
    <mergeCell ref="B3:C3"/>
    <mergeCell ref="D3:E3"/>
    <mergeCell ref="H3:I3"/>
    <mergeCell ref="J3:K3"/>
    <mergeCell ref="B4:B5"/>
    <mergeCell ref="D4:D5"/>
    <mergeCell ref="A1:E1"/>
    <mergeCell ref="A2:E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Q28"/>
  <sheetViews>
    <sheetView workbookViewId="0" topLeftCell="B1">
      <selection activeCell="E30" sqref="E30"/>
    </sheetView>
  </sheetViews>
  <sheetFormatPr defaultColWidth="9.140625" defaultRowHeight="12.75"/>
  <sheetData>
    <row r="1" spans="1:17" ht="15.75" customHeight="1">
      <c r="A1" s="427" t="s">
        <v>114</v>
      </c>
      <c r="B1" s="427"/>
      <c r="C1" s="427"/>
      <c r="D1" s="427"/>
      <c r="E1" s="427"/>
      <c r="G1" s="427" t="s">
        <v>115</v>
      </c>
      <c r="H1" s="427"/>
      <c r="I1" s="427"/>
      <c r="J1" s="427"/>
      <c r="K1" s="427"/>
      <c r="M1" s="427" t="s">
        <v>116</v>
      </c>
      <c r="N1" s="427"/>
      <c r="O1" s="427"/>
      <c r="P1" s="427"/>
      <c r="Q1" s="427"/>
    </row>
    <row r="2" spans="1:17" ht="12.75">
      <c r="A2" s="428"/>
      <c r="B2" s="428"/>
      <c r="C2" s="428"/>
      <c r="D2" s="428"/>
      <c r="E2" s="428"/>
      <c r="G2" s="428"/>
      <c r="H2" s="428"/>
      <c r="I2" s="428"/>
      <c r="J2" s="428"/>
      <c r="K2" s="428"/>
      <c r="M2" s="428"/>
      <c r="N2" s="428"/>
      <c r="O2" s="428"/>
      <c r="P2" s="428"/>
      <c r="Q2" s="428"/>
    </row>
    <row r="3" spans="1:17" ht="25.5" customHeight="1">
      <c r="A3" s="430" t="s">
        <v>38</v>
      </c>
      <c r="B3" s="430" t="s">
        <v>106</v>
      </c>
      <c r="C3" s="430"/>
      <c r="D3" s="430" t="s">
        <v>107</v>
      </c>
      <c r="E3" s="430"/>
      <c r="G3" s="430" t="s">
        <v>38</v>
      </c>
      <c r="H3" s="430" t="s">
        <v>106</v>
      </c>
      <c r="I3" s="430"/>
      <c r="J3" s="430" t="s">
        <v>107</v>
      </c>
      <c r="K3" s="430"/>
      <c r="M3" s="430" t="s">
        <v>38</v>
      </c>
      <c r="N3" s="430" t="s">
        <v>106</v>
      </c>
      <c r="O3" s="430"/>
      <c r="P3" s="430" t="s">
        <v>107</v>
      </c>
      <c r="Q3" s="430"/>
    </row>
    <row r="4" spans="1:17" ht="12.75">
      <c r="A4" s="430"/>
      <c r="B4" s="430" t="s">
        <v>63</v>
      </c>
      <c r="C4" s="46" t="s">
        <v>108</v>
      </c>
      <c r="D4" s="430" t="s">
        <v>109</v>
      </c>
      <c r="E4" s="46" t="s">
        <v>108</v>
      </c>
      <c r="G4" s="430"/>
      <c r="H4" s="430" t="s">
        <v>63</v>
      </c>
      <c r="I4" s="46" t="s">
        <v>108</v>
      </c>
      <c r="J4" s="430" t="s">
        <v>109</v>
      </c>
      <c r="K4" s="46" t="s">
        <v>108</v>
      </c>
      <c r="M4" s="430"/>
      <c r="N4" s="430" t="s">
        <v>63</v>
      </c>
      <c r="O4" s="46" t="s">
        <v>108</v>
      </c>
      <c r="P4" s="430" t="s">
        <v>109</v>
      </c>
      <c r="Q4" s="46" t="s">
        <v>108</v>
      </c>
    </row>
    <row r="5" spans="1:17" ht="12.75">
      <c r="A5" s="430"/>
      <c r="B5" s="430"/>
      <c r="C5" s="46" t="s">
        <v>88</v>
      </c>
      <c r="D5" s="430"/>
      <c r="E5" s="46" t="s">
        <v>88</v>
      </c>
      <c r="G5" s="430"/>
      <c r="H5" s="430"/>
      <c r="I5" s="46" t="s">
        <v>88</v>
      </c>
      <c r="J5" s="430"/>
      <c r="K5" s="46" t="s">
        <v>88</v>
      </c>
      <c r="M5" s="430"/>
      <c r="N5" s="430"/>
      <c r="O5" s="46" t="s">
        <v>88</v>
      </c>
      <c r="P5" s="430"/>
      <c r="Q5" s="46" t="s">
        <v>88</v>
      </c>
    </row>
    <row r="6" spans="1:17" ht="12.75">
      <c r="A6" s="47">
        <v>1980</v>
      </c>
      <c r="B6" s="48">
        <v>13607</v>
      </c>
      <c r="C6" s="47"/>
      <c r="D6" s="48">
        <v>50200</v>
      </c>
      <c r="E6" s="47"/>
      <c r="G6" s="47">
        <v>1980</v>
      </c>
      <c r="H6" s="48">
        <v>2225</v>
      </c>
      <c r="I6" s="47"/>
      <c r="J6" s="48">
        <v>27900</v>
      </c>
      <c r="K6" s="47"/>
      <c r="M6" s="47">
        <v>1980</v>
      </c>
      <c r="N6" s="48">
        <v>3421</v>
      </c>
      <c r="O6" s="47"/>
      <c r="P6" s="48">
        <v>24400</v>
      </c>
      <c r="Q6" s="47"/>
    </row>
    <row r="7" spans="1:17" ht="12.75">
      <c r="A7" s="47">
        <v>1981</v>
      </c>
      <c r="B7" s="48">
        <v>8786</v>
      </c>
      <c r="C7" s="47">
        <v>-35</v>
      </c>
      <c r="D7" s="48">
        <v>54500</v>
      </c>
      <c r="E7" s="47">
        <v>9</v>
      </c>
      <c r="G7" s="47">
        <v>1981</v>
      </c>
      <c r="H7" s="48">
        <v>1169</v>
      </c>
      <c r="I7" s="47">
        <v>-47</v>
      </c>
      <c r="J7" s="48">
        <v>34300</v>
      </c>
      <c r="K7" s="47">
        <v>23</v>
      </c>
      <c r="M7" s="47">
        <v>1981</v>
      </c>
      <c r="N7" s="48">
        <v>2932</v>
      </c>
      <c r="O7" s="47">
        <v>-14</v>
      </c>
      <c r="P7" s="48">
        <v>23800</v>
      </c>
      <c r="Q7" s="47">
        <v>-2</v>
      </c>
    </row>
    <row r="8" spans="1:17" ht="12.75">
      <c r="A8" s="47">
        <v>1982</v>
      </c>
      <c r="B8" s="48">
        <v>4975</v>
      </c>
      <c r="C8" s="47">
        <v>-43</v>
      </c>
      <c r="D8" s="48">
        <v>55900</v>
      </c>
      <c r="E8" s="47">
        <v>3</v>
      </c>
      <c r="G8" s="47">
        <v>1982</v>
      </c>
      <c r="H8" s="47">
        <v>615</v>
      </c>
      <c r="I8" s="47">
        <v>-47</v>
      </c>
      <c r="J8" s="48">
        <v>33500</v>
      </c>
      <c r="K8" s="47">
        <v>-2</v>
      </c>
      <c r="M8" s="47">
        <v>1982</v>
      </c>
      <c r="N8" s="48">
        <v>1868</v>
      </c>
      <c r="O8" s="47">
        <v>-36</v>
      </c>
      <c r="P8" s="48">
        <v>25800</v>
      </c>
      <c r="Q8" s="47">
        <v>8</v>
      </c>
    </row>
    <row r="9" spans="1:17" ht="12.75">
      <c r="A9" s="47">
        <v>1983</v>
      </c>
      <c r="B9" s="48">
        <v>6748</v>
      </c>
      <c r="C9" s="47">
        <v>36</v>
      </c>
      <c r="D9" s="48">
        <v>60200</v>
      </c>
      <c r="E9" s="47">
        <v>8</v>
      </c>
      <c r="G9" s="47">
        <v>1983</v>
      </c>
      <c r="H9" s="47">
        <v>665</v>
      </c>
      <c r="I9" s="47">
        <v>8</v>
      </c>
      <c r="J9" s="48">
        <v>32300</v>
      </c>
      <c r="K9" s="47">
        <v>-4</v>
      </c>
      <c r="M9" s="47">
        <v>1983</v>
      </c>
      <c r="N9" s="48">
        <v>1180</v>
      </c>
      <c r="O9" s="47">
        <v>-37</v>
      </c>
      <c r="P9" s="48">
        <v>46600</v>
      </c>
      <c r="Q9" s="47">
        <v>81</v>
      </c>
    </row>
    <row r="10" spans="1:17" ht="12.75">
      <c r="A10" s="47">
        <v>1984</v>
      </c>
      <c r="B10" s="48">
        <v>6129</v>
      </c>
      <c r="C10" s="47">
        <v>-9</v>
      </c>
      <c r="D10" s="48">
        <v>65700</v>
      </c>
      <c r="E10" s="47">
        <v>9</v>
      </c>
      <c r="G10" s="47">
        <v>1984</v>
      </c>
      <c r="H10" s="47">
        <v>441</v>
      </c>
      <c r="I10" s="47">
        <v>-34</v>
      </c>
      <c r="J10" s="48">
        <v>33300</v>
      </c>
      <c r="K10" s="47">
        <v>3</v>
      </c>
      <c r="M10" s="47">
        <v>1984</v>
      </c>
      <c r="N10" s="48">
        <v>1424</v>
      </c>
      <c r="O10" s="47">
        <v>21</v>
      </c>
      <c r="P10" s="48">
        <v>24900</v>
      </c>
      <c r="Q10" s="47">
        <v>-47</v>
      </c>
    </row>
    <row r="11" spans="1:17" ht="12.75">
      <c r="A11" s="47">
        <v>1985</v>
      </c>
      <c r="B11" s="48">
        <v>6264</v>
      </c>
      <c r="C11" s="47">
        <v>2</v>
      </c>
      <c r="D11" s="48">
        <v>71100</v>
      </c>
      <c r="E11" s="47">
        <v>8</v>
      </c>
      <c r="G11" s="47">
        <v>1985</v>
      </c>
      <c r="H11" s="47">
        <v>573</v>
      </c>
      <c r="I11" s="47">
        <v>30</v>
      </c>
      <c r="J11" s="48">
        <v>36000</v>
      </c>
      <c r="K11" s="47">
        <v>8</v>
      </c>
      <c r="M11" s="47">
        <v>1985</v>
      </c>
      <c r="N11" s="48">
        <v>4261</v>
      </c>
      <c r="O11" s="47">
        <v>199</v>
      </c>
      <c r="P11" s="48">
        <v>27100</v>
      </c>
      <c r="Q11" s="47">
        <v>9</v>
      </c>
    </row>
    <row r="12" spans="1:17" ht="12.75">
      <c r="A12" s="47">
        <v>1986</v>
      </c>
      <c r="B12" s="48">
        <v>6996</v>
      </c>
      <c r="C12" s="47">
        <v>12</v>
      </c>
      <c r="D12" s="48">
        <v>75200</v>
      </c>
      <c r="E12" s="47">
        <v>6</v>
      </c>
      <c r="G12" s="47">
        <v>1986</v>
      </c>
      <c r="H12" s="47">
        <v>608</v>
      </c>
      <c r="I12" s="47">
        <v>6</v>
      </c>
      <c r="J12" s="48">
        <v>33500</v>
      </c>
      <c r="K12" s="47">
        <v>-7</v>
      </c>
      <c r="M12" s="47">
        <v>1986</v>
      </c>
      <c r="N12" s="48">
        <v>3058</v>
      </c>
      <c r="O12" s="47">
        <v>-28</v>
      </c>
      <c r="P12" s="48">
        <v>26600</v>
      </c>
      <c r="Q12" s="47">
        <v>-2</v>
      </c>
    </row>
    <row r="13" spans="1:17" ht="12.75">
      <c r="A13" s="47">
        <v>1987</v>
      </c>
      <c r="B13" s="48">
        <v>7887</v>
      </c>
      <c r="C13" s="47">
        <v>13</v>
      </c>
      <c r="D13" s="48">
        <v>79300</v>
      </c>
      <c r="E13" s="47">
        <v>5</v>
      </c>
      <c r="G13" s="47">
        <v>1987</v>
      </c>
      <c r="H13" s="47">
        <v>460</v>
      </c>
      <c r="I13" s="47">
        <v>-24</v>
      </c>
      <c r="J13" s="48">
        <v>36100</v>
      </c>
      <c r="K13" s="47">
        <v>8</v>
      </c>
      <c r="M13" s="47">
        <v>1987</v>
      </c>
      <c r="N13" s="48">
        <v>3871</v>
      </c>
      <c r="O13" s="47">
        <v>27</v>
      </c>
      <c r="P13" s="48">
        <v>28500</v>
      </c>
      <c r="Q13" s="47">
        <v>7</v>
      </c>
    </row>
    <row r="14" spans="1:17" ht="12.75">
      <c r="A14" s="47">
        <v>1988</v>
      </c>
      <c r="B14" s="48">
        <v>9163</v>
      </c>
      <c r="C14" s="47">
        <v>16</v>
      </c>
      <c r="D14" s="48">
        <v>83500</v>
      </c>
      <c r="E14" s="47">
        <v>5</v>
      </c>
      <c r="G14" s="47">
        <v>1988</v>
      </c>
      <c r="H14" s="47">
        <v>677</v>
      </c>
      <c r="I14" s="47">
        <v>47</v>
      </c>
      <c r="J14" s="48">
        <v>41000</v>
      </c>
      <c r="K14" s="47">
        <v>14</v>
      </c>
      <c r="M14" s="47">
        <v>1988</v>
      </c>
      <c r="N14" s="48">
        <v>4209</v>
      </c>
      <c r="O14" s="47">
        <v>9</v>
      </c>
      <c r="P14" s="48">
        <v>32400</v>
      </c>
      <c r="Q14" s="47">
        <v>14</v>
      </c>
    </row>
    <row r="15" spans="1:17" ht="12.75">
      <c r="A15" s="47">
        <v>1989</v>
      </c>
      <c r="B15" s="48">
        <v>11398</v>
      </c>
      <c r="C15" s="47">
        <v>24</v>
      </c>
      <c r="D15" s="48">
        <v>90200</v>
      </c>
      <c r="E15" s="47">
        <v>8</v>
      </c>
      <c r="G15" s="47">
        <v>1989</v>
      </c>
      <c r="H15" s="48">
        <v>1255</v>
      </c>
      <c r="I15" s="47">
        <v>85</v>
      </c>
      <c r="J15" s="48">
        <v>39500</v>
      </c>
      <c r="K15" s="47">
        <v>-4</v>
      </c>
      <c r="M15" s="47">
        <v>1989</v>
      </c>
      <c r="N15" s="48">
        <v>10436</v>
      </c>
      <c r="O15" s="47">
        <v>148</v>
      </c>
      <c r="P15" s="48">
        <v>30900</v>
      </c>
      <c r="Q15" s="47">
        <v>-5</v>
      </c>
    </row>
    <row r="16" spans="1:17" ht="12.75">
      <c r="A16" s="47">
        <v>1990</v>
      </c>
      <c r="B16" s="48">
        <v>13298</v>
      </c>
      <c r="C16" s="47">
        <v>17</v>
      </c>
      <c r="D16" s="48">
        <v>97700</v>
      </c>
      <c r="E16" s="47">
        <v>8</v>
      </c>
      <c r="G16" s="47">
        <v>1990</v>
      </c>
      <c r="H16" s="48">
        <v>1375</v>
      </c>
      <c r="I16" s="47">
        <v>10</v>
      </c>
      <c r="J16" s="48">
        <v>43900</v>
      </c>
      <c r="K16" s="47">
        <v>11</v>
      </c>
      <c r="M16" s="47">
        <v>1990</v>
      </c>
      <c r="N16" s="48">
        <v>8185</v>
      </c>
      <c r="O16" s="47">
        <v>-22</v>
      </c>
      <c r="P16" s="48">
        <v>36400</v>
      </c>
      <c r="Q16" s="47">
        <v>18</v>
      </c>
    </row>
    <row r="17" spans="1:17" ht="12.75">
      <c r="A17" s="47">
        <v>1991</v>
      </c>
      <c r="B17" s="48">
        <v>11757</v>
      </c>
      <c r="C17" s="47">
        <v>-12</v>
      </c>
      <c r="D17" s="48">
        <v>102100</v>
      </c>
      <c r="E17" s="47">
        <v>5</v>
      </c>
      <c r="G17" s="47">
        <v>1991</v>
      </c>
      <c r="H17" s="47">
        <v>989</v>
      </c>
      <c r="I17" s="47">
        <v>-28</v>
      </c>
      <c r="J17" s="48">
        <v>50100</v>
      </c>
      <c r="K17" s="47">
        <v>14</v>
      </c>
      <c r="M17" s="47">
        <v>1991</v>
      </c>
      <c r="N17" s="48">
        <v>3640</v>
      </c>
      <c r="O17" s="47">
        <v>-56</v>
      </c>
      <c r="P17" s="48">
        <v>36300</v>
      </c>
      <c r="Q17" s="47">
        <v>0</v>
      </c>
    </row>
    <row r="18" spans="1:17" ht="12.75">
      <c r="A18" s="47">
        <v>1992</v>
      </c>
      <c r="B18" s="48">
        <v>13121</v>
      </c>
      <c r="C18" s="47">
        <v>12</v>
      </c>
      <c r="D18" s="48">
        <v>105100</v>
      </c>
      <c r="E18" s="47">
        <v>3</v>
      </c>
      <c r="G18" s="47">
        <v>1992</v>
      </c>
      <c r="H18" s="48">
        <v>1045</v>
      </c>
      <c r="I18" s="47">
        <v>6</v>
      </c>
      <c r="J18" s="48">
        <v>47700</v>
      </c>
      <c r="K18" s="47">
        <v>-5</v>
      </c>
      <c r="M18" s="47">
        <v>1992</v>
      </c>
      <c r="N18" s="48">
        <v>2828</v>
      </c>
      <c r="O18" s="47">
        <v>-22</v>
      </c>
      <c r="P18" s="48">
        <v>40100</v>
      </c>
      <c r="Q18" s="47">
        <v>10</v>
      </c>
    </row>
    <row r="19" spans="1:17" ht="12.75">
      <c r="A19" s="47">
        <v>1993</v>
      </c>
      <c r="B19" s="48">
        <v>15215</v>
      </c>
      <c r="C19" s="47">
        <v>16</v>
      </c>
      <c r="D19" s="48">
        <v>112300</v>
      </c>
      <c r="E19" s="47">
        <v>7</v>
      </c>
      <c r="G19" s="47">
        <v>1993</v>
      </c>
      <c r="H19" s="48">
        <v>1272</v>
      </c>
      <c r="I19" s="47">
        <v>22</v>
      </c>
      <c r="J19" s="48">
        <v>54100</v>
      </c>
      <c r="K19" s="47">
        <v>13</v>
      </c>
      <c r="M19" s="47">
        <v>1993</v>
      </c>
      <c r="N19" s="48">
        <v>4042</v>
      </c>
      <c r="O19" s="47">
        <v>43</v>
      </c>
      <c r="P19" s="48">
        <v>44300</v>
      </c>
      <c r="Q19" s="47">
        <v>10</v>
      </c>
    </row>
    <row r="20" spans="1:17" ht="12.75">
      <c r="A20" s="47">
        <v>1994</v>
      </c>
      <c r="B20" s="48">
        <v>16088</v>
      </c>
      <c r="C20" s="47">
        <v>6</v>
      </c>
      <c r="D20" s="48">
        <v>118200</v>
      </c>
      <c r="E20" s="47">
        <v>5</v>
      </c>
      <c r="G20" s="47">
        <v>1994</v>
      </c>
      <c r="H20" s="48">
        <v>2020</v>
      </c>
      <c r="I20" s="47">
        <v>59</v>
      </c>
      <c r="J20" s="48">
        <v>54500</v>
      </c>
      <c r="K20" s="47">
        <v>1</v>
      </c>
      <c r="M20" s="47">
        <v>1994</v>
      </c>
      <c r="N20" s="48">
        <v>5921</v>
      </c>
      <c r="O20" s="47">
        <v>46</v>
      </c>
      <c r="P20" s="48">
        <v>43900</v>
      </c>
      <c r="Q20" s="47">
        <v>-1</v>
      </c>
    </row>
    <row r="21" spans="1:17" ht="12.75">
      <c r="A21" s="47">
        <v>1995</v>
      </c>
      <c r="B21" s="48">
        <v>15379</v>
      </c>
      <c r="C21" s="47">
        <v>-4</v>
      </c>
      <c r="D21" s="48">
        <v>126500</v>
      </c>
      <c r="E21" s="47">
        <v>7</v>
      </c>
      <c r="G21" s="47">
        <v>1995</v>
      </c>
      <c r="H21" s="48">
        <v>2243</v>
      </c>
      <c r="I21" s="47">
        <v>11</v>
      </c>
      <c r="J21" s="48">
        <v>65300</v>
      </c>
      <c r="K21" s="47">
        <v>20</v>
      </c>
      <c r="M21" s="47">
        <v>1995</v>
      </c>
      <c r="N21" s="48">
        <v>8579</v>
      </c>
      <c r="O21" s="47">
        <v>45</v>
      </c>
      <c r="P21" s="48">
        <v>46700</v>
      </c>
      <c r="Q21" s="47">
        <v>6</v>
      </c>
    </row>
    <row r="22" spans="1:17" ht="12.75">
      <c r="A22" s="47">
        <v>1996</v>
      </c>
      <c r="B22" s="48">
        <v>17232</v>
      </c>
      <c r="C22" s="47">
        <v>12</v>
      </c>
      <c r="D22" s="48">
        <v>129200</v>
      </c>
      <c r="E22" s="47">
        <v>2</v>
      </c>
      <c r="G22" s="47">
        <v>1996</v>
      </c>
      <c r="H22" s="48">
        <v>2074</v>
      </c>
      <c r="I22" s="47">
        <v>-8</v>
      </c>
      <c r="J22" s="48">
        <v>68100</v>
      </c>
      <c r="K22" s="47">
        <v>4</v>
      </c>
      <c r="M22" s="47">
        <v>1996</v>
      </c>
      <c r="N22" s="48">
        <v>8508</v>
      </c>
      <c r="O22" s="47">
        <v>-1</v>
      </c>
      <c r="P22" s="48">
        <v>46200</v>
      </c>
      <c r="Q22" s="47">
        <v>-1</v>
      </c>
    </row>
    <row r="23" spans="1:17" ht="12.75">
      <c r="A23" s="47">
        <v>1997</v>
      </c>
      <c r="B23" s="48">
        <v>16250</v>
      </c>
      <c r="C23" s="47">
        <v>-6</v>
      </c>
      <c r="D23" s="48">
        <v>134300</v>
      </c>
      <c r="E23" s="47">
        <v>4</v>
      </c>
      <c r="G23" s="47">
        <v>1997</v>
      </c>
      <c r="H23" s="48">
        <v>2660</v>
      </c>
      <c r="I23" s="47">
        <v>28</v>
      </c>
      <c r="J23" s="48">
        <v>72700</v>
      </c>
      <c r="K23" s="47">
        <v>7</v>
      </c>
      <c r="M23" s="47">
        <v>1997</v>
      </c>
      <c r="N23" s="48">
        <v>8089</v>
      </c>
      <c r="O23" s="47">
        <v>-5</v>
      </c>
      <c r="P23" s="48">
        <v>57100</v>
      </c>
      <c r="Q23" s="47">
        <v>24</v>
      </c>
    </row>
    <row r="24" spans="1:17" ht="12.75">
      <c r="A24" s="47">
        <v>1998</v>
      </c>
      <c r="B24" s="48">
        <v>16936</v>
      </c>
      <c r="C24" s="47">
        <v>4</v>
      </c>
      <c r="D24" s="48">
        <v>134500</v>
      </c>
      <c r="E24" s="47">
        <v>0</v>
      </c>
      <c r="G24" s="47">
        <v>1998</v>
      </c>
      <c r="H24" s="48">
        <v>1910</v>
      </c>
      <c r="I24" s="47">
        <v>-28</v>
      </c>
      <c r="J24" s="48">
        <v>71800</v>
      </c>
      <c r="K24" s="47">
        <v>-1</v>
      </c>
      <c r="M24" s="47">
        <v>1998</v>
      </c>
      <c r="N24" s="48">
        <v>7008</v>
      </c>
      <c r="O24" s="47">
        <v>-13</v>
      </c>
      <c r="P24" s="48">
        <v>58800</v>
      </c>
      <c r="Q24" s="47">
        <v>3</v>
      </c>
    </row>
    <row r="25" spans="1:17" ht="12.75">
      <c r="A25" s="47">
        <v>1999</v>
      </c>
      <c r="B25" s="48">
        <v>16595</v>
      </c>
      <c r="C25" s="47">
        <v>-2</v>
      </c>
      <c r="D25" s="48">
        <v>135700</v>
      </c>
      <c r="E25" s="47">
        <v>1</v>
      </c>
      <c r="G25" s="47">
        <v>1999</v>
      </c>
      <c r="H25" s="48">
        <v>1916</v>
      </c>
      <c r="I25" s="47">
        <v>0</v>
      </c>
      <c r="J25" s="48">
        <v>72400</v>
      </c>
      <c r="K25" s="47">
        <v>1</v>
      </c>
      <c r="M25" s="47">
        <v>1999</v>
      </c>
      <c r="N25" s="48">
        <v>4738</v>
      </c>
      <c r="O25" s="47">
        <v>-32</v>
      </c>
      <c r="P25" s="48">
        <v>55400</v>
      </c>
      <c r="Q25" s="47">
        <v>-6</v>
      </c>
    </row>
    <row r="26" spans="1:17" ht="12.75">
      <c r="A26" s="47">
        <v>2000</v>
      </c>
      <c r="B26" s="48">
        <v>15619</v>
      </c>
      <c r="C26" s="47">
        <v>-6</v>
      </c>
      <c r="D26" s="48">
        <v>143900</v>
      </c>
      <c r="E26" s="47">
        <v>6</v>
      </c>
      <c r="G26" s="47">
        <v>2000</v>
      </c>
      <c r="H26" s="48">
        <v>1074</v>
      </c>
      <c r="I26" s="47">
        <v>-44</v>
      </c>
      <c r="J26" s="48">
        <v>77000</v>
      </c>
      <c r="K26" s="47">
        <v>6</v>
      </c>
      <c r="M26" s="47">
        <v>2000</v>
      </c>
      <c r="N26" s="48">
        <v>3184</v>
      </c>
      <c r="O26" s="47">
        <v>-33</v>
      </c>
      <c r="P26" s="48">
        <v>63800</v>
      </c>
      <c r="Q26" s="47">
        <v>15</v>
      </c>
    </row>
    <row r="27" spans="1:17" ht="12.75">
      <c r="A27" s="47">
        <v>2001</v>
      </c>
      <c r="B27" s="48">
        <v>16323</v>
      </c>
      <c r="C27" s="47">
        <v>5</v>
      </c>
      <c r="D27" s="48">
        <v>162700</v>
      </c>
      <c r="E27" s="47">
        <v>13</v>
      </c>
      <c r="G27" s="47">
        <v>2001</v>
      </c>
      <c r="H27" s="48">
        <v>1138</v>
      </c>
      <c r="I27" s="47">
        <v>6</v>
      </c>
      <c r="J27" s="48">
        <v>84700</v>
      </c>
      <c r="K27" s="47">
        <v>10</v>
      </c>
      <c r="M27" s="47">
        <v>2001</v>
      </c>
      <c r="N27" s="48">
        <v>3861</v>
      </c>
      <c r="O27" s="47">
        <v>21</v>
      </c>
      <c r="P27" s="48">
        <v>63900</v>
      </c>
      <c r="Q27" s="47">
        <v>0</v>
      </c>
    </row>
    <row r="28" spans="1:17" ht="25.5" customHeight="1">
      <c r="A28" s="431" t="s">
        <v>110</v>
      </c>
      <c r="B28" s="432"/>
      <c r="C28" s="432"/>
      <c r="D28" s="432"/>
      <c r="E28" s="433"/>
      <c r="G28" s="431" t="s">
        <v>110</v>
      </c>
      <c r="H28" s="432"/>
      <c r="I28" s="432"/>
      <c r="J28" s="432"/>
      <c r="K28" s="433"/>
      <c r="M28" s="431" t="s">
        <v>110</v>
      </c>
      <c r="N28" s="432"/>
      <c r="O28" s="432"/>
      <c r="P28" s="432"/>
      <c r="Q28" s="433"/>
    </row>
  </sheetData>
  <mergeCells count="24">
    <mergeCell ref="M28:Q28"/>
    <mergeCell ref="M3:M5"/>
    <mergeCell ref="N3:O3"/>
    <mergeCell ref="P3:Q3"/>
    <mergeCell ref="N4:N5"/>
    <mergeCell ref="P4:P5"/>
    <mergeCell ref="H4:H5"/>
    <mergeCell ref="J4:J5"/>
    <mergeCell ref="M1:Q1"/>
    <mergeCell ref="M2:Q2"/>
    <mergeCell ref="A28:E28"/>
    <mergeCell ref="G3:G5"/>
    <mergeCell ref="G1:K1"/>
    <mergeCell ref="G2:K2"/>
    <mergeCell ref="G28:K28"/>
    <mergeCell ref="A3:A5"/>
    <mergeCell ref="B3:C3"/>
    <mergeCell ref="D3:E3"/>
    <mergeCell ref="H3:I3"/>
    <mergeCell ref="J3:K3"/>
    <mergeCell ref="B4:B5"/>
    <mergeCell ref="D4:D5"/>
    <mergeCell ref="A1:E1"/>
    <mergeCell ref="A2:E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Q28"/>
  <sheetViews>
    <sheetView workbookViewId="0" topLeftCell="A1">
      <selection activeCell="E30" sqref="E30"/>
    </sheetView>
  </sheetViews>
  <sheetFormatPr defaultColWidth="9.140625" defaultRowHeight="12.75"/>
  <sheetData>
    <row r="1" spans="1:17" ht="31.5" customHeight="1">
      <c r="A1" s="427" t="s">
        <v>117</v>
      </c>
      <c r="B1" s="427"/>
      <c r="C1" s="427"/>
      <c r="D1" s="427"/>
      <c r="E1" s="427"/>
      <c r="G1" s="427" t="s">
        <v>118</v>
      </c>
      <c r="H1" s="427"/>
      <c r="I1" s="427"/>
      <c r="J1" s="427"/>
      <c r="K1" s="427"/>
      <c r="M1" s="427" t="s">
        <v>119</v>
      </c>
      <c r="N1" s="427"/>
      <c r="O1" s="427"/>
      <c r="P1" s="427"/>
      <c r="Q1" s="427"/>
    </row>
    <row r="2" spans="1:17" ht="12.75">
      <c r="A2" s="428"/>
      <c r="B2" s="428"/>
      <c r="C2" s="428"/>
      <c r="D2" s="428"/>
      <c r="E2" s="428"/>
      <c r="G2" s="428"/>
      <c r="H2" s="428"/>
      <c r="I2" s="428"/>
      <c r="J2" s="428"/>
      <c r="K2" s="428"/>
      <c r="M2" s="428"/>
      <c r="N2" s="428"/>
      <c r="O2" s="428"/>
      <c r="P2" s="428"/>
      <c r="Q2" s="428"/>
    </row>
    <row r="3" spans="1:17" ht="25.5" customHeight="1">
      <c r="A3" s="430" t="s">
        <v>38</v>
      </c>
      <c r="B3" s="430" t="s">
        <v>106</v>
      </c>
      <c r="C3" s="430"/>
      <c r="D3" s="430" t="s">
        <v>107</v>
      </c>
      <c r="E3" s="430"/>
      <c r="G3" s="430" t="s">
        <v>38</v>
      </c>
      <c r="H3" s="430" t="s">
        <v>106</v>
      </c>
      <c r="I3" s="430"/>
      <c r="J3" s="430" t="s">
        <v>107</v>
      </c>
      <c r="K3" s="430"/>
      <c r="M3" s="430" t="s">
        <v>38</v>
      </c>
      <c r="N3" s="430" t="s">
        <v>106</v>
      </c>
      <c r="O3" s="430"/>
      <c r="P3" s="430" t="s">
        <v>107</v>
      </c>
      <c r="Q3" s="430"/>
    </row>
    <row r="4" spans="1:17" ht="12.75">
      <c r="A4" s="430"/>
      <c r="B4" s="430" t="s">
        <v>63</v>
      </c>
      <c r="C4" s="46" t="s">
        <v>108</v>
      </c>
      <c r="D4" s="430" t="s">
        <v>109</v>
      </c>
      <c r="E4" s="46" t="s">
        <v>108</v>
      </c>
      <c r="G4" s="430"/>
      <c r="H4" s="430" t="s">
        <v>63</v>
      </c>
      <c r="I4" s="46" t="s">
        <v>108</v>
      </c>
      <c r="J4" s="430" t="s">
        <v>109</v>
      </c>
      <c r="K4" s="46" t="s">
        <v>108</v>
      </c>
      <c r="M4" s="430"/>
      <c r="N4" s="430" t="s">
        <v>63</v>
      </c>
      <c r="O4" s="46" t="s">
        <v>108</v>
      </c>
      <c r="P4" s="430" t="s">
        <v>109</v>
      </c>
      <c r="Q4" s="46" t="s">
        <v>108</v>
      </c>
    </row>
    <row r="5" spans="1:17" ht="12.75">
      <c r="A5" s="430"/>
      <c r="B5" s="430"/>
      <c r="C5" s="46" t="s">
        <v>88</v>
      </c>
      <c r="D5" s="430"/>
      <c r="E5" s="46" t="s">
        <v>88</v>
      </c>
      <c r="G5" s="430"/>
      <c r="H5" s="430"/>
      <c r="I5" s="46" t="s">
        <v>88</v>
      </c>
      <c r="J5" s="430"/>
      <c r="K5" s="46" t="s">
        <v>88</v>
      </c>
      <c r="M5" s="430"/>
      <c r="N5" s="430"/>
      <c r="O5" s="46" t="s">
        <v>88</v>
      </c>
      <c r="P5" s="430"/>
      <c r="Q5" s="46" t="s">
        <v>88</v>
      </c>
    </row>
    <row r="6" spans="1:17" ht="12.75">
      <c r="A6" s="47">
        <v>1980</v>
      </c>
      <c r="B6" s="48">
        <v>17901</v>
      </c>
      <c r="C6" s="47"/>
      <c r="D6" s="48">
        <v>51300</v>
      </c>
      <c r="E6" s="47"/>
      <c r="G6" s="47">
        <v>1980</v>
      </c>
      <c r="H6" s="48">
        <v>4402</v>
      </c>
      <c r="I6" s="47"/>
      <c r="J6" s="48">
        <v>29700</v>
      </c>
      <c r="K6" s="47"/>
      <c r="M6" s="47">
        <v>1980</v>
      </c>
      <c r="N6" s="48">
        <v>10823</v>
      </c>
      <c r="O6" s="47"/>
      <c r="P6" s="48">
        <v>30100</v>
      </c>
      <c r="Q6" s="47"/>
    </row>
    <row r="7" spans="1:17" ht="12.75">
      <c r="A7" s="47">
        <v>1981</v>
      </c>
      <c r="B7" s="48">
        <v>14948</v>
      </c>
      <c r="C7" s="47">
        <v>-16</v>
      </c>
      <c r="D7" s="48">
        <v>53400</v>
      </c>
      <c r="E7" s="47">
        <v>4</v>
      </c>
      <c r="G7" s="47">
        <v>1981</v>
      </c>
      <c r="H7" s="48">
        <v>2903</v>
      </c>
      <c r="I7" s="47">
        <v>-34</v>
      </c>
      <c r="J7" s="48">
        <v>38200</v>
      </c>
      <c r="K7" s="47">
        <v>29</v>
      </c>
      <c r="M7" s="47">
        <v>1981</v>
      </c>
      <c r="N7" s="48">
        <v>6602</v>
      </c>
      <c r="O7" s="47">
        <v>-39</v>
      </c>
      <c r="P7" s="48">
        <v>38200</v>
      </c>
      <c r="Q7" s="47">
        <v>27</v>
      </c>
    </row>
    <row r="8" spans="1:17" ht="12.75">
      <c r="A8" s="47">
        <v>1982</v>
      </c>
      <c r="B8" s="48">
        <v>11407</v>
      </c>
      <c r="C8" s="47">
        <v>-24</v>
      </c>
      <c r="D8" s="48">
        <v>57300</v>
      </c>
      <c r="E8" s="47">
        <v>7</v>
      </c>
      <c r="G8" s="47">
        <v>1982</v>
      </c>
      <c r="H8" s="48">
        <v>1570</v>
      </c>
      <c r="I8" s="47">
        <v>-46</v>
      </c>
      <c r="J8" s="48">
        <v>34100</v>
      </c>
      <c r="K8" s="47">
        <v>-11</v>
      </c>
      <c r="M8" s="47">
        <v>1982</v>
      </c>
      <c r="N8" s="48">
        <v>4608</v>
      </c>
      <c r="O8" s="47">
        <v>-30</v>
      </c>
      <c r="P8" s="48">
        <v>33200</v>
      </c>
      <c r="Q8" s="47">
        <v>-13</v>
      </c>
    </row>
    <row r="9" spans="1:17" ht="12.75">
      <c r="A9" s="47">
        <v>1983</v>
      </c>
      <c r="B9" s="48">
        <v>18530</v>
      </c>
      <c r="C9" s="47">
        <v>62</v>
      </c>
      <c r="D9" s="48">
        <v>65400</v>
      </c>
      <c r="E9" s="47">
        <v>14</v>
      </c>
      <c r="G9" s="47">
        <v>1983</v>
      </c>
      <c r="H9" s="48">
        <v>2480</v>
      </c>
      <c r="I9" s="47">
        <v>58</v>
      </c>
      <c r="J9" s="48">
        <v>36600</v>
      </c>
      <c r="K9" s="47">
        <v>7</v>
      </c>
      <c r="M9" s="47">
        <v>1983</v>
      </c>
      <c r="N9" s="48">
        <v>6268</v>
      </c>
      <c r="O9" s="47">
        <v>36</v>
      </c>
      <c r="P9" s="48">
        <v>37500</v>
      </c>
      <c r="Q9" s="47">
        <v>13</v>
      </c>
    </row>
    <row r="10" spans="1:17" ht="12.75">
      <c r="A10" s="47">
        <v>1984</v>
      </c>
      <c r="B10" s="48">
        <v>17153</v>
      </c>
      <c r="C10" s="47">
        <v>-7</v>
      </c>
      <c r="D10" s="48">
        <v>66600</v>
      </c>
      <c r="E10" s="47">
        <v>2</v>
      </c>
      <c r="G10" s="47">
        <v>1984</v>
      </c>
      <c r="H10" s="48">
        <v>2354</v>
      </c>
      <c r="I10" s="47">
        <v>-5</v>
      </c>
      <c r="J10" s="48">
        <v>33900</v>
      </c>
      <c r="K10" s="47">
        <v>-7</v>
      </c>
      <c r="M10" s="47">
        <v>1984</v>
      </c>
      <c r="N10" s="48">
        <v>10884</v>
      </c>
      <c r="O10" s="47">
        <v>74</v>
      </c>
      <c r="P10" s="48">
        <v>30600</v>
      </c>
      <c r="Q10" s="47">
        <v>-18</v>
      </c>
    </row>
    <row r="11" spans="1:17" ht="12.75">
      <c r="A11" s="47">
        <v>1985</v>
      </c>
      <c r="B11" s="48">
        <v>16692</v>
      </c>
      <c r="C11" s="47">
        <v>-3</v>
      </c>
      <c r="D11" s="48">
        <v>71300</v>
      </c>
      <c r="E11" s="47">
        <v>7</v>
      </c>
      <c r="G11" s="47">
        <v>1985</v>
      </c>
      <c r="H11" s="48">
        <v>3074</v>
      </c>
      <c r="I11" s="47">
        <v>31</v>
      </c>
      <c r="J11" s="48">
        <v>38400</v>
      </c>
      <c r="K11" s="47">
        <v>13</v>
      </c>
      <c r="M11" s="47">
        <v>1985</v>
      </c>
      <c r="N11" s="48">
        <v>14939</v>
      </c>
      <c r="O11" s="47">
        <v>37</v>
      </c>
      <c r="P11" s="48">
        <v>30200</v>
      </c>
      <c r="Q11" s="47">
        <v>-1</v>
      </c>
    </row>
    <row r="12" spans="1:17" ht="12.75">
      <c r="A12" s="47">
        <v>1986</v>
      </c>
      <c r="B12" s="48">
        <v>19262</v>
      </c>
      <c r="C12" s="47">
        <v>15</v>
      </c>
      <c r="D12" s="48">
        <v>74600</v>
      </c>
      <c r="E12" s="47">
        <v>5</v>
      </c>
      <c r="G12" s="47">
        <v>1986</v>
      </c>
      <c r="H12" s="48">
        <v>2286</v>
      </c>
      <c r="I12" s="47">
        <v>-26</v>
      </c>
      <c r="J12" s="48">
        <v>39000</v>
      </c>
      <c r="K12" s="47">
        <v>2</v>
      </c>
      <c r="M12" s="47">
        <v>1986</v>
      </c>
      <c r="N12" s="48">
        <v>14886</v>
      </c>
      <c r="O12" s="47">
        <v>0</v>
      </c>
      <c r="P12" s="48">
        <v>34700</v>
      </c>
      <c r="Q12" s="47">
        <v>15</v>
      </c>
    </row>
    <row r="13" spans="1:17" ht="12.75">
      <c r="A13" s="47">
        <v>1987</v>
      </c>
      <c r="B13" s="48">
        <v>19962</v>
      </c>
      <c r="C13" s="47">
        <v>4</v>
      </c>
      <c r="D13" s="48">
        <v>75500</v>
      </c>
      <c r="E13" s="47">
        <v>1</v>
      </c>
      <c r="G13" s="47">
        <v>1987</v>
      </c>
      <c r="H13" s="48">
        <v>1881</v>
      </c>
      <c r="I13" s="47">
        <v>-18</v>
      </c>
      <c r="J13" s="48">
        <v>39500</v>
      </c>
      <c r="K13" s="47">
        <v>1</v>
      </c>
      <c r="M13" s="47">
        <v>1987</v>
      </c>
      <c r="N13" s="48">
        <v>16498</v>
      </c>
      <c r="O13" s="47">
        <v>11</v>
      </c>
      <c r="P13" s="48">
        <v>38900</v>
      </c>
      <c r="Q13" s="47">
        <v>12</v>
      </c>
    </row>
    <row r="14" spans="1:17" ht="12.75">
      <c r="A14" s="47">
        <v>1988</v>
      </c>
      <c r="B14" s="48">
        <v>21484</v>
      </c>
      <c r="C14" s="47">
        <v>8</v>
      </c>
      <c r="D14" s="48">
        <v>81800</v>
      </c>
      <c r="E14" s="47">
        <v>8</v>
      </c>
      <c r="G14" s="47">
        <v>1988</v>
      </c>
      <c r="H14" s="48">
        <v>2230</v>
      </c>
      <c r="I14" s="47">
        <v>19</v>
      </c>
      <c r="J14" s="48">
        <v>45400</v>
      </c>
      <c r="K14" s="47">
        <v>15</v>
      </c>
      <c r="M14" s="47">
        <v>1988</v>
      </c>
      <c r="N14" s="48">
        <v>21341</v>
      </c>
      <c r="O14" s="47">
        <v>29</v>
      </c>
      <c r="P14" s="48">
        <v>37900</v>
      </c>
      <c r="Q14" s="47">
        <v>-3</v>
      </c>
    </row>
    <row r="15" spans="1:17" ht="12.75">
      <c r="A15" s="47">
        <v>1989</v>
      </c>
      <c r="B15" s="48">
        <v>26420</v>
      </c>
      <c r="C15" s="47">
        <v>23</v>
      </c>
      <c r="D15" s="48">
        <v>87800</v>
      </c>
      <c r="E15" s="47">
        <v>7</v>
      </c>
      <c r="G15" s="47">
        <v>1989</v>
      </c>
      <c r="H15" s="48">
        <v>2126</v>
      </c>
      <c r="I15" s="47">
        <v>-5</v>
      </c>
      <c r="J15" s="48">
        <v>47000</v>
      </c>
      <c r="K15" s="47">
        <v>4</v>
      </c>
      <c r="M15" s="47">
        <v>1989</v>
      </c>
      <c r="N15" s="48">
        <v>19664</v>
      </c>
      <c r="O15" s="47">
        <v>-8</v>
      </c>
      <c r="P15" s="48">
        <v>42100</v>
      </c>
      <c r="Q15" s="47">
        <v>11</v>
      </c>
    </row>
    <row r="16" spans="1:17" ht="12.75">
      <c r="A16" s="47">
        <v>1990</v>
      </c>
      <c r="B16" s="48">
        <v>28672</v>
      </c>
      <c r="C16" s="47">
        <v>9</v>
      </c>
      <c r="D16" s="48">
        <v>90600</v>
      </c>
      <c r="E16" s="47">
        <v>3</v>
      </c>
      <c r="G16" s="47">
        <v>1990</v>
      </c>
      <c r="H16" s="48">
        <v>2718</v>
      </c>
      <c r="I16" s="47">
        <v>28</v>
      </c>
      <c r="J16" s="48">
        <v>50600</v>
      </c>
      <c r="K16" s="47">
        <v>8</v>
      </c>
      <c r="M16" s="47">
        <v>1990</v>
      </c>
      <c r="N16" s="48">
        <v>17057</v>
      </c>
      <c r="O16" s="47">
        <v>-13</v>
      </c>
      <c r="P16" s="48">
        <v>44000</v>
      </c>
      <c r="Q16" s="47">
        <v>5</v>
      </c>
    </row>
    <row r="17" spans="1:17" ht="12.75">
      <c r="A17" s="47">
        <v>1991</v>
      </c>
      <c r="B17" s="48">
        <v>23738</v>
      </c>
      <c r="C17" s="47">
        <v>-17</v>
      </c>
      <c r="D17" s="48">
        <v>92700</v>
      </c>
      <c r="E17" s="47">
        <v>2</v>
      </c>
      <c r="G17" s="47">
        <v>1991</v>
      </c>
      <c r="H17" s="48">
        <v>1651</v>
      </c>
      <c r="I17" s="47">
        <v>-39</v>
      </c>
      <c r="J17" s="48">
        <v>54400</v>
      </c>
      <c r="K17" s="47">
        <v>8</v>
      </c>
      <c r="M17" s="47">
        <v>1991</v>
      </c>
      <c r="N17" s="48">
        <v>7624</v>
      </c>
      <c r="O17" s="47">
        <v>-55</v>
      </c>
      <c r="P17" s="48">
        <v>46400</v>
      </c>
      <c r="Q17" s="47">
        <v>5</v>
      </c>
    </row>
    <row r="18" spans="1:17" ht="12.75">
      <c r="A18" s="47">
        <v>1992</v>
      </c>
      <c r="B18" s="48">
        <v>29056</v>
      </c>
      <c r="C18" s="47">
        <v>22</v>
      </c>
      <c r="D18" s="48">
        <v>99000</v>
      </c>
      <c r="E18" s="47">
        <v>7</v>
      </c>
      <c r="G18" s="47">
        <v>1992</v>
      </c>
      <c r="H18" s="48">
        <v>2151</v>
      </c>
      <c r="I18" s="47">
        <v>30</v>
      </c>
      <c r="J18" s="48">
        <v>59900</v>
      </c>
      <c r="K18" s="47">
        <v>10</v>
      </c>
      <c r="M18" s="47">
        <v>1992</v>
      </c>
      <c r="N18" s="48">
        <v>8475</v>
      </c>
      <c r="O18" s="47">
        <v>11</v>
      </c>
      <c r="P18" s="48">
        <v>53600</v>
      </c>
      <c r="Q18" s="47">
        <v>16</v>
      </c>
    </row>
    <row r="19" spans="1:17" ht="12.75">
      <c r="A19" s="47">
        <v>1993</v>
      </c>
      <c r="B19" s="48">
        <v>30422</v>
      </c>
      <c r="C19" s="47">
        <v>5</v>
      </c>
      <c r="D19" s="48">
        <v>100100</v>
      </c>
      <c r="E19" s="47">
        <v>1</v>
      </c>
      <c r="G19" s="47">
        <v>1993</v>
      </c>
      <c r="H19" s="48">
        <v>2461</v>
      </c>
      <c r="I19" s="47">
        <v>14</v>
      </c>
      <c r="J19" s="48">
        <v>61000</v>
      </c>
      <c r="K19" s="47">
        <v>2</v>
      </c>
      <c r="M19" s="47">
        <v>1993</v>
      </c>
      <c r="N19" s="48">
        <v>8463</v>
      </c>
      <c r="O19" s="47">
        <v>0</v>
      </c>
      <c r="P19" s="48">
        <v>51200</v>
      </c>
      <c r="Q19" s="47">
        <v>-4</v>
      </c>
    </row>
    <row r="20" spans="1:17" ht="12.75">
      <c r="A20" s="47">
        <v>1994</v>
      </c>
      <c r="B20" s="48">
        <v>31478</v>
      </c>
      <c r="C20" s="47">
        <v>3</v>
      </c>
      <c r="D20" s="48">
        <v>106000</v>
      </c>
      <c r="E20" s="47">
        <v>6</v>
      </c>
      <c r="G20" s="47">
        <v>1994</v>
      </c>
      <c r="H20" s="48">
        <v>2920</v>
      </c>
      <c r="I20" s="47">
        <v>19</v>
      </c>
      <c r="J20" s="48">
        <v>64200</v>
      </c>
      <c r="K20" s="47">
        <v>5</v>
      </c>
      <c r="M20" s="47">
        <v>1994</v>
      </c>
      <c r="N20" s="48">
        <v>9701</v>
      </c>
      <c r="O20" s="47">
        <v>15</v>
      </c>
      <c r="P20" s="48">
        <v>51900</v>
      </c>
      <c r="Q20" s="47">
        <v>1</v>
      </c>
    </row>
    <row r="21" spans="1:17" ht="12.75">
      <c r="A21" s="47">
        <v>1995</v>
      </c>
      <c r="B21" s="48">
        <v>26788</v>
      </c>
      <c r="C21" s="47">
        <v>-15</v>
      </c>
      <c r="D21" s="48">
        <v>109000</v>
      </c>
      <c r="E21" s="47">
        <v>3</v>
      </c>
      <c r="G21" s="47">
        <v>1995</v>
      </c>
      <c r="H21" s="48">
        <v>2925</v>
      </c>
      <c r="I21" s="47">
        <v>0</v>
      </c>
      <c r="J21" s="48">
        <v>67600</v>
      </c>
      <c r="K21" s="47">
        <v>5</v>
      </c>
      <c r="M21" s="47">
        <v>1995</v>
      </c>
      <c r="N21" s="48">
        <v>8463</v>
      </c>
      <c r="O21" s="47">
        <v>-13</v>
      </c>
      <c r="P21" s="48">
        <v>54700</v>
      </c>
      <c r="Q21" s="47">
        <v>5</v>
      </c>
    </row>
    <row r="22" spans="1:17" ht="12.75">
      <c r="A22" s="47">
        <v>1996</v>
      </c>
      <c r="B22" s="48">
        <v>27023</v>
      </c>
      <c r="C22" s="47">
        <v>1</v>
      </c>
      <c r="D22" s="48">
        <v>111800</v>
      </c>
      <c r="E22" s="47">
        <v>3</v>
      </c>
      <c r="G22" s="47">
        <v>1996</v>
      </c>
      <c r="H22" s="48">
        <v>3188</v>
      </c>
      <c r="I22" s="47">
        <v>9</v>
      </c>
      <c r="J22" s="48">
        <v>71700</v>
      </c>
      <c r="K22" s="47">
        <v>6</v>
      </c>
      <c r="M22" s="47">
        <v>1996</v>
      </c>
      <c r="N22" s="48">
        <v>9455</v>
      </c>
      <c r="O22" s="47">
        <v>12</v>
      </c>
      <c r="P22" s="48">
        <v>56100</v>
      </c>
      <c r="Q22" s="47">
        <v>3</v>
      </c>
    </row>
    <row r="23" spans="1:17" ht="12.75">
      <c r="A23" s="47">
        <v>1997</v>
      </c>
      <c r="B23" s="48">
        <v>27776</v>
      </c>
      <c r="C23" s="47">
        <v>3</v>
      </c>
      <c r="D23" s="48">
        <v>120100</v>
      </c>
      <c r="E23" s="47">
        <v>7</v>
      </c>
      <c r="G23" s="47">
        <v>1997</v>
      </c>
      <c r="H23" s="48">
        <v>3129</v>
      </c>
      <c r="I23" s="47">
        <v>-2</v>
      </c>
      <c r="J23" s="48">
        <v>77300</v>
      </c>
      <c r="K23" s="47">
        <v>8</v>
      </c>
      <c r="M23" s="47">
        <v>1997</v>
      </c>
      <c r="N23" s="48">
        <v>10184</v>
      </c>
      <c r="O23" s="47">
        <v>8</v>
      </c>
      <c r="P23" s="48">
        <v>63400</v>
      </c>
      <c r="Q23" s="47">
        <v>13</v>
      </c>
    </row>
    <row r="24" spans="1:17" ht="12.75">
      <c r="A24" s="47">
        <v>1998</v>
      </c>
      <c r="B24" s="48">
        <v>28644</v>
      </c>
      <c r="C24" s="47">
        <v>3</v>
      </c>
      <c r="D24" s="48">
        <v>125600</v>
      </c>
      <c r="E24" s="47">
        <v>5</v>
      </c>
      <c r="G24" s="47">
        <v>1998</v>
      </c>
      <c r="H24" s="48">
        <v>3299</v>
      </c>
      <c r="I24" s="47">
        <v>5</v>
      </c>
      <c r="J24" s="48">
        <v>78700</v>
      </c>
      <c r="K24" s="47">
        <v>2</v>
      </c>
      <c r="M24" s="47">
        <v>1998</v>
      </c>
      <c r="N24" s="48">
        <v>13784</v>
      </c>
      <c r="O24" s="47">
        <v>35</v>
      </c>
      <c r="P24" s="48">
        <v>64300</v>
      </c>
      <c r="Q24" s="47">
        <v>1</v>
      </c>
    </row>
    <row r="25" spans="1:17" ht="12.75">
      <c r="A25" s="47">
        <v>1999</v>
      </c>
      <c r="B25" s="48">
        <v>28168</v>
      </c>
      <c r="C25" s="47">
        <v>-2</v>
      </c>
      <c r="D25" s="48">
        <v>128000</v>
      </c>
      <c r="E25" s="47">
        <v>2</v>
      </c>
      <c r="G25" s="47">
        <v>1999</v>
      </c>
      <c r="H25" s="48">
        <v>2232</v>
      </c>
      <c r="I25" s="47">
        <v>-32</v>
      </c>
      <c r="J25" s="48">
        <v>80000</v>
      </c>
      <c r="K25" s="47">
        <v>2</v>
      </c>
      <c r="M25" s="47">
        <v>1999</v>
      </c>
      <c r="N25" s="48">
        <v>12409</v>
      </c>
      <c r="O25" s="47">
        <v>-10</v>
      </c>
      <c r="P25" s="48">
        <v>64800</v>
      </c>
      <c r="Q25" s="47">
        <v>1</v>
      </c>
    </row>
    <row r="26" spans="1:17" ht="12.75">
      <c r="A26" s="47">
        <v>2000</v>
      </c>
      <c r="B26" s="48">
        <v>25518</v>
      </c>
      <c r="C26" s="47">
        <v>-9</v>
      </c>
      <c r="D26" s="48">
        <v>137700</v>
      </c>
      <c r="E26" s="47">
        <v>8</v>
      </c>
      <c r="G26" s="47">
        <v>2000</v>
      </c>
      <c r="H26" s="48">
        <v>2422</v>
      </c>
      <c r="I26" s="47">
        <v>9</v>
      </c>
      <c r="J26" s="48">
        <v>82200</v>
      </c>
      <c r="K26" s="47">
        <v>3</v>
      </c>
      <c r="M26" s="47">
        <v>2000</v>
      </c>
      <c r="N26" s="48">
        <v>11243</v>
      </c>
      <c r="O26" s="47">
        <v>-9</v>
      </c>
      <c r="P26" s="48">
        <v>65200</v>
      </c>
      <c r="Q26" s="47">
        <v>1</v>
      </c>
    </row>
    <row r="27" spans="1:17" ht="12.75">
      <c r="A27" s="47">
        <v>2001</v>
      </c>
      <c r="B27" s="48">
        <v>26736</v>
      </c>
      <c r="C27" s="47">
        <v>5</v>
      </c>
      <c r="D27" s="48">
        <v>144000</v>
      </c>
      <c r="E27" s="47">
        <v>5</v>
      </c>
      <c r="G27" s="47">
        <v>2001</v>
      </c>
      <c r="H27" s="48">
        <v>1770</v>
      </c>
      <c r="I27" s="47">
        <v>-27</v>
      </c>
      <c r="J27" s="48">
        <v>85600</v>
      </c>
      <c r="K27" s="47">
        <v>4</v>
      </c>
      <c r="M27" s="47">
        <v>2001</v>
      </c>
      <c r="N27" s="48">
        <v>9839</v>
      </c>
      <c r="O27" s="47">
        <v>-12</v>
      </c>
      <c r="P27" s="48">
        <v>69800</v>
      </c>
      <c r="Q27" s="47">
        <v>7</v>
      </c>
    </row>
    <row r="28" spans="1:17" ht="25.5" customHeight="1">
      <c r="A28" s="431" t="s">
        <v>110</v>
      </c>
      <c r="B28" s="432"/>
      <c r="C28" s="432"/>
      <c r="D28" s="432"/>
      <c r="E28" s="433"/>
      <c r="G28" s="431" t="s">
        <v>110</v>
      </c>
      <c r="H28" s="432"/>
      <c r="I28" s="432"/>
      <c r="J28" s="432"/>
      <c r="K28" s="433"/>
      <c r="M28" s="431" t="s">
        <v>110</v>
      </c>
      <c r="N28" s="432"/>
      <c r="O28" s="432"/>
      <c r="P28" s="432"/>
      <c r="Q28" s="433"/>
    </row>
  </sheetData>
  <mergeCells count="24">
    <mergeCell ref="M28:Q28"/>
    <mergeCell ref="M3:M5"/>
    <mergeCell ref="N3:O3"/>
    <mergeCell ref="P3:Q3"/>
    <mergeCell ref="N4:N5"/>
    <mergeCell ref="P4:P5"/>
    <mergeCell ref="H4:H5"/>
    <mergeCell ref="J4:J5"/>
    <mergeCell ref="M1:Q1"/>
    <mergeCell ref="M2:Q2"/>
    <mergeCell ref="A28:E28"/>
    <mergeCell ref="G3:G5"/>
    <mergeCell ref="G1:K1"/>
    <mergeCell ref="G2:K2"/>
    <mergeCell ref="G28:K28"/>
    <mergeCell ref="A3:A5"/>
    <mergeCell ref="B3:C3"/>
    <mergeCell ref="D3:E3"/>
    <mergeCell ref="H3:I3"/>
    <mergeCell ref="J3:K3"/>
    <mergeCell ref="B4:B5"/>
    <mergeCell ref="D4:D5"/>
    <mergeCell ref="A1:E1"/>
    <mergeCell ref="A2:E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Q109"/>
  <sheetViews>
    <sheetView workbookViewId="0" topLeftCell="A1">
      <selection activeCell="D56" sqref="D56:D57"/>
    </sheetView>
  </sheetViews>
  <sheetFormatPr defaultColWidth="9.140625" defaultRowHeight="12.75"/>
  <cols>
    <col min="1" max="1" width="7.28125" style="0" customWidth="1"/>
    <col min="2" max="2" width="9.28125" style="0" customWidth="1"/>
    <col min="3" max="3" width="9.421875" style="0" customWidth="1"/>
    <col min="5" max="5" width="11.7109375" style="0" customWidth="1"/>
    <col min="6" max="6" width="10.28125" style="0" bestFit="1" customWidth="1"/>
  </cols>
  <sheetData>
    <row r="1" ht="12.75">
      <c r="A1" t="s">
        <v>36</v>
      </c>
    </row>
    <row r="2" ht="12.75">
      <c r="A2" t="s">
        <v>123</v>
      </c>
    </row>
    <row r="4" spans="2:12" ht="12.75">
      <c r="B4" s="4" t="s">
        <v>37</v>
      </c>
      <c r="C4" s="4"/>
      <c r="D4" s="4"/>
      <c r="E4" s="4"/>
      <c r="I4" s="4" t="s">
        <v>37</v>
      </c>
      <c r="J4" s="4"/>
      <c r="K4" s="4"/>
      <c r="L4" s="4"/>
    </row>
    <row r="5" spans="1:12" ht="12.75">
      <c r="A5" t="s">
        <v>38</v>
      </c>
      <c r="B5" t="s">
        <v>39</v>
      </c>
      <c r="C5" t="s">
        <v>40</v>
      </c>
      <c r="D5" t="s">
        <v>41</v>
      </c>
      <c r="E5" t="s">
        <v>42</v>
      </c>
      <c r="F5" t="s">
        <v>43</v>
      </c>
      <c r="H5" t="s">
        <v>38</v>
      </c>
      <c r="I5" t="s">
        <v>39</v>
      </c>
      <c r="J5" t="s">
        <v>40</v>
      </c>
      <c r="K5" t="s">
        <v>41</v>
      </c>
      <c r="L5" t="s">
        <v>42</v>
      </c>
    </row>
    <row r="6" spans="1:17" ht="12.75">
      <c r="A6">
        <v>1981</v>
      </c>
      <c r="B6" s="1">
        <v>1532</v>
      </c>
      <c r="C6" s="1">
        <v>1418</v>
      </c>
      <c r="D6" s="1">
        <v>3148</v>
      </c>
      <c r="E6">
        <v>6163</v>
      </c>
      <c r="F6" s="1">
        <f aca="true" t="shared" si="0" ref="F6:F26">SUM(B6:E6)</f>
        <v>12261</v>
      </c>
      <c r="H6">
        <v>1981</v>
      </c>
      <c r="I6" s="2">
        <f>B6/$F6</f>
        <v>0.12494902536497839</v>
      </c>
      <c r="J6" s="2">
        <f>C6/$F6</f>
        <v>0.11565125193703613</v>
      </c>
      <c r="K6" s="2">
        <f>D6/$F6</f>
        <v>0.2567490416768616</v>
      </c>
      <c r="L6" s="2">
        <f>E6/$F6</f>
        <v>0.5026506810211239</v>
      </c>
      <c r="M6" s="1"/>
      <c r="N6" s="1"/>
      <c r="O6" s="1"/>
      <c r="P6" s="1"/>
      <c r="Q6" s="1"/>
    </row>
    <row r="7" spans="1:17" ht="12.75">
      <c r="A7">
        <v>1982</v>
      </c>
      <c r="B7" s="1">
        <v>1190</v>
      </c>
      <c r="C7" s="1">
        <v>872</v>
      </c>
      <c r="D7" s="1">
        <v>1856</v>
      </c>
      <c r="E7">
        <v>4840</v>
      </c>
      <c r="F7" s="1">
        <f t="shared" si="0"/>
        <v>8758</v>
      </c>
      <c r="H7">
        <v>1982</v>
      </c>
      <c r="I7" s="2">
        <f aca="true" t="shared" si="1" ref="I7:I21">B7/$F7</f>
        <v>0.13587577072390958</v>
      </c>
      <c r="J7" s="2">
        <f aca="true" t="shared" si="2" ref="J7:J21">C7/$F7</f>
        <v>0.09956611098424298</v>
      </c>
      <c r="K7" s="2">
        <f aca="true" t="shared" si="3" ref="K7:K21">D7/$F7</f>
        <v>0.2119205298013245</v>
      </c>
      <c r="L7" s="2">
        <f aca="true" t="shared" si="4" ref="L7:L21">E7/$F7</f>
        <v>0.5526375884905229</v>
      </c>
      <c r="M7" s="1"/>
      <c r="N7" s="1"/>
      <c r="O7" s="1"/>
      <c r="P7" s="1"/>
      <c r="Q7" s="1"/>
    </row>
    <row r="8" spans="1:17" ht="12.75">
      <c r="A8">
        <v>1983</v>
      </c>
      <c r="B8" s="1">
        <v>1793</v>
      </c>
      <c r="C8" s="1">
        <v>1470</v>
      </c>
      <c r="D8" s="1">
        <v>2698</v>
      </c>
      <c r="E8">
        <v>6153</v>
      </c>
      <c r="F8" s="1">
        <f t="shared" si="0"/>
        <v>12114</v>
      </c>
      <c r="H8">
        <v>1983</v>
      </c>
      <c r="I8" s="2">
        <f t="shared" si="1"/>
        <v>0.14801056628694073</v>
      </c>
      <c r="J8" s="2">
        <f t="shared" si="2"/>
        <v>0.12134720158494304</v>
      </c>
      <c r="K8" s="2">
        <f t="shared" si="3"/>
        <v>0.22271751692256894</v>
      </c>
      <c r="L8" s="2">
        <f t="shared" si="4"/>
        <v>0.5079247152055473</v>
      </c>
      <c r="M8" s="1"/>
      <c r="N8" s="1"/>
      <c r="O8" s="1"/>
      <c r="P8" s="1"/>
      <c r="Q8" s="1"/>
    </row>
    <row r="9" spans="1:17" ht="12.75">
      <c r="A9">
        <v>1984</v>
      </c>
      <c r="B9" s="1">
        <v>1747</v>
      </c>
      <c r="C9" s="1">
        <v>1251</v>
      </c>
      <c r="D9" s="1">
        <v>2880</v>
      </c>
      <c r="E9">
        <v>6014</v>
      </c>
      <c r="F9" s="1">
        <f t="shared" si="0"/>
        <v>11892</v>
      </c>
      <c r="H9">
        <v>1984</v>
      </c>
      <c r="I9" s="2">
        <f t="shared" si="1"/>
        <v>0.1469054826774302</v>
      </c>
      <c r="J9" s="2">
        <f t="shared" si="2"/>
        <v>0.10519677093844601</v>
      </c>
      <c r="K9" s="2">
        <f t="shared" si="3"/>
        <v>0.24217961654894046</v>
      </c>
      <c r="L9" s="2">
        <f t="shared" si="4"/>
        <v>0.5057181298351833</v>
      </c>
      <c r="M9" s="1"/>
      <c r="N9" s="1"/>
      <c r="O9" s="1"/>
      <c r="P9" s="1"/>
      <c r="Q9" s="1"/>
    </row>
    <row r="10" spans="1:17" ht="12.75">
      <c r="A10">
        <v>1985</v>
      </c>
      <c r="B10" s="1">
        <v>1200</v>
      </c>
      <c r="C10" s="1">
        <v>923</v>
      </c>
      <c r="D10" s="1">
        <v>2370</v>
      </c>
      <c r="E10">
        <v>5597</v>
      </c>
      <c r="F10" s="1">
        <f t="shared" si="0"/>
        <v>10090</v>
      </c>
      <c r="H10">
        <v>1985</v>
      </c>
      <c r="I10" s="2">
        <f t="shared" si="1"/>
        <v>0.11892963330029732</v>
      </c>
      <c r="J10" s="2">
        <f t="shared" si="2"/>
        <v>0.09147670961347869</v>
      </c>
      <c r="K10" s="2">
        <f t="shared" si="3"/>
        <v>0.2348860257680872</v>
      </c>
      <c r="L10" s="2">
        <f t="shared" si="4"/>
        <v>0.5547076313181367</v>
      </c>
      <c r="M10" s="1"/>
      <c r="N10" s="1"/>
      <c r="O10" s="1"/>
      <c r="P10" s="1"/>
      <c r="Q10" s="1"/>
    </row>
    <row r="11" spans="1:17" ht="12.75">
      <c r="A11">
        <v>1986</v>
      </c>
      <c r="B11" s="1">
        <v>838</v>
      </c>
      <c r="C11" s="1">
        <v>667</v>
      </c>
      <c r="D11" s="1">
        <v>2297</v>
      </c>
      <c r="E11">
        <v>4550</v>
      </c>
      <c r="F11" s="1">
        <f t="shared" si="0"/>
        <v>8352</v>
      </c>
      <c r="H11">
        <v>1986</v>
      </c>
      <c r="I11" s="2">
        <f t="shared" si="1"/>
        <v>0.1003352490421456</v>
      </c>
      <c r="J11" s="2">
        <f t="shared" si="2"/>
        <v>0.0798611111111111</v>
      </c>
      <c r="K11" s="2">
        <f t="shared" si="3"/>
        <v>0.27502394636015326</v>
      </c>
      <c r="L11" s="2">
        <f t="shared" si="4"/>
        <v>0.54477969348659</v>
      </c>
      <c r="M11" s="1"/>
      <c r="N11" s="1"/>
      <c r="O11" s="1"/>
      <c r="P11" s="1"/>
      <c r="Q11" s="1"/>
    </row>
    <row r="12" spans="1:17" ht="12.75">
      <c r="A12">
        <v>1987</v>
      </c>
      <c r="B12" s="1">
        <v>605</v>
      </c>
      <c r="C12" s="1">
        <v>514</v>
      </c>
      <c r="D12" s="1">
        <v>2910</v>
      </c>
      <c r="E12">
        <v>3873</v>
      </c>
      <c r="F12" s="1">
        <f t="shared" si="0"/>
        <v>7902</v>
      </c>
      <c r="H12">
        <v>1987</v>
      </c>
      <c r="I12" s="2">
        <f t="shared" si="1"/>
        <v>0.07656289546950139</v>
      </c>
      <c r="J12" s="2">
        <f t="shared" si="2"/>
        <v>0.06504682358896482</v>
      </c>
      <c r="K12" s="2">
        <f t="shared" si="3"/>
        <v>0.3682611996962794</v>
      </c>
      <c r="L12" s="2">
        <f t="shared" si="4"/>
        <v>0.49012908124525434</v>
      </c>
      <c r="M12" s="1"/>
      <c r="N12" s="1"/>
      <c r="O12" s="1"/>
      <c r="P12" s="1"/>
      <c r="Q12" s="1"/>
    </row>
    <row r="13" spans="1:17" ht="12.75">
      <c r="A13">
        <v>1988</v>
      </c>
      <c r="B13" s="1">
        <v>572</v>
      </c>
      <c r="C13" s="1">
        <v>441</v>
      </c>
      <c r="D13" s="1">
        <v>3852</v>
      </c>
      <c r="E13">
        <v>4184</v>
      </c>
      <c r="F13" s="1">
        <f t="shared" si="0"/>
        <v>9049</v>
      </c>
      <c r="H13">
        <v>1988</v>
      </c>
      <c r="I13" s="2">
        <f t="shared" si="1"/>
        <v>0.06321140457509117</v>
      </c>
      <c r="J13" s="2">
        <f t="shared" si="2"/>
        <v>0.048734666814012596</v>
      </c>
      <c r="K13" s="2">
        <f t="shared" si="3"/>
        <v>0.42568239584484474</v>
      </c>
      <c r="L13" s="2">
        <f t="shared" si="4"/>
        <v>0.4623715327660515</v>
      </c>
      <c r="M13" s="1"/>
      <c r="N13" s="1"/>
      <c r="O13" s="1"/>
      <c r="P13" s="1"/>
      <c r="Q13" s="1"/>
    </row>
    <row r="14" spans="1:17" ht="12.75">
      <c r="A14">
        <v>1989</v>
      </c>
      <c r="B14" s="1">
        <v>703</v>
      </c>
      <c r="C14" s="1">
        <v>480</v>
      </c>
      <c r="D14" s="1">
        <v>4387</v>
      </c>
      <c r="E14">
        <v>4397</v>
      </c>
      <c r="F14" s="1">
        <f t="shared" si="0"/>
        <v>9967</v>
      </c>
      <c r="H14">
        <v>1989</v>
      </c>
      <c r="I14" s="2">
        <f t="shared" si="1"/>
        <v>0.07053275810173573</v>
      </c>
      <c r="J14" s="2">
        <f t="shared" si="2"/>
        <v>0.04815892445068727</v>
      </c>
      <c r="K14" s="2">
        <f t="shared" si="3"/>
        <v>0.4401525032607605</v>
      </c>
      <c r="L14" s="2">
        <f t="shared" si="4"/>
        <v>0.4411558141868165</v>
      </c>
      <c r="M14" s="1"/>
      <c r="N14" s="1"/>
      <c r="O14" s="1"/>
      <c r="P14" s="1"/>
      <c r="Q14" s="1"/>
    </row>
    <row r="15" spans="1:17" ht="12.75">
      <c r="A15">
        <v>1990</v>
      </c>
      <c r="B15" s="1">
        <v>820</v>
      </c>
      <c r="C15" s="1">
        <v>505</v>
      </c>
      <c r="D15" s="1">
        <v>4905</v>
      </c>
      <c r="E15">
        <v>5645</v>
      </c>
      <c r="F15" s="1">
        <f t="shared" si="0"/>
        <v>11875</v>
      </c>
      <c r="H15">
        <v>1990</v>
      </c>
      <c r="I15" s="2">
        <f t="shared" si="1"/>
        <v>0.06905263157894737</v>
      </c>
      <c r="J15" s="2">
        <f t="shared" si="2"/>
        <v>0.04252631578947368</v>
      </c>
      <c r="K15" s="2">
        <f t="shared" si="3"/>
        <v>0.4130526315789474</v>
      </c>
      <c r="L15" s="2">
        <f t="shared" si="4"/>
        <v>0.47536842105263155</v>
      </c>
      <c r="M15" s="1"/>
      <c r="N15" s="1"/>
      <c r="O15" s="1"/>
      <c r="P15" s="1"/>
      <c r="Q15" s="1"/>
    </row>
    <row r="16" spans="1:17" ht="12.75">
      <c r="A16">
        <v>1991</v>
      </c>
      <c r="B16" s="1">
        <v>1089</v>
      </c>
      <c r="C16" s="1">
        <v>653</v>
      </c>
      <c r="D16" s="1">
        <v>4720</v>
      </c>
      <c r="E16">
        <v>5353</v>
      </c>
      <c r="F16" s="1">
        <f t="shared" si="0"/>
        <v>11815</v>
      </c>
      <c r="H16">
        <v>1991</v>
      </c>
      <c r="I16" s="2">
        <f t="shared" si="1"/>
        <v>0.09217096910706729</v>
      </c>
      <c r="J16" s="2">
        <f t="shared" si="2"/>
        <v>0.05526872619551418</v>
      </c>
      <c r="K16" s="2">
        <f t="shared" si="3"/>
        <v>0.39949217096910705</v>
      </c>
      <c r="L16" s="2">
        <f t="shared" si="4"/>
        <v>0.45306813372831145</v>
      </c>
      <c r="M16" s="1"/>
      <c r="N16" s="1"/>
      <c r="O16" s="1"/>
      <c r="P16" s="1"/>
      <c r="Q16" s="1"/>
    </row>
    <row r="17" spans="1:17" ht="12.75">
      <c r="A17">
        <v>1992</v>
      </c>
      <c r="B17" s="1">
        <v>1696</v>
      </c>
      <c r="C17" s="1">
        <v>1021</v>
      </c>
      <c r="D17" s="1">
        <v>5103</v>
      </c>
      <c r="E17">
        <v>5964</v>
      </c>
      <c r="F17" s="1">
        <f t="shared" si="0"/>
        <v>13784</v>
      </c>
      <c r="H17">
        <v>1992</v>
      </c>
      <c r="I17" s="2">
        <f t="shared" si="1"/>
        <v>0.12304120719674985</v>
      </c>
      <c r="J17" s="2">
        <f t="shared" si="2"/>
        <v>0.07407138711549623</v>
      </c>
      <c r="K17" s="2">
        <f t="shared" si="3"/>
        <v>0.3702118398142774</v>
      </c>
      <c r="L17" s="2">
        <f t="shared" si="4"/>
        <v>0.4326755658734765</v>
      </c>
      <c r="M17" s="1"/>
      <c r="N17" s="1"/>
      <c r="O17" s="1"/>
      <c r="P17" s="1"/>
      <c r="Q17" s="1"/>
    </row>
    <row r="18" spans="1:17" ht="12.75">
      <c r="A18">
        <v>1993</v>
      </c>
      <c r="B18" s="1">
        <v>2779</v>
      </c>
      <c r="C18" s="1">
        <v>1453</v>
      </c>
      <c r="D18" s="1">
        <v>6454</v>
      </c>
      <c r="E18">
        <v>6849</v>
      </c>
      <c r="F18" s="1">
        <f t="shared" si="0"/>
        <v>17535</v>
      </c>
      <c r="H18">
        <v>1993</v>
      </c>
      <c r="I18" s="2">
        <f t="shared" si="1"/>
        <v>0.15848303393213573</v>
      </c>
      <c r="J18" s="2">
        <f t="shared" si="2"/>
        <v>0.08286284573709723</v>
      </c>
      <c r="K18" s="2">
        <f t="shared" si="3"/>
        <v>0.36806387225548903</v>
      </c>
      <c r="L18" s="2">
        <f t="shared" si="4"/>
        <v>0.39059024807527803</v>
      </c>
      <c r="M18" s="1"/>
      <c r="N18" s="1"/>
      <c r="O18" s="1"/>
      <c r="P18" s="1"/>
      <c r="Q18" s="1"/>
    </row>
    <row r="19" spans="1:17" ht="12.75">
      <c r="A19">
        <v>1994</v>
      </c>
      <c r="B19" s="1">
        <v>3712</v>
      </c>
      <c r="C19" s="1">
        <v>1871</v>
      </c>
      <c r="D19" s="1">
        <v>7597</v>
      </c>
      <c r="E19">
        <v>7332</v>
      </c>
      <c r="F19" s="1">
        <f t="shared" si="0"/>
        <v>20512</v>
      </c>
      <c r="H19">
        <v>1994</v>
      </c>
      <c r="I19" s="2">
        <f t="shared" si="1"/>
        <v>0.1809672386895476</v>
      </c>
      <c r="J19" s="2">
        <f t="shared" si="2"/>
        <v>0.09121489859594384</v>
      </c>
      <c r="K19" s="2">
        <f t="shared" si="3"/>
        <v>0.3703685647425897</v>
      </c>
      <c r="L19" s="2">
        <f t="shared" si="4"/>
        <v>0.3574492979719189</v>
      </c>
      <c r="M19" s="1"/>
      <c r="N19" s="1"/>
      <c r="O19" s="1"/>
      <c r="P19" s="1"/>
      <c r="Q19" s="1"/>
    </row>
    <row r="20" spans="1:17" ht="12.75">
      <c r="A20">
        <v>1995</v>
      </c>
      <c r="B20" s="1">
        <v>3167</v>
      </c>
      <c r="C20" s="1">
        <v>1772</v>
      </c>
      <c r="D20" s="1">
        <v>7450</v>
      </c>
      <c r="E20">
        <v>7252</v>
      </c>
      <c r="F20" s="1">
        <f t="shared" si="0"/>
        <v>19641</v>
      </c>
      <c r="H20">
        <v>1995</v>
      </c>
      <c r="I20" s="2">
        <f t="shared" si="1"/>
        <v>0.16124433582811465</v>
      </c>
      <c r="J20" s="2">
        <f t="shared" si="2"/>
        <v>0.09021943892877145</v>
      </c>
      <c r="K20" s="2">
        <f t="shared" si="3"/>
        <v>0.37930858917570387</v>
      </c>
      <c r="L20" s="2">
        <f t="shared" si="4"/>
        <v>0.36922763606741</v>
      </c>
      <c r="M20" s="1"/>
      <c r="N20" s="1"/>
      <c r="O20" s="1"/>
      <c r="P20" s="1"/>
      <c r="Q20" s="1"/>
    </row>
    <row r="21" spans="1:17" ht="12.75">
      <c r="A21">
        <v>1996</v>
      </c>
      <c r="B21" s="1">
        <v>2635</v>
      </c>
      <c r="C21" s="1">
        <v>1749</v>
      </c>
      <c r="D21" s="1">
        <v>6484</v>
      </c>
      <c r="E21">
        <v>6257</v>
      </c>
      <c r="F21" s="1">
        <f t="shared" si="0"/>
        <v>17125</v>
      </c>
      <c r="H21">
        <v>1996</v>
      </c>
      <c r="I21" s="2">
        <f t="shared" si="1"/>
        <v>0.15386861313868613</v>
      </c>
      <c r="J21" s="2">
        <f t="shared" si="2"/>
        <v>0.10213138686131387</v>
      </c>
      <c r="K21" s="2">
        <f t="shared" si="3"/>
        <v>0.37862773722627735</v>
      </c>
      <c r="L21" s="2">
        <f t="shared" si="4"/>
        <v>0.36537226277372264</v>
      </c>
      <c r="M21" s="1"/>
      <c r="N21" s="1"/>
      <c r="O21" s="1"/>
      <c r="P21" s="1"/>
      <c r="Q21" s="1"/>
    </row>
    <row r="22" spans="1:17" ht="12.75">
      <c r="A22">
        <v>1997</v>
      </c>
      <c r="B22" s="1">
        <v>2634</v>
      </c>
      <c r="C22" s="1">
        <v>1681</v>
      </c>
      <c r="D22" s="1">
        <v>6567</v>
      </c>
      <c r="E22" s="1">
        <v>6419</v>
      </c>
      <c r="F22" s="1">
        <f t="shared" si="0"/>
        <v>17301</v>
      </c>
      <c r="H22">
        <v>1997</v>
      </c>
      <c r="I22" s="2">
        <f aca="true" t="shared" si="5" ref="I22:L23">B22/$F22</f>
        <v>0.15224553494017687</v>
      </c>
      <c r="J22" s="2">
        <f t="shared" si="5"/>
        <v>0.09716201375643027</v>
      </c>
      <c r="K22" s="2">
        <f t="shared" si="5"/>
        <v>0.37957343506155716</v>
      </c>
      <c r="L22" s="2">
        <f t="shared" si="5"/>
        <v>0.37101901624183575</v>
      </c>
      <c r="M22" s="1"/>
      <c r="N22" s="1"/>
      <c r="O22" s="1"/>
      <c r="P22" s="1"/>
      <c r="Q22" s="1"/>
    </row>
    <row r="23" spans="1:17" ht="12.75">
      <c r="A23">
        <v>1998</v>
      </c>
      <c r="B23" s="1">
        <v>2980</v>
      </c>
      <c r="C23" s="1">
        <v>1919</v>
      </c>
      <c r="D23" s="1">
        <v>6223</v>
      </c>
      <c r="E23" s="1">
        <v>6874</v>
      </c>
      <c r="F23" s="1">
        <f t="shared" si="0"/>
        <v>17996</v>
      </c>
      <c r="H23">
        <v>1998</v>
      </c>
      <c r="I23" s="2">
        <f t="shared" si="5"/>
        <v>0.16559235385641255</v>
      </c>
      <c r="J23" s="2">
        <f t="shared" si="5"/>
        <v>0.10663480773505224</v>
      </c>
      <c r="K23" s="2">
        <f t="shared" si="5"/>
        <v>0.34579906645921316</v>
      </c>
      <c r="L23" s="2">
        <f t="shared" si="5"/>
        <v>0.3819737719493221</v>
      </c>
      <c r="M23" s="1"/>
      <c r="N23" s="1"/>
      <c r="O23" s="1"/>
      <c r="P23" s="1"/>
      <c r="Q23" s="1"/>
    </row>
    <row r="24" spans="1:17" ht="12.75">
      <c r="A24">
        <v>1999</v>
      </c>
      <c r="B24" s="1">
        <v>2343</v>
      </c>
      <c r="C24" s="1">
        <v>1736</v>
      </c>
      <c r="D24" s="1">
        <v>5202</v>
      </c>
      <c r="E24" s="1">
        <v>5339</v>
      </c>
      <c r="F24" s="1">
        <f t="shared" si="0"/>
        <v>14620</v>
      </c>
      <c r="H24">
        <v>1999</v>
      </c>
      <c r="I24" s="2">
        <f aca="true" t="shared" si="6" ref="I24:L26">B24/$F24</f>
        <v>0.16025991792065664</v>
      </c>
      <c r="J24" s="2">
        <f t="shared" si="6"/>
        <v>0.11874145006839945</v>
      </c>
      <c r="K24" s="2">
        <f t="shared" si="6"/>
        <v>0.3558139534883721</v>
      </c>
      <c r="L24" s="2">
        <f t="shared" si="6"/>
        <v>0.3651846785225718</v>
      </c>
      <c r="M24" s="1"/>
      <c r="N24" s="1"/>
      <c r="O24" s="1"/>
      <c r="P24" s="1"/>
      <c r="Q24" s="1"/>
    </row>
    <row r="25" spans="1:17" ht="12.75">
      <c r="A25">
        <v>2000</v>
      </c>
      <c r="B25" s="1">
        <f>' Production &amp; Shipments'!U11</f>
        <v>1317</v>
      </c>
      <c r="C25" s="1">
        <f>' Production &amp; Shipments'!U12</f>
        <v>1195</v>
      </c>
      <c r="D25" s="1">
        <f>' Production &amp; Shipments'!U13</f>
        <v>3199</v>
      </c>
      <c r="E25" s="1">
        <f>' Production &amp; Shipments'!U14</f>
        <v>3853</v>
      </c>
      <c r="F25" s="1">
        <f t="shared" si="0"/>
        <v>9564</v>
      </c>
      <c r="H25">
        <v>2000</v>
      </c>
      <c r="I25" s="2">
        <f t="shared" si="6"/>
        <v>0.13770388958594731</v>
      </c>
      <c r="J25" s="2">
        <f t="shared" si="6"/>
        <v>0.12494772061898787</v>
      </c>
      <c r="K25" s="2">
        <f t="shared" si="6"/>
        <v>0.33448347971560016</v>
      </c>
      <c r="L25" s="2">
        <f t="shared" si="6"/>
        <v>0.4028649100794647</v>
      </c>
      <c r="M25" s="1"/>
      <c r="N25" s="1"/>
      <c r="O25" s="1"/>
      <c r="P25" s="1"/>
      <c r="Q25" s="1"/>
    </row>
    <row r="26" spans="1:17" ht="12.75">
      <c r="A26">
        <v>2001</v>
      </c>
      <c r="B26" s="1">
        <f>' Production &amp; Shipments'!V11</f>
        <v>998</v>
      </c>
      <c r="C26" s="1">
        <f>' Production &amp; Shipments'!V12</f>
        <v>922</v>
      </c>
      <c r="D26" s="1">
        <f>' Production &amp; Shipments'!V13</f>
        <v>2392</v>
      </c>
      <c r="E26" s="1">
        <f>' Production &amp; Shipments'!V14</f>
        <v>2971</v>
      </c>
      <c r="F26" s="1">
        <f t="shared" si="0"/>
        <v>7283</v>
      </c>
      <c r="H26">
        <v>2001</v>
      </c>
      <c r="I26" s="2">
        <f t="shared" si="6"/>
        <v>0.13703144308664011</v>
      </c>
      <c r="J26" s="2">
        <f t="shared" si="6"/>
        <v>0.12659618289166552</v>
      </c>
      <c r="K26" s="2">
        <f t="shared" si="6"/>
        <v>0.3284360840313058</v>
      </c>
      <c r="L26" s="2">
        <f t="shared" si="6"/>
        <v>0.40793628999038856</v>
      </c>
      <c r="M26" s="1"/>
      <c r="N26" s="1"/>
      <c r="O26" s="1"/>
      <c r="P26" s="1"/>
      <c r="Q26" s="1"/>
    </row>
    <row r="27" spans="2:17" ht="12.75">
      <c r="B27" s="1"/>
      <c r="C27" s="1"/>
      <c r="D27" s="1"/>
      <c r="E27" s="1"/>
      <c r="F27" s="1"/>
      <c r="I27" s="2"/>
      <c r="J27" s="2"/>
      <c r="K27" s="2"/>
      <c r="L27" s="2"/>
      <c r="M27" s="1"/>
      <c r="N27" s="1"/>
      <c r="O27" s="1"/>
      <c r="P27" s="1"/>
      <c r="Q27" s="1"/>
    </row>
    <row r="28" spans="2:17" ht="12.75">
      <c r="B28" s="1"/>
      <c r="C28" s="1"/>
      <c r="D28" s="1"/>
      <c r="E28" s="1"/>
      <c r="F28" s="1"/>
      <c r="L28" s="1"/>
      <c r="M28" s="1"/>
      <c r="N28" s="1"/>
      <c r="O28" s="1"/>
      <c r="P28" s="1"/>
      <c r="Q28" s="1"/>
    </row>
    <row r="29" spans="1:17" ht="12.75">
      <c r="A29" t="s">
        <v>44</v>
      </c>
      <c r="B29" s="1"/>
      <c r="C29" s="1"/>
      <c r="D29" s="1"/>
      <c r="E29" s="1"/>
      <c r="F29" s="1"/>
      <c r="L29" s="1"/>
      <c r="M29" s="1"/>
      <c r="N29" s="1"/>
      <c r="O29" s="1"/>
      <c r="P29" s="1"/>
      <c r="Q29" s="1"/>
    </row>
    <row r="30" spans="2:17" ht="12.75">
      <c r="B30" s="1"/>
      <c r="C30" s="1"/>
      <c r="D30" s="1"/>
      <c r="E30" s="1"/>
      <c r="F30" s="1"/>
      <c r="L30" s="1"/>
      <c r="M30" s="1"/>
      <c r="N30" s="1"/>
      <c r="O30" s="1"/>
      <c r="P30" s="1"/>
      <c r="Q30" s="1"/>
    </row>
    <row r="31" spans="1:17" ht="12.75">
      <c r="A31" t="s">
        <v>78</v>
      </c>
      <c r="B31" s="1"/>
      <c r="C31" s="1"/>
      <c r="D31" s="1"/>
      <c r="E31" s="1"/>
      <c r="F31" s="1"/>
      <c r="L31" s="1"/>
      <c r="M31" s="1"/>
      <c r="N31" s="1"/>
      <c r="O31" s="1"/>
      <c r="P31" s="1"/>
      <c r="Q31" s="1"/>
    </row>
    <row r="32" spans="12:17" ht="12.75">
      <c r="L32" s="1"/>
      <c r="M32" s="1"/>
      <c r="N32" s="1"/>
      <c r="O32" s="1"/>
      <c r="P32" s="1"/>
      <c r="Q32" s="1"/>
    </row>
    <row r="33" spans="2:17" ht="12.75">
      <c r="B33" s="4" t="s">
        <v>37</v>
      </c>
      <c r="C33" s="4"/>
      <c r="D33" s="4"/>
      <c r="E33" s="4"/>
      <c r="I33" s="4" t="s">
        <v>37</v>
      </c>
      <c r="J33" s="4"/>
      <c r="K33" s="4"/>
      <c r="L33" s="4"/>
      <c r="M33" s="1"/>
      <c r="N33" s="1"/>
      <c r="O33" s="1"/>
      <c r="P33" s="1"/>
      <c r="Q33" s="1"/>
    </row>
    <row r="34" spans="1:17" ht="12.75">
      <c r="A34" t="s">
        <v>38</v>
      </c>
      <c r="B34" t="s">
        <v>39</v>
      </c>
      <c r="C34" t="s">
        <v>40</v>
      </c>
      <c r="D34" t="s">
        <v>41</v>
      </c>
      <c r="E34" t="s">
        <v>42</v>
      </c>
      <c r="F34" t="s">
        <v>43</v>
      </c>
      <c r="H34" t="s">
        <v>38</v>
      </c>
      <c r="I34" t="s">
        <v>39</v>
      </c>
      <c r="J34" t="s">
        <v>40</v>
      </c>
      <c r="K34" t="s">
        <v>41</v>
      </c>
      <c r="L34" t="s">
        <v>42</v>
      </c>
      <c r="M34" s="1"/>
      <c r="N34" s="1"/>
      <c r="O34" s="1"/>
      <c r="P34" s="1"/>
      <c r="Q34" s="1"/>
    </row>
    <row r="35" spans="1:17" ht="12.75">
      <c r="A35">
        <v>1981</v>
      </c>
      <c r="B35" s="1">
        <f>IDStarts!B5</f>
        <v>3319</v>
      </c>
      <c r="C35" s="1">
        <f>MTStarts!B5</f>
        <v>1441</v>
      </c>
      <c r="D35" s="1">
        <f>ORStarts!B5</f>
        <v>9955</v>
      </c>
      <c r="E35" s="1">
        <f>WAStarts!B5</f>
        <v>17851</v>
      </c>
      <c r="F35" s="1">
        <f>SUM(B35:E35)</f>
        <v>32566</v>
      </c>
      <c r="H35">
        <v>1981</v>
      </c>
      <c r="I35" s="2">
        <f>B35/$F35</f>
        <v>0.10191610882515507</v>
      </c>
      <c r="J35" s="2">
        <f>C35/$F35</f>
        <v>0.04424860283731499</v>
      </c>
      <c r="K35" s="2">
        <f>D35/$F35</f>
        <v>0.30568691273106924</v>
      </c>
      <c r="L35" s="2">
        <f>E35/$F35</f>
        <v>0.5481483756064607</v>
      </c>
      <c r="M35" s="1"/>
      <c r="N35" s="1"/>
      <c r="O35" s="1"/>
      <c r="P35" s="1"/>
      <c r="Q35" s="1"/>
    </row>
    <row r="36" spans="1:17" ht="12.75">
      <c r="A36">
        <v>1982</v>
      </c>
      <c r="B36" s="1">
        <f>IDStarts!B6</f>
        <v>2392</v>
      </c>
      <c r="C36" s="1">
        <f>MTStarts!B6</f>
        <v>1332</v>
      </c>
      <c r="D36" s="1">
        <f>ORStarts!B6</f>
        <v>5590</v>
      </c>
      <c r="E36" s="1">
        <f>WAStarts!B6</f>
        <v>12977</v>
      </c>
      <c r="F36" s="1">
        <f aca="true" t="shared" si="7" ref="F36:F53">SUM(B36:E36)</f>
        <v>22291</v>
      </c>
      <c r="H36">
        <v>1982</v>
      </c>
      <c r="I36" s="2">
        <f aca="true" t="shared" si="8" ref="I36:I50">B36/$F36</f>
        <v>0.10730788210488539</v>
      </c>
      <c r="J36" s="2">
        <f aca="true" t="shared" si="9" ref="J36:J50">C36/$F36</f>
        <v>0.05975505809519537</v>
      </c>
      <c r="K36" s="2">
        <f aca="true" t="shared" si="10" ref="K36:K50">D36/$F36</f>
        <v>0.2507738549190256</v>
      </c>
      <c r="L36" s="2">
        <f aca="true" t="shared" si="11" ref="L36:L50">E36/$F36</f>
        <v>0.5821632048808937</v>
      </c>
      <c r="M36" s="1"/>
      <c r="N36" s="1"/>
      <c r="O36" s="1"/>
      <c r="P36" s="1"/>
      <c r="Q36" s="1"/>
    </row>
    <row r="37" spans="1:17" ht="12.75">
      <c r="A37">
        <v>1983</v>
      </c>
      <c r="B37" s="1">
        <f>IDStarts!B7</f>
        <v>3888</v>
      </c>
      <c r="C37" s="1">
        <f>MTStarts!B7</f>
        <v>2217</v>
      </c>
      <c r="D37" s="1">
        <f>ORStarts!B7</f>
        <v>7413</v>
      </c>
      <c r="E37" s="1">
        <f>WAStarts!B7</f>
        <v>21010</v>
      </c>
      <c r="F37" s="1">
        <f t="shared" si="7"/>
        <v>34528</v>
      </c>
      <c r="H37">
        <v>1983</v>
      </c>
      <c r="I37" s="2">
        <f t="shared" si="8"/>
        <v>0.11260426320667284</v>
      </c>
      <c r="J37" s="2">
        <f t="shared" si="9"/>
        <v>0.06420875810936053</v>
      </c>
      <c r="K37" s="2">
        <f t="shared" si="10"/>
        <v>0.21469531974050046</v>
      </c>
      <c r="L37" s="2">
        <f t="shared" si="11"/>
        <v>0.6084916589434661</v>
      </c>
      <c r="M37" s="1"/>
      <c r="N37" s="1"/>
      <c r="O37" s="1"/>
      <c r="P37" s="1"/>
      <c r="Q37" s="1"/>
    </row>
    <row r="38" spans="1:17" ht="12.75">
      <c r="A38">
        <v>1984</v>
      </c>
      <c r="B38" s="1">
        <f>IDStarts!B8</f>
        <v>3854</v>
      </c>
      <c r="C38" s="1">
        <f>MTStarts!B8</f>
        <v>2132</v>
      </c>
      <c r="D38" s="1">
        <f>ORStarts!B8</f>
        <v>6570</v>
      </c>
      <c r="E38" s="1">
        <f>WAStarts!B8</f>
        <v>19507</v>
      </c>
      <c r="F38" s="1">
        <f t="shared" si="7"/>
        <v>32063</v>
      </c>
      <c r="H38">
        <v>1984</v>
      </c>
      <c r="I38" s="2">
        <f t="shared" si="8"/>
        <v>0.1202008545675701</v>
      </c>
      <c r="J38" s="2">
        <f t="shared" si="9"/>
        <v>0.06649408976078346</v>
      </c>
      <c r="K38" s="2">
        <f t="shared" si="10"/>
        <v>0.20490908523843682</v>
      </c>
      <c r="L38" s="2">
        <f t="shared" si="11"/>
        <v>0.6083959704332096</v>
      </c>
      <c r="M38" s="1"/>
      <c r="N38" s="1"/>
      <c r="O38" s="1"/>
      <c r="P38" s="1"/>
      <c r="Q38" s="1"/>
    </row>
    <row r="39" spans="1:17" ht="12.75">
      <c r="A39">
        <v>1985</v>
      </c>
      <c r="B39" s="1">
        <f>IDStarts!B9</f>
        <v>3135</v>
      </c>
      <c r="C39" s="1">
        <f>MTStarts!B9</f>
        <v>1124</v>
      </c>
      <c r="D39" s="1">
        <f>ORStarts!B9</f>
        <v>6837</v>
      </c>
      <c r="E39" s="1">
        <f>WAStarts!B9</f>
        <v>19766</v>
      </c>
      <c r="F39" s="1">
        <f t="shared" si="7"/>
        <v>30862</v>
      </c>
      <c r="H39">
        <v>1985</v>
      </c>
      <c r="I39" s="2">
        <f t="shared" si="8"/>
        <v>0.10158123258375996</v>
      </c>
      <c r="J39" s="2">
        <f t="shared" si="9"/>
        <v>0.03642019311774999</v>
      </c>
      <c r="K39" s="2">
        <f t="shared" si="10"/>
        <v>0.2215345732616162</v>
      </c>
      <c r="L39" s="2">
        <f t="shared" si="11"/>
        <v>0.6404640010368738</v>
      </c>
      <c r="M39" s="1"/>
      <c r="N39" s="1"/>
      <c r="O39" s="1"/>
      <c r="P39" s="1"/>
      <c r="Q39" s="1"/>
    </row>
    <row r="40" spans="1:17" ht="12.75">
      <c r="A40">
        <v>1986</v>
      </c>
      <c r="B40" s="1">
        <f>IDStarts!B10</f>
        <v>3268</v>
      </c>
      <c r="C40" s="1">
        <f>MTStarts!B10</f>
        <v>982</v>
      </c>
      <c r="D40" s="1">
        <f>ORStarts!B10</f>
        <v>7604</v>
      </c>
      <c r="E40" s="1">
        <f>WAStarts!B10</f>
        <v>21548</v>
      </c>
      <c r="F40" s="1">
        <f t="shared" si="7"/>
        <v>33402</v>
      </c>
      <c r="H40">
        <v>1986</v>
      </c>
      <c r="I40" s="2">
        <f t="shared" si="8"/>
        <v>0.09783845278725825</v>
      </c>
      <c r="J40" s="2">
        <f t="shared" si="9"/>
        <v>0.02939943715945153</v>
      </c>
      <c r="K40" s="2">
        <f t="shared" si="10"/>
        <v>0.2276510388599485</v>
      </c>
      <c r="L40" s="2">
        <f t="shared" si="11"/>
        <v>0.6451110711933418</v>
      </c>
      <c r="M40" s="1"/>
      <c r="N40" s="1"/>
      <c r="O40" s="1"/>
      <c r="P40" s="1"/>
      <c r="Q40" s="1"/>
    </row>
    <row r="41" spans="1:17" ht="12.75">
      <c r="A41">
        <v>1987</v>
      </c>
      <c r="B41" s="1">
        <f>IDStarts!B11</f>
        <v>2816</v>
      </c>
      <c r="C41" s="1">
        <f>MTStarts!B11</f>
        <v>685</v>
      </c>
      <c r="D41" s="1">
        <f>ORStarts!B11</f>
        <v>8347</v>
      </c>
      <c r="E41" s="1">
        <f>WAStarts!B11</f>
        <v>21843</v>
      </c>
      <c r="F41" s="1">
        <f t="shared" si="7"/>
        <v>33691</v>
      </c>
      <c r="H41">
        <v>1987</v>
      </c>
      <c r="I41" s="2">
        <f t="shared" si="8"/>
        <v>0.08358315277076964</v>
      </c>
      <c r="J41" s="2">
        <f t="shared" si="9"/>
        <v>0.020331839363628267</v>
      </c>
      <c r="K41" s="2">
        <f t="shared" si="10"/>
        <v>0.24775162506307322</v>
      </c>
      <c r="L41" s="2">
        <f t="shared" si="11"/>
        <v>0.6483333828025288</v>
      </c>
      <c r="M41" s="1"/>
      <c r="N41" s="1"/>
      <c r="O41" s="1"/>
      <c r="P41" s="1"/>
      <c r="Q41" s="1"/>
    </row>
    <row r="42" spans="1:17" ht="12.75">
      <c r="A42">
        <v>1988</v>
      </c>
      <c r="B42" s="1">
        <f>IDStarts!B12</f>
        <v>3016</v>
      </c>
      <c r="C42" s="1">
        <f>MTStarts!B12</f>
        <v>623</v>
      </c>
      <c r="D42" s="1">
        <f>ORStarts!B12</f>
        <v>9840</v>
      </c>
      <c r="E42" s="1">
        <f>WAStarts!B12</f>
        <v>23714</v>
      </c>
      <c r="F42" s="1">
        <f t="shared" si="7"/>
        <v>37193</v>
      </c>
      <c r="H42">
        <v>1988</v>
      </c>
      <c r="I42" s="2">
        <f t="shared" si="8"/>
        <v>0.08109052778748689</v>
      </c>
      <c r="J42" s="2">
        <f t="shared" si="9"/>
        <v>0.01675046379695104</v>
      </c>
      <c r="K42" s="2">
        <f t="shared" si="10"/>
        <v>0.2645659129406071</v>
      </c>
      <c r="L42" s="2">
        <f t="shared" si="11"/>
        <v>0.637593095474955</v>
      </c>
      <c r="M42" s="1"/>
      <c r="N42" s="1"/>
      <c r="O42" s="1"/>
      <c r="P42" s="1"/>
      <c r="Q42" s="1"/>
    </row>
    <row r="43" spans="1:12" ht="12.75">
      <c r="A43">
        <v>1989</v>
      </c>
      <c r="B43" s="1">
        <f>IDStarts!B13</f>
        <v>3906</v>
      </c>
      <c r="C43" s="1">
        <f>MTStarts!B13</f>
        <v>637</v>
      </c>
      <c r="D43" s="1">
        <f>ORStarts!B13</f>
        <v>12653</v>
      </c>
      <c r="E43" s="1">
        <f>WAStarts!B13</f>
        <v>28546</v>
      </c>
      <c r="F43" s="1">
        <f t="shared" si="7"/>
        <v>45742</v>
      </c>
      <c r="H43">
        <v>1989</v>
      </c>
      <c r="I43" s="2">
        <f t="shared" si="8"/>
        <v>0.08539198111145119</v>
      </c>
      <c r="J43" s="2">
        <f t="shared" si="9"/>
        <v>0.01392593240348039</v>
      </c>
      <c r="K43" s="2">
        <f t="shared" si="10"/>
        <v>0.27661667614009006</v>
      </c>
      <c r="L43" s="2">
        <f t="shared" si="11"/>
        <v>0.6240654103449783</v>
      </c>
    </row>
    <row r="44" spans="1:12" ht="12.75">
      <c r="A44">
        <v>1990</v>
      </c>
      <c r="B44" s="1">
        <f>IDStarts!B14</f>
        <v>5100</v>
      </c>
      <c r="C44" s="1">
        <f>MTStarts!B14</f>
        <v>874</v>
      </c>
      <c r="D44" s="1">
        <f>ORStarts!B14</f>
        <v>14673</v>
      </c>
      <c r="E44" s="1">
        <f>WAStarts!B14</f>
        <v>31390</v>
      </c>
      <c r="F44" s="1">
        <f t="shared" si="7"/>
        <v>52037</v>
      </c>
      <c r="H44">
        <v>1990</v>
      </c>
      <c r="I44" s="2">
        <f t="shared" si="8"/>
        <v>0.09800718719372754</v>
      </c>
      <c r="J44" s="2">
        <f t="shared" si="9"/>
        <v>0.016795741491630954</v>
      </c>
      <c r="K44" s="2">
        <f t="shared" si="10"/>
        <v>0.2819724426850126</v>
      </c>
      <c r="L44" s="2">
        <f t="shared" si="11"/>
        <v>0.6032246286296289</v>
      </c>
    </row>
    <row r="45" spans="1:12" ht="12.75">
      <c r="A45">
        <v>1991</v>
      </c>
      <c r="B45" s="1">
        <f>IDStarts!B15</f>
        <v>5994</v>
      </c>
      <c r="C45" s="1">
        <f>MTStarts!B15</f>
        <v>1296</v>
      </c>
      <c r="D45" s="1">
        <f>ORStarts!B15</f>
        <v>12746</v>
      </c>
      <c r="E45" s="1">
        <f>WAStarts!B15</f>
        <v>25389</v>
      </c>
      <c r="F45" s="1">
        <f t="shared" si="7"/>
        <v>45425</v>
      </c>
      <c r="H45">
        <v>1991</v>
      </c>
      <c r="I45" s="2">
        <f t="shared" si="8"/>
        <v>0.13195376995046781</v>
      </c>
      <c r="J45" s="2">
        <f t="shared" si="9"/>
        <v>0.0285305448541552</v>
      </c>
      <c r="K45" s="2">
        <f t="shared" si="10"/>
        <v>0.2805943863511282</v>
      </c>
      <c r="L45" s="2">
        <f t="shared" si="11"/>
        <v>0.5589212988442488</v>
      </c>
    </row>
    <row r="46" spans="1:12" ht="12.75">
      <c r="A46">
        <v>1992</v>
      </c>
      <c r="B46" s="1">
        <f>IDStarts!B16</f>
        <v>8775</v>
      </c>
      <c r="C46" s="1">
        <f>MTStarts!B16</f>
        <v>2001</v>
      </c>
      <c r="D46" s="1">
        <f>ORStarts!B16</f>
        <v>14166</v>
      </c>
      <c r="E46" s="1">
        <f>WAStarts!B16</f>
        <v>31207</v>
      </c>
      <c r="F46" s="1">
        <f t="shared" si="7"/>
        <v>56149</v>
      </c>
      <c r="H46">
        <v>1992</v>
      </c>
      <c r="I46" s="2">
        <f t="shared" si="8"/>
        <v>0.156280610518442</v>
      </c>
      <c r="J46" s="2">
        <f t="shared" si="9"/>
        <v>0.03563732212506011</v>
      </c>
      <c r="K46" s="2">
        <f t="shared" si="10"/>
        <v>0.2522930061087464</v>
      </c>
      <c r="L46" s="2">
        <f t="shared" si="11"/>
        <v>0.5557890612477515</v>
      </c>
    </row>
    <row r="47" spans="1:12" ht="12.75">
      <c r="A47">
        <v>1993</v>
      </c>
      <c r="B47" s="1">
        <f>IDStarts!B17</f>
        <v>10363</v>
      </c>
      <c r="C47" s="1">
        <f>MTStarts!B17</f>
        <v>2491</v>
      </c>
      <c r="D47" s="1">
        <f>ORStarts!B17</f>
        <v>16487</v>
      </c>
      <c r="E47" s="1">
        <f>WAStarts!B17</f>
        <v>32883</v>
      </c>
      <c r="F47" s="1">
        <f t="shared" si="7"/>
        <v>62224</v>
      </c>
      <c r="H47">
        <v>1993</v>
      </c>
      <c r="I47" s="2">
        <f t="shared" si="8"/>
        <v>0.16654345590125996</v>
      </c>
      <c r="J47" s="2">
        <f t="shared" si="9"/>
        <v>0.04003278477757778</v>
      </c>
      <c r="K47" s="2">
        <f t="shared" si="10"/>
        <v>0.26496207251221393</v>
      </c>
      <c r="L47" s="2">
        <f t="shared" si="11"/>
        <v>0.5284616868089483</v>
      </c>
    </row>
    <row r="48" spans="1:12" ht="12.75">
      <c r="A48">
        <v>1994</v>
      </c>
      <c r="B48" s="1">
        <f>IDStarts!B18</f>
        <v>10899</v>
      </c>
      <c r="C48" s="1">
        <f>MTStarts!B18</f>
        <v>2577</v>
      </c>
      <c r="D48" s="1">
        <f>ORStarts!B18</f>
        <v>18108</v>
      </c>
      <c r="E48" s="1">
        <f>WAStarts!B18</f>
        <v>34398</v>
      </c>
      <c r="F48" s="1">
        <f t="shared" si="7"/>
        <v>65982</v>
      </c>
      <c r="H48">
        <v>1994</v>
      </c>
      <c r="I48" s="2">
        <f t="shared" si="8"/>
        <v>0.1651814131126671</v>
      </c>
      <c r="J48" s="2">
        <f t="shared" si="9"/>
        <v>0.03905610621078476</v>
      </c>
      <c r="K48" s="2">
        <f t="shared" si="10"/>
        <v>0.2744384832226971</v>
      </c>
      <c r="L48" s="2">
        <f t="shared" si="11"/>
        <v>0.521323997453851</v>
      </c>
    </row>
    <row r="49" spans="1:12" ht="12.75">
      <c r="A49">
        <v>1995</v>
      </c>
      <c r="B49" s="1">
        <f>IDStarts!B19</f>
        <v>9312</v>
      </c>
      <c r="C49" s="1">
        <f>MTStarts!B19</f>
        <v>2259</v>
      </c>
      <c r="D49" s="1">
        <f>ORStarts!B19</f>
        <v>17622</v>
      </c>
      <c r="E49" s="1">
        <f>WAStarts!B19</f>
        <v>29713</v>
      </c>
      <c r="F49" s="1">
        <f t="shared" si="7"/>
        <v>58906</v>
      </c>
      <c r="H49">
        <v>1995</v>
      </c>
      <c r="I49" s="2">
        <f t="shared" si="8"/>
        <v>0.15808236851933588</v>
      </c>
      <c r="J49" s="2">
        <f t="shared" si="9"/>
        <v>0.03834923437340848</v>
      </c>
      <c r="K49" s="2">
        <f t="shared" si="10"/>
        <v>0.29915458527144945</v>
      </c>
      <c r="L49" s="2">
        <f t="shared" si="11"/>
        <v>0.5044138118358062</v>
      </c>
    </row>
    <row r="50" spans="1:12" ht="12.75">
      <c r="A50">
        <v>1996</v>
      </c>
      <c r="B50" s="1">
        <f>IDStarts!B20</f>
        <v>10033</v>
      </c>
      <c r="C50" s="1">
        <f>MTStarts!B20</f>
        <v>1969</v>
      </c>
      <c r="D50" s="1">
        <f>ORStarts!B20</f>
        <v>19306</v>
      </c>
      <c r="E50" s="1">
        <f>WAStarts!B20</f>
        <v>30211</v>
      </c>
      <c r="F50" s="1">
        <f t="shared" si="7"/>
        <v>61519</v>
      </c>
      <c r="H50">
        <v>1996</v>
      </c>
      <c r="I50" s="2">
        <f t="shared" si="8"/>
        <v>0.16308782652513856</v>
      </c>
      <c r="J50" s="2">
        <f t="shared" si="9"/>
        <v>0.03200637201514979</v>
      </c>
      <c r="K50" s="2">
        <f t="shared" si="10"/>
        <v>0.31382174612721275</v>
      </c>
      <c r="L50" s="2">
        <f t="shared" si="11"/>
        <v>0.4910840553324989</v>
      </c>
    </row>
    <row r="51" spans="1:12" ht="12.75">
      <c r="A51">
        <v>1997</v>
      </c>
      <c r="B51" s="1">
        <f>IDStarts!B21</f>
        <v>9411</v>
      </c>
      <c r="C51" s="1">
        <f>MTStarts!B21</f>
        <v>1917</v>
      </c>
      <c r="D51" s="1">
        <f>ORStarts!B21</f>
        <v>18910</v>
      </c>
      <c r="E51" s="1">
        <f>WAStarts!B21</f>
        <v>30905</v>
      </c>
      <c r="F51" s="1">
        <f t="shared" si="7"/>
        <v>61143</v>
      </c>
      <c r="H51">
        <v>1997</v>
      </c>
      <c r="I51" s="2">
        <f aca="true" t="shared" si="12" ref="I51:L52">B51/$F51</f>
        <v>0.15391786467788626</v>
      </c>
      <c r="J51" s="2">
        <f t="shared" si="12"/>
        <v>0.03135273048427457</v>
      </c>
      <c r="K51" s="2">
        <f t="shared" si="12"/>
        <v>0.30927497832948986</v>
      </c>
      <c r="L51" s="2">
        <f t="shared" si="12"/>
        <v>0.5054544265083493</v>
      </c>
    </row>
    <row r="52" spans="1:12" ht="12.75">
      <c r="A52">
        <v>1998</v>
      </c>
      <c r="B52" s="1">
        <f>IDStarts!B22</f>
        <v>10740</v>
      </c>
      <c r="C52" s="1">
        <f>MTStarts!B22</f>
        <v>1889</v>
      </c>
      <c r="D52" s="1">
        <f>ORStarts!B22</f>
        <v>18846</v>
      </c>
      <c r="E52" s="1">
        <f>WAStarts!B22</f>
        <v>31943</v>
      </c>
      <c r="F52" s="1">
        <f t="shared" si="7"/>
        <v>63418</v>
      </c>
      <c r="H52">
        <v>1998</v>
      </c>
      <c r="I52" s="2">
        <f t="shared" si="12"/>
        <v>0.16935254974928254</v>
      </c>
      <c r="J52" s="2">
        <f t="shared" si="12"/>
        <v>0.029786495947522786</v>
      </c>
      <c r="K52" s="2">
        <f t="shared" si="12"/>
        <v>0.2971711501466461</v>
      </c>
      <c r="L52" s="2">
        <f t="shared" si="12"/>
        <v>0.5036898041565486</v>
      </c>
    </row>
    <row r="53" spans="1:12" ht="12.75">
      <c r="A53">
        <v>1999</v>
      </c>
      <c r="B53" s="1">
        <f>IDStarts!B23</f>
        <v>11087</v>
      </c>
      <c r="C53" s="1">
        <f>MTStarts!B23</f>
        <v>2071</v>
      </c>
      <c r="D53" s="1">
        <f>ORStarts!B23</f>
        <v>18511</v>
      </c>
      <c r="E53" s="1">
        <f>WAStarts!B23</f>
        <v>30400</v>
      </c>
      <c r="F53" s="1">
        <f t="shared" si="7"/>
        <v>62069</v>
      </c>
      <c r="H53">
        <v>1999</v>
      </c>
      <c r="I53" s="2">
        <f aca="true" t="shared" si="13" ref="I53:L55">B53/$F53</f>
        <v>0.1786237896534502</v>
      </c>
      <c r="J53" s="2">
        <f t="shared" si="13"/>
        <v>0.03336609257439301</v>
      </c>
      <c r="K53" s="2">
        <f t="shared" si="13"/>
        <v>0.2982326120929933</v>
      </c>
      <c r="L53" s="2">
        <f t="shared" si="13"/>
        <v>0.4897775056791635</v>
      </c>
    </row>
    <row r="54" spans="1:12" ht="12.75">
      <c r="A54">
        <v>2000</v>
      </c>
      <c r="B54" s="1">
        <f>IDStarts!B24</f>
        <v>10385</v>
      </c>
      <c r="C54" s="1">
        <f>MTStarts!B24</f>
        <v>2084</v>
      </c>
      <c r="D54" s="1">
        <f>ORStarts!B24</f>
        <v>16693</v>
      </c>
      <c r="E54" s="1">
        <f>WAStarts!B24</f>
        <v>27940</v>
      </c>
      <c r="F54" s="1">
        <f>SUM(B54:E54)</f>
        <v>57102</v>
      </c>
      <c r="H54">
        <v>2000</v>
      </c>
      <c r="I54" s="2">
        <f t="shared" si="13"/>
        <v>0.18186753528773072</v>
      </c>
      <c r="J54" s="2">
        <f t="shared" si="13"/>
        <v>0.03649609470771602</v>
      </c>
      <c r="K54" s="2">
        <f t="shared" si="13"/>
        <v>0.29233652061223775</v>
      </c>
      <c r="L54" s="2">
        <f t="shared" si="13"/>
        <v>0.4892998493923155</v>
      </c>
    </row>
    <row r="55" spans="1:12" ht="12.75">
      <c r="A55">
        <v>2001</v>
      </c>
      <c r="B55" s="1">
        <f>IDStarts!B25</f>
        <v>10277</v>
      </c>
      <c r="C55" s="1">
        <f>MTStarts!B25</f>
        <v>2106</v>
      </c>
      <c r="D55" s="1">
        <f>ORStarts!B25</f>
        <v>17461</v>
      </c>
      <c r="E55" s="1">
        <f>WAStarts!B25</f>
        <v>28506</v>
      </c>
      <c r="F55" s="1">
        <f>SUM(B55:E55)</f>
        <v>58350</v>
      </c>
      <c r="H55">
        <v>2001</v>
      </c>
      <c r="I55" s="2">
        <f t="shared" si="13"/>
        <v>0.17612682090831192</v>
      </c>
      <c r="J55" s="2">
        <f t="shared" si="13"/>
        <v>0.03609254498714653</v>
      </c>
      <c r="K55" s="2">
        <f t="shared" si="13"/>
        <v>0.2992459297343616</v>
      </c>
      <c r="L55" s="2">
        <f t="shared" si="13"/>
        <v>0.48853470437017993</v>
      </c>
    </row>
    <row r="56" ht="12.75">
      <c r="D56" s="1"/>
    </row>
    <row r="57" ht="12.75">
      <c r="D57" s="1"/>
    </row>
    <row r="58" spans="1:12" ht="12.75">
      <c r="A58" t="s">
        <v>100</v>
      </c>
      <c r="B58" s="1"/>
      <c r="C58" s="1"/>
      <c r="D58" s="1"/>
      <c r="E58" s="1"/>
      <c r="F58" s="1"/>
      <c r="L58" s="1"/>
    </row>
    <row r="59" ht="12.75">
      <c r="L59" s="1"/>
    </row>
    <row r="60" spans="2:12" ht="12.75">
      <c r="B60" s="4" t="s">
        <v>37</v>
      </c>
      <c r="C60" s="4"/>
      <c r="D60" s="4"/>
      <c r="E60" s="4"/>
      <c r="I60" s="4" t="s">
        <v>37</v>
      </c>
      <c r="J60" s="4"/>
      <c r="K60" s="4"/>
      <c r="L60" s="4"/>
    </row>
    <row r="61" spans="1:12" ht="12.75">
      <c r="A61" t="s">
        <v>38</v>
      </c>
      <c r="B61" t="s">
        <v>39</v>
      </c>
      <c r="C61" t="s">
        <v>40</v>
      </c>
      <c r="D61" t="s">
        <v>41</v>
      </c>
      <c r="E61" t="s">
        <v>42</v>
      </c>
      <c r="F61" t="s">
        <v>43</v>
      </c>
      <c r="H61" t="s">
        <v>38</v>
      </c>
      <c r="I61" t="s">
        <v>39</v>
      </c>
      <c r="J61" t="s">
        <v>40</v>
      </c>
      <c r="K61" t="s">
        <v>41</v>
      </c>
      <c r="L61" t="s">
        <v>42</v>
      </c>
    </row>
    <row r="62" spans="1:12" ht="12.75">
      <c r="A62">
        <v>1981</v>
      </c>
      <c r="B62">
        <f>IDStarts!C5</f>
        <v>577</v>
      </c>
      <c r="C62">
        <f>MTStarts!C5</f>
        <v>449</v>
      </c>
      <c r="D62" s="1">
        <f>ORStarts!B5</f>
        <v>9955</v>
      </c>
      <c r="E62" s="1">
        <f>WAStarts!C5</f>
        <v>6602</v>
      </c>
      <c r="F62" s="11">
        <f>SUM(B62:E62)</f>
        <v>17583</v>
      </c>
      <c r="H62">
        <v>1981</v>
      </c>
      <c r="I62" s="2">
        <f>B62/$F62</f>
        <v>0.03281578797702326</v>
      </c>
      <c r="J62" s="2">
        <f>C62/$F62</f>
        <v>0.025536029119035433</v>
      </c>
      <c r="K62" s="2">
        <f>D62/$F62</f>
        <v>0.5661718705567879</v>
      </c>
      <c r="L62" s="2">
        <f>E62/$F62</f>
        <v>0.3754763123471535</v>
      </c>
    </row>
    <row r="63" spans="1:12" ht="12.75">
      <c r="A63">
        <v>1982</v>
      </c>
      <c r="B63">
        <f>IDStarts!C6</f>
        <v>239</v>
      </c>
      <c r="C63">
        <f>MTStarts!C6</f>
        <v>690</v>
      </c>
      <c r="D63" s="1">
        <f>ORStarts!B6</f>
        <v>5590</v>
      </c>
      <c r="E63" s="1">
        <f>WAStarts!C6</f>
        <v>4608</v>
      </c>
      <c r="F63" s="11">
        <f aca="true" t="shared" si="14" ref="F63:F80">SUM(B63:E63)</f>
        <v>11127</v>
      </c>
      <c r="H63">
        <v>1982</v>
      </c>
      <c r="I63" s="2">
        <f aca="true" t="shared" si="15" ref="I63:I80">B63/$F63</f>
        <v>0.021479284622989127</v>
      </c>
      <c r="J63" s="2">
        <f aca="true" t="shared" si="16" ref="J63:J80">C63/$F63</f>
        <v>0.06201132380695605</v>
      </c>
      <c r="K63" s="2">
        <f aca="true" t="shared" si="17" ref="K63:K80">D63/$F63</f>
        <v>0.5023815943201222</v>
      </c>
      <c r="L63" s="2">
        <f aca="true" t="shared" si="18" ref="L63:L80">E63/$F63</f>
        <v>0.4141277972499326</v>
      </c>
    </row>
    <row r="64" spans="1:12" ht="12.75">
      <c r="A64">
        <v>1983</v>
      </c>
      <c r="B64">
        <f>IDStarts!C7</f>
        <v>510</v>
      </c>
      <c r="C64">
        <f>MTStarts!C7</f>
        <v>785</v>
      </c>
      <c r="D64" s="1">
        <f>ORStarts!B7</f>
        <v>7413</v>
      </c>
      <c r="E64" s="1">
        <f>WAStarts!C7</f>
        <v>6268</v>
      </c>
      <c r="F64" s="11">
        <f t="shared" si="14"/>
        <v>14976</v>
      </c>
      <c r="H64">
        <v>1983</v>
      </c>
      <c r="I64" s="2">
        <f t="shared" si="15"/>
        <v>0.034054487179487176</v>
      </c>
      <c r="J64" s="2">
        <f t="shared" si="16"/>
        <v>0.052417200854700856</v>
      </c>
      <c r="K64" s="2">
        <f t="shared" si="17"/>
        <v>0.49499198717948717</v>
      </c>
      <c r="L64" s="2">
        <f t="shared" si="18"/>
        <v>0.4185363247863248</v>
      </c>
    </row>
    <row r="65" spans="1:12" ht="12.75">
      <c r="A65">
        <v>1984</v>
      </c>
      <c r="B65">
        <f>IDStarts!C8</f>
        <v>478</v>
      </c>
      <c r="C65">
        <f>MTStarts!C8</f>
        <v>705</v>
      </c>
      <c r="D65" s="1">
        <f>ORStarts!B8</f>
        <v>6570</v>
      </c>
      <c r="E65" s="1">
        <f>WAStarts!C8</f>
        <v>10884</v>
      </c>
      <c r="F65" s="11">
        <f t="shared" si="14"/>
        <v>18637</v>
      </c>
      <c r="H65">
        <v>1984</v>
      </c>
      <c r="I65" s="2">
        <f t="shared" si="15"/>
        <v>0.025647904705692975</v>
      </c>
      <c r="J65" s="2">
        <f t="shared" si="16"/>
        <v>0.037827976605676876</v>
      </c>
      <c r="K65" s="2">
        <f t="shared" si="17"/>
        <v>0.3525245479422654</v>
      </c>
      <c r="L65" s="2">
        <f t="shared" si="18"/>
        <v>0.5839995707463648</v>
      </c>
    </row>
    <row r="66" spans="1:12" ht="12.75">
      <c r="A66">
        <v>1985</v>
      </c>
      <c r="B66">
        <f>IDStarts!C9</f>
        <v>875</v>
      </c>
      <c r="C66">
        <f>MTStarts!C9</f>
        <v>770</v>
      </c>
      <c r="D66" s="1">
        <f>ORStarts!B9</f>
        <v>6837</v>
      </c>
      <c r="E66" s="1">
        <f>WAStarts!C9</f>
        <v>14939</v>
      </c>
      <c r="F66" s="11">
        <f t="shared" si="14"/>
        <v>23421</v>
      </c>
      <c r="H66">
        <v>1985</v>
      </c>
      <c r="I66" s="2">
        <f t="shared" si="15"/>
        <v>0.03735963451603262</v>
      </c>
      <c r="J66" s="2">
        <f t="shared" si="16"/>
        <v>0.0328764783741087</v>
      </c>
      <c r="K66" s="2">
        <f t="shared" si="17"/>
        <v>0.2919175099269886</v>
      </c>
      <c r="L66" s="2">
        <f t="shared" si="18"/>
        <v>0.6378463771828701</v>
      </c>
    </row>
    <row r="67" spans="1:12" ht="12.75">
      <c r="A67">
        <v>1986</v>
      </c>
      <c r="B67">
        <f>IDStarts!C10</f>
        <v>557</v>
      </c>
      <c r="C67">
        <f>MTStarts!C10</f>
        <v>171</v>
      </c>
      <c r="D67" s="1">
        <f>ORStarts!B10</f>
        <v>7604</v>
      </c>
      <c r="E67" s="1">
        <f>WAStarts!C10</f>
        <v>14886</v>
      </c>
      <c r="F67" s="11">
        <f t="shared" si="14"/>
        <v>23218</v>
      </c>
      <c r="H67">
        <v>1986</v>
      </c>
      <c r="I67" s="2">
        <f t="shared" si="15"/>
        <v>0.023990007752605735</v>
      </c>
      <c r="J67" s="2">
        <f t="shared" si="16"/>
        <v>0.007364975450081833</v>
      </c>
      <c r="K67" s="2">
        <f t="shared" si="17"/>
        <v>0.32750452235334654</v>
      </c>
      <c r="L67" s="2">
        <f t="shared" si="18"/>
        <v>0.6411404944439659</v>
      </c>
    </row>
    <row r="68" spans="1:12" ht="12.75">
      <c r="A68">
        <v>1987</v>
      </c>
      <c r="B68">
        <f>IDStarts!C11</f>
        <v>381</v>
      </c>
      <c r="C68">
        <f>MTStarts!C11</f>
        <v>113</v>
      </c>
      <c r="D68" s="1">
        <f>ORStarts!B11</f>
        <v>8347</v>
      </c>
      <c r="E68" s="1">
        <f>WAStarts!C11</f>
        <v>16498</v>
      </c>
      <c r="F68" s="11">
        <f t="shared" si="14"/>
        <v>25339</v>
      </c>
      <c r="H68">
        <v>1987</v>
      </c>
      <c r="I68" s="2">
        <f t="shared" si="15"/>
        <v>0.0150361103437389</v>
      </c>
      <c r="J68" s="2">
        <f t="shared" si="16"/>
        <v>0.00445952878961285</v>
      </c>
      <c r="K68" s="2">
        <f t="shared" si="17"/>
        <v>0.3294131575831722</v>
      </c>
      <c r="L68" s="2">
        <f t="shared" si="18"/>
        <v>0.651091203283476</v>
      </c>
    </row>
    <row r="69" spans="1:12" ht="12.75">
      <c r="A69">
        <v>1988</v>
      </c>
      <c r="B69">
        <f>IDStarts!C12</f>
        <v>204</v>
      </c>
      <c r="C69">
        <f>MTStarts!C12</f>
        <v>189</v>
      </c>
      <c r="D69" s="1">
        <f>ORStarts!B12</f>
        <v>9840</v>
      </c>
      <c r="E69" s="1">
        <f>WAStarts!C12</f>
        <v>21341</v>
      </c>
      <c r="F69" s="11">
        <f t="shared" si="14"/>
        <v>31574</v>
      </c>
      <c r="H69">
        <v>1988</v>
      </c>
      <c r="I69" s="2">
        <f t="shared" si="15"/>
        <v>0.006461012225248622</v>
      </c>
      <c r="J69" s="2">
        <f t="shared" si="16"/>
        <v>0.005985937796921518</v>
      </c>
      <c r="K69" s="2">
        <f t="shared" si="17"/>
        <v>0.3116488249825806</v>
      </c>
      <c r="L69" s="2">
        <f t="shared" si="18"/>
        <v>0.6759042249952493</v>
      </c>
    </row>
    <row r="70" spans="1:12" ht="12.75">
      <c r="A70">
        <v>1989</v>
      </c>
      <c r="B70">
        <f>IDStarts!C13</f>
        <v>895</v>
      </c>
      <c r="C70">
        <f>MTStarts!C13</f>
        <v>97</v>
      </c>
      <c r="D70" s="1">
        <f>ORStarts!B13</f>
        <v>12653</v>
      </c>
      <c r="E70" s="1">
        <f>WAStarts!C13</f>
        <v>19664</v>
      </c>
      <c r="F70" s="11">
        <f t="shared" si="14"/>
        <v>33309</v>
      </c>
      <c r="H70">
        <v>1989</v>
      </c>
      <c r="I70" s="2">
        <f t="shared" si="15"/>
        <v>0.026869614818817736</v>
      </c>
      <c r="J70" s="2">
        <f t="shared" si="16"/>
        <v>0.0029121258518718667</v>
      </c>
      <c r="K70" s="2">
        <f t="shared" si="17"/>
        <v>0.37986730313128586</v>
      </c>
      <c r="L70" s="2">
        <f t="shared" si="18"/>
        <v>0.5903509561980246</v>
      </c>
    </row>
    <row r="71" spans="1:12" ht="12.75">
      <c r="A71">
        <v>1990</v>
      </c>
      <c r="B71">
        <f>IDStarts!C14</f>
        <v>612</v>
      </c>
      <c r="C71">
        <f>MTStarts!C14</f>
        <v>349</v>
      </c>
      <c r="D71" s="1">
        <f>ORStarts!B14</f>
        <v>14673</v>
      </c>
      <c r="E71" s="1">
        <f>WAStarts!C14</f>
        <v>17057</v>
      </c>
      <c r="F71" s="11">
        <f t="shared" si="14"/>
        <v>32691</v>
      </c>
      <c r="H71">
        <v>1990</v>
      </c>
      <c r="I71" s="2">
        <f t="shared" si="15"/>
        <v>0.0187207488299532</v>
      </c>
      <c r="J71" s="2">
        <f t="shared" si="16"/>
        <v>0.01067572114649292</v>
      </c>
      <c r="K71" s="2">
        <f t="shared" si="17"/>
        <v>0.4488391300357897</v>
      </c>
      <c r="L71" s="2">
        <f t="shared" si="18"/>
        <v>0.5217643999877642</v>
      </c>
    </row>
    <row r="72" spans="1:12" ht="12.75">
      <c r="A72">
        <v>1991</v>
      </c>
      <c r="B72">
        <f>IDStarts!C15</f>
        <v>696</v>
      </c>
      <c r="C72">
        <f>MTStarts!C15</f>
        <v>275</v>
      </c>
      <c r="D72" s="1">
        <f>ORStarts!B15</f>
        <v>12746</v>
      </c>
      <c r="E72" s="1">
        <f>WAStarts!C15</f>
        <v>7624</v>
      </c>
      <c r="F72" s="11">
        <f t="shared" si="14"/>
        <v>21341</v>
      </c>
      <c r="H72">
        <v>1991</v>
      </c>
      <c r="I72" s="2">
        <f t="shared" si="15"/>
        <v>0.0326132796026428</v>
      </c>
      <c r="J72" s="2">
        <f t="shared" si="16"/>
        <v>0.012885994095871796</v>
      </c>
      <c r="K72" s="2">
        <f t="shared" si="17"/>
        <v>0.5972541118035706</v>
      </c>
      <c r="L72" s="2">
        <f t="shared" si="18"/>
        <v>0.35724661449791484</v>
      </c>
    </row>
    <row r="73" spans="1:12" ht="12.75">
      <c r="A73">
        <v>1992</v>
      </c>
      <c r="B73">
        <f>IDStarts!C16</f>
        <v>1178</v>
      </c>
      <c r="C73">
        <f>MTStarts!C16</f>
        <v>109</v>
      </c>
      <c r="D73" s="1">
        <f>ORStarts!B16</f>
        <v>14166</v>
      </c>
      <c r="E73" s="1">
        <f>WAStarts!C16</f>
        <v>8475</v>
      </c>
      <c r="F73" s="11">
        <f t="shared" si="14"/>
        <v>23928</v>
      </c>
      <c r="H73">
        <v>1992</v>
      </c>
      <c r="I73" s="2">
        <f t="shared" si="15"/>
        <v>0.049231026412571044</v>
      </c>
      <c r="J73" s="2">
        <f t="shared" si="16"/>
        <v>0.004555332664660648</v>
      </c>
      <c r="K73" s="2">
        <f t="shared" si="17"/>
        <v>0.5920260782347041</v>
      </c>
      <c r="L73" s="2">
        <f t="shared" si="18"/>
        <v>0.3541875626880642</v>
      </c>
    </row>
    <row r="74" spans="1:12" ht="12.75">
      <c r="A74">
        <v>1993</v>
      </c>
      <c r="B74">
        <f>IDStarts!C17</f>
        <v>1564</v>
      </c>
      <c r="C74">
        <f>MTStarts!C17</f>
        <v>535</v>
      </c>
      <c r="D74" s="1">
        <f>ORStarts!B17</f>
        <v>16487</v>
      </c>
      <c r="E74" s="1">
        <f>WAStarts!C17</f>
        <v>8463</v>
      </c>
      <c r="F74" s="11">
        <f t="shared" si="14"/>
        <v>27049</v>
      </c>
      <c r="H74">
        <v>1993</v>
      </c>
      <c r="I74" s="2">
        <f t="shared" si="15"/>
        <v>0.057820991533882954</v>
      </c>
      <c r="J74" s="2">
        <f t="shared" si="16"/>
        <v>0.0197789197382528</v>
      </c>
      <c r="K74" s="2">
        <f t="shared" si="17"/>
        <v>0.6095234574291102</v>
      </c>
      <c r="L74" s="2">
        <f t="shared" si="18"/>
        <v>0.3128766312987541</v>
      </c>
    </row>
    <row r="75" spans="1:12" ht="12.75">
      <c r="A75">
        <v>1994</v>
      </c>
      <c r="B75">
        <f>IDStarts!C18</f>
        <v>1699</v>
      </c>
      <c r="C75">
        <f>MTStarts!C18</f>
        <v>443</v>
      </c>
      <c r="D75" s="1">
        <f>ORStarts!B18</f>
        <v>18108</v>
      </c>
      <c r="E75" s="1">
        <f>WAStarts!C18</f>
        <v>9701</v>
      </c>
      <c r="F75" s="11">
        <f t="shared" si="14"/>
        <v>29951</v>
      </c>
      <c r="H75">
        <v>1994</v>
      </c>
      <c r="I75" s="2">
        <f t="shared" si="15"/>
        <v>0.056725985776768725</v>
      </c>
      <c r="J75" s="2">
        <f t="shared" si="16"/>
        <v>0.014790825014189844</v>
      </c>
      <c r="K75" s="2">
        <f t="shared" si="17"/>
        <v>0.6045874929050783</v>
      </c>
      <c r="L75" s="2">
        <f t="shared" si="18"/>
        <v>0.32389569630396314</v>
      </c>
    </row>
    <row r="76" spans="1:12" ht="12.75">
      <c r="A76">
        <v>1995</v>
      </c>
      <c r="B76">
        <f>IDStarts!C19</f>
        <v>1354</v>
      </c>
      <c r="C76">
        <f>MTStarts!C19</f>
        <v>805</v>
      </c>
      <c r="D76" s="1">
        <f>ORStarts!B19</f>
        <v>17622</v>
      </c>
      <c r="E76" s="1">
        <f>WAStarts!C19</f>
        <v>8463</v>
      </c>
      <c r="F76" s="11">
        <f t="shared" si="14"/>
        <v>28244</v>
      </c>
      <c r="H76">
        <v>1995</v>
      </c>
      <c r="I76" s="2">
        <f t="shared" si="15"/>
        <v>0.04793938535618184</v>
      </c>
      <c r="J76" s="2">
        <f t="shared" si="16"/>
        <v>0.028501628664495113</v>
      </c>
      <c r="K76" s="2">
        <f t="shared" si="17"/>
        <v>0.6239201246282396</v>
      </c>
      <c r="L76" s="2">
        <f t="shared" si="18"/>
        <v>0.2996388613510834</v>
      </c>
    </row>
    <row r="77" spans="1:12" ht="12.75">
      <c r="A77">
        <v>1996</v>
      </c>
      <c r="B77">
        <f>IDStarts!C20</f>
        <v>722</v>
      </c>
      <c r="C77">
        <f>MTStarts!C20</f>
        <v>711</v>
      </c>
      <c r="D77" s="1">
        <f>ORStarts!B20</f>
        <v>19306</v>
      </c>
      <c r="E77" s="1">
        <f>WAStarts!C20</f>
        <v>9455</v>
      </c>
      <c r="F77" s="11">
        <f t="shared" si="14"/>
        <v>30194</v>
      </c>
      <c r="H77">
        <v>1996</v>
      </c>
      <c r="I77" s="2">
        <f t="shared" si="15"/>
        <v>0.023912035503742466</v>
      </c>
      <c r="J77" s="2">
        <f t="shared" si="16"/>
        <v>0.023547724713519243</v>
      </c>
      <c r="K77" s="2">
        <f t="shared" si="17"/>
        <v>0.6393985560045042</v>
      </c>
      <c r="L77" s="2">
        <f t="shared" si="18"/>
        <v>0.3131416837782341</v>
      </c>
    </row>
    <row r="78" spans="1:12" ht="12.75">
      <c r="A78">
        <v>1997</v>
      </c>
      <c r="B78">
        <f>IDStarts!C21</f>
        <v>926</v>
      </c>
      <c r="C78">
        <f>MTStarts!C21</f>
        <v>556</v>
      </c>
      <c r="D78" s="1">
        <f>ORStarts!B21</f>
        <v>18910</v>
      </c>
      <c r="E78" s="1">
        <f>WAStarts!C21</f>
        <v>10184</v>
      </c>
      <c r="F78" s="11">
        <f t="shared" si="14"/>
        <v>30576</v>
      </c>
      <c r="H78">
        <v>1997</v>
      </c>
      <c r="I78" s="2">
        <f t="shared" si="15"/>
        <v>0.030285190999476713</v>
      </c>
      <c r="J78" s="2">
        <f t="shared" si="16"/>
        <v>0.018184196755625326</v>
      </c>
      <c r="K78" s="2">
        <f t="shared" si="17"/>
        <v>0.6184589220303506</v>
      </c>
      <c r="L78" s="2">
        <f t="shared" si="18"/>
        <v>0.33307169021454736</v>
      </c>
    </row>
    <row r="79" spans="1:12" ht="12.75">
      <c r="A79">
        <v>1998</v>
      </c>
      <c r="B79">
        <f>IDStarts!C22</f>
        <v>927</v>
      </c>
      <c r="C79">
        <f>MTStarts!C22</f>
        <v>672</v>
      </c>
      <c r="D79" s="1">
        <f>ORStarts!B22</f>
        <v>18846</v>
      </c>
      <c r="E79" s="1">
        <f>WAStarts!C22</f>
        <v>13784</v>
      </c>
      <c r="F79" s="11">
        <f t="shared" si="14"/>
        <v>34229</v>
      </c>
      <c r="H79">
        <v>1998</v>
      </c>
      <c r="I79" s="2">
        <f t="shared" si="15"/>
        <v>0.02708229863565982</v>
      </c>
      <c r="J79" s="2">
        <f t="shared" si="16"/>
        <v>0.019632475386368285</v>
      </c>
      <c r="K79" s="2">
        <f t="shared" si="17"/>
        <v>0.5505857606123462</v>
      </c>
      <c r="L79" s="2">
        <f t="shared" si="18"/>
        <v>0.4026994653656256</v>
      </c>
    </row>
    <row r="80" spans="1:12" ht="12.75">
      <c r="A80">
        <v>1999</v>
      </c>
      <c r="B80">
        <f>IDStarts!C23</f>
        <v>1222</v>
      </c>
      <c r="C80">
        <f>MTStarts!C23</f>
        <v>495</v>
      </c>
      <c r="D80" s="1">
        <f>ORStarts!B23</f>
        <v>18511</v>
      </c>
      <c r="E80" s="1">
        <f>WAStarts!C23</f>
        <v>12409</v>
      </c>
      <c r="F80" s="11">
        <f t="shared" si="14"/>
        <v>32637</v>
      </c>
      <c r="H80">
        <v>1999</v>
      </c>
      <c r="I80" s="2">
        <f t="shared" si="15"/>
        <v>0.03744216686582713</v>
      </c>
      <c r="J80" s="2">
        <f t="shared" si="16"/>
        <v>0.015166835187057633</v>
      </c>
      <c r="K80" s="2">
        <f t="shared" si="17"/>
        <v>0.5671783558537856</v>
      </c>
      <c r="L80" s="2">
        <f t="shared" si="18"/>
        <v>0.38021264209332967</v>
      </c>
    </row>
    <row r="81" spans="1:12" ht="12.75">
      <c r="A81">
        <v>2000</v>
      </c>
      <c r="B81">
        <f>IDStarts!C24</f>
        <v>604</v>
      </c>
      <c r="C81">
        <f>MTStarts!C24</f>
        <v>488</v>
      </c>
      <c r="D81" s="1">
        <f>ORStarts!B24</f>
        <v>16693</v>
      </c>
      <c r="E81" s="1">
        <f>WAStarts!C24</f>
        <v>11243</v>
      </c>
      <c r="F81" s="11">
        <f>SUM(B81:E81)</f>
        <v>29028</v>
      </c>
      <c r="H81">
        <v>2000</v>
      </c>
      <c r="I81" s="2">
        <f aca="true" t="shared" si="19" ref="I81:L82">B81/$F81</f>
        <v>0.020807496210555325</v>
      </c>
      <c r="J81" s="2">
        <f t="shared" si="19"/>
        <v>0.016811354554223508</v>
      </c>
      <c r="K81" s="2">
        <f t="shared" si="19"/>
        <v>0.5750654540443709</v>
      </c>
      <c r="L81" s="2">
        <f t="shared" si="19"/>
        <v>0.38731569519085024</v>
      </c>
    </row>
    <row r="82" spans="1:12" ht="12.75">
      <c r="A82">
        <v>2001</v>
      </c>
      <c r="B82">
        <f>IDStarts!C25</f>
        <v>1543</v>
      </c>
      <c r="C82">
        <f>MTStarts!C25</f>
        <v>498</v>
      </c>
      <c r="D82" s="1">
        <f>ORStarts!B25</f>
        <v>17461</v>
      </c>
      <c r="E82" s="1">
        <f>WAStarts!C25</f>
        <v>9839</v>
      </c>
      <c r="F82" s="11">
        <f>SUM(B82:E82)</f>
        <v>29341</v>
      </c>
      <c r="H82">
        <v>2001</v>
      </c>
      <c r="I82" s="2">
        <f t="shared" si="19"/>
        <v>0.05258852799836406</v>
      </c>
      <c r="J82" s="2">
        <f t="shared" si="19"/>
        <v>0.016972836644967793</v>
      </c>
      <c r="K82" s="2">
        <f t="shared" si="19"/>
        <v>0.5951058246140213</v>
      </c>
      <c r="L82" s="2">
        <f t="shared" si="19"/>
        <v>0.3353328107426468</v>
      </c>
    </row>
    <row r="85" spans="1:12" ht="12.75">
      <c r="A85" t="s">
        <v>101</v>
      </c>
      <c r="B85" s="1"/>
      <c r="C85" s="1"/>
      <c r="D85" s="1"/>
      <c r="E85" s="1"/>
      <c r="F85" s="1"/>
      <c r="L85" s="1"/>
    </row>
    <row r="86" ht="12.75">
      <c r="L86" s="1"/>
    </row>
    <row r="87" spans="2:12" ht="12.75">
      <c r="B87" s="4" t="s">
        <v>37</v>
      </c>
      <c r="C87" s="4"/>
      <c r="D87" s="4"/>
      <c r="E87" s="4"/>
      <c r="I87" s="4" t="s">
        <v>37</v>
      </c>
      <c r="J87" s="4"/>
      <c r="K87" s="4"/>
      <c r="L87" s="4"/>
    </row>
    <row r="88" spans="1:12" ht="12.75">
      <c r="A88" t="s">
        <v>38</v>
      </c>
      <c r="B88" t="s">
        <v>39</v>
      </c>
      <c r="C88" t="s">
        <v>40</v>
      </c>
      <c r="D88" t="s">
        <v>41</v>
      </c>
      <c r="E88" t="s">
        <v>42</v>
      </c>
      <c r="F88" t="s">
        <v>43</v>
      </c>
      <c r="H88" t="s">
        <v>38</v>
      </c>
      <c r="I88" t="s">
        <v>39</v>
      </c>
      <c r="J88" t="s">
        <v>40</v>
      </c>
      <c r="K88" t="s">
        <v>41</v>
      </c>
      <c r="L88" t="s">
        <v>42</v>
      </c>
    </row>
    <row r="89" spans="1:12" ht="12.75">
      <c r="A89">
        <v>1981</v>
      </c>
      <c r="B89" s="1">
        <f aca="true" t="shared" si="20" ref="B89:E107">B6+B35+B62</f>
        <v>5428</v>
      </c>
      <c r="C89" s="1">
        <f t="shared" si="20"/>
        <v>3308</v>
      </c>
      <c r="D89" s="1">
        <f t="shared" si="20"/>
        <v>23058</v>
      </c>
      <c r="E89" s="1">
        <f t="shared" si="20"/>
        <v>30616</v>
      </c>
      <c r="F89" s="11">
        <f>SUM(B89:E89)</f>
        <v>62410</v>
      </c>
      <c r="H89">
        <v>1981</v>
      </c>
      <c r="I89" s="2">
        <f>B89/$F89</f>
        <v>0.08697324146771351</v>
      </c>
      <c r="J89" s="2">
        <f aca="true" t="shared" si="21" ref="J89:J107">C89/$F89</f>
        <v>0.05300432622977087</v>
      </c>
      <c r="K89" s="2">
        <f aca="true" t="shared" si="22" ref="K89:K107">D89/$F89</f>
        <v>0.3694600224323025</v>
      </c>
      <c r="L89" s="2">
        <f aca="true" t="shared" si="23" ref="L89:L107">E89/$F89</f>
        <v>0.4905624098702131</v>
      </c>
    </row>
    <row r="90" spans="1:12" ht="12.75">
      <c r="A90">
        <v>1982</v>
      </c>
      <c r="B90" s="1">
        <f t="shared" si="20"/>
        <v>3821</v>
      </c>
      <c r="C90" s="1">
        <f t="shared" si="20"/>
        <v>2894</v>
      </c>
      <c r="D90" s="1">
        <f t="shared" si="20"/>
        <v>13036</v>
      </c>
      <c r="E90" s="1">
        <f t="shared" si="20"/>
        <v>22425</v>
      </c>
      <c r="F90" s="11">
        <f aca="true" t="shared" si="24" ref="F90:F107">SUM(B90:E90)</f>
        <v>42176</v>
      </c>
      <c r="H90">
        <v>1982</v>
      </c>
      <c r="I90" s="2">
        <f aca="true" t="shared" si="25" ref="I90:I107">B90/$F90</f>
        <v>0.0905965477996965</v>
      </c>
      <c r="J90" s="2">
        <f t="shared" si="21"/>
        <v>0.06861722306525038</v>
      </c>
      <c r="K90" s="2">
        <f t="shared" si="22"/>
        <v>0.3090857359635812</v>
      </c>
      <c r="L90" s="2">
        <f t="shared" si="23"/>
        <v>0.5317004931714719</v>
      </c>
    </row>
    <row r="91" spans="1:12" ht="12.75">
      <c r="A91">
        <v>1983</v>
      </c>
      <c r="B91" s="1">
        <f t="shared" si="20"/>
        <v>6191</v>
      </c>
      <c r="C91" s="1">
        <f t="shared" si="20"/>
        <v>4472</v>
      </c>
      <c r="D91" s="1">
        <f t="shared" si="20"/>
        <v>17524</v>
      </c>
      <c r="E91" s="1">
        <f t="shared" si="20"/>
        <v>33431</v>
      </c>
      <c r="F91" s="11">
        <f t="shared" si="24"/>
        <v>61618</v>
      </c>
      <c r="H91">
        <v>1983</v>
      </c>
      <c r="I91" s="2">
        <f t="shared" si="25"/>
        <v>0.10047388750040573</v>
      </c>
      <c r="J91" s="2">
        <f t="shared" si="21"/>
        <v>0.0725761952676166</v>
      </c>
      <c r="K91" s="2">
        <f t="shared" si="22"/>
        <v>0.28439741633938137</v>
      </c>
      <c r="L91" s="2">
        <f t="shared" si="23"/>
        <v>0.5425525008925963</v>
      </c>
    </row>
    <row r="92" spans="1:12" ht="12.75">
      <c r="A92">
        <v>1984</v>
      </c>
      <c r="B92" s="1">
        <f t="shared" si="20"/>
        <v>6079</v>
      </c>
      <c r="C92" s="1">
        <f t="shared" si="20"/>
        <v>4088</v>
      </c>
      <c r="D92" s="1">
        <f t="shared" si="20"/>
        <v>16020</v>
      </c>
      <c r="E92" s="1">
        <f t="shared" si="20"/>
        <v>36405</v>
      </c>
      <c r="F92" s="11">
        <f t="shared" si="24"/>
        <v>62592</v>
      </c>
      <c r="H92">
        <v>1984</v>
      </c>
      <c r="I92" s="2">
        <f t="shared" si="25"/>
        <v>0.09712103783231084</v>
      </c>
      <c r="J92" s="2">
        <f t="shared" si="21"/>
        <v>0.0653118609406953</v>
      </c>
      <c r="K92" s="2">
        <f t="shared" si="22"/>
        <v>0.2559432515337423</v>
      </c>
      <c r="L92" s="2">
        <f t="shared" si="23"/>
        <v>0.5816238496932515</v>
      </c>
    </row>
    <row r="93" spans="1:12" ht="12.75">
      <c r="A93">
        <v>1985</v>
      </c>
      <c r="B93" s="1">
        <f t="shared" si="20"/>
        <v>5210</v>
      </c>
      <c r="C93" s="1">
        <f t="shared" si="20"/>
        <v>2817</v>
      </c>
      <c r="D93" s="1">
        <f t="shared" si="20"/>
        <v>16044</v>
      </c>
      <c r="E93" s="1">
        <f t="shared" si="20"/>
        <v>40302</v>
      </c>
      <c r="F93" s="11">
        <f t="shared" si="24"/>
        <v>64373</v>
      </c>
      <c r="H93">
        <v>1985</v>
      </c>
      <c r="I93" s="2">
        <f t="shared" si="25"/>
        <v>0.08093455330651049</v>
      </c>
      <c r="J93" s="2">
        <f t="shared" si="21"/>
        <v>0.04376058285305951</v>
      </c>
      <c r="K93" s="2">
        <f t="shared" si="22"/>
        <v>0.24923492768707378</v>
      </c>
      <c r="L93" s="2">
        <f t="shared" si="23"/>
        <v>0.6260699361533563</v>
      </c>
    </row>
    <row r="94" spans="1:12" ht="12.75">
      <c r="A94">
        <v>1986</v>
      </c>
      <c r="B94" s="1">
        <f t="shared" si="20"/>
        <v>4663</v>
      </c>
      <c r="C94" s="1">
        <f t="shared" si="20"/>
        <v>1820</v>
      </c>
      <c r="D94" s="1">
        <f t="shared" si="20"/>
        <v>17505</v>
      </c>
      <c r="E94" s="1">
        <f t="shared" si="20"/>
        <v>40984</v>
      </c>
      <c r="F94" s="11">
        <f t="shared" si="24"/>
        <v>64972</v>
      </c>
      <c r="H94">
        <v>1986</v>
      </c>
      <c r="I94" s="2">
        <f t="shared" si="25"/>
        <v>0.07176937757803362</v>
      </c>
      <c r="J94" s="2">
        <f t="shared" si="21"/>
        <v>0.028012066736440314</v>
      </c>
      <c r="K94" s="2">
        <f t="shared" si="22"/>
        <v>0.2694237517699932</v>
      </c>
      <c r="L94" s="2">
        <f t="shared" si="23"/>
        <v>0.6307948039155329</v>
      </c>
    </row>
    <row r="95" spans="1:12" ht="12.75">
      <c r="A95">
        <v>1987</v>
      </c>
      <c r="B95" s="1">
        <f t="shared" si="20"/>
        <v>3802</v>
      </c>
      <c r="C95" s="1">
        <f t="shared" si="20"/>
        <v>1312</v>
      </c>
      <c r="D95" s="1">
        <f t="shared" si="20"/>
        <v>19604</v>
      </c>
      <c r="E95" s="1">
        <f t="shared" si="20"/>
        <v>42214</v>
      </c>
      <c r="F95" s="11">
        <f t="shared" si="24"/>
        <v>66932</v>
      </c>
      <c r="H95">
        <v>1987</v>
      </c>
      <c r="I95" s="2">
        <f t="shared" si="25"/>
        <v>0.056803920396820654</v>
      </c>
      <c r="J95" s="2">
        <f t="shared" si="21"/>
        <v>0.01960198410326899</v>
      </c>
      <c r="K95" s="2">
        <f t="shared" si="22"/>
        <v>0.292894280762565</v>
      </c>
      <c r="L95" s="2">
        <f t="shared" si="23"/>
        <v>0.6306998147373454</v>
      </c>
    </row>
    <row r="96" spans="1:12" ht="12.75">
      <c r="A96">
        <v>1988</v>
      </c>
      <c r="B96" s="1">
        <f t="shared" si="20"/>
        <v>3792</v>
      </c>
      <c r="C96" s="1">
        <f t="shared" si="20"/>
        <v>1253</v>
      </c>
      <c r="D96" s="1">
        <f t="shared" si="20"/>
        <v>23532</v>
      </c>
      <c r="E96" s="1">
        <f t="shared" si="20"/>
        <v>49239</v>
      </c>
      <c r="F96" s="11">
        <f t="shared" si="24"/>
        <v>77816</v>
      </c>
      <c r="H96">
        <v>1988</v>
      </c>
      <c r="I96" s="2">
        <f t="shared" si="25"/>
        <v>0.048730338233782255</v>
      </c>
      <c r="J96" s="2">
        <f t="shared" si="21"/>
        <v>0.01610208697440115</v>
      </c>
      <c r="K96" s="2">
        <f t="shared" si="22"/>
        <v>0.3024056749254652</v>
      </c>
      <c r="L96" s="2">
        <f t="shared" si="23"/>
        <v>0.6327618998663513</v>
      </c>
    </row>
    <row r="97" spans="1:12" ht="12.75">
      <c r="A97">
        <v>1989</v>
      </c>
      <c r="B97" s="1">
        <f t="shared" si="20"/>
        <v>5504</v>
      </c>
      <c r="C97" s="1">
        <f t="shared" si="20"/>
        <v>1214</v>
      </c>
      <c r="D97" s="1">
        <f t="shared" si="20"/>
        <v>29693</v>
      </c>
      <c r="E97" s="1">
        <f t="shared" si="20"/>
        <v>52607</v>
      </c>
      <c r="F97" s="11">
        <f t="shared" si="24"/>
        <v>89018</v>
      </c>
      <c r="H97">
        <v>1989</v>
      </c>
      <c r="I97" s="2">
        <f t="shared" si="25"/>
        <v>0.06183019164663327</v>
      </c>
      <c r="J97" s="2">
        <f t="shared" si="21"/>
        <v>0.013637691253454357</v>
      </c>
      <c r="K97" s="2">
        <f t="shared" si="22"/>
        <v>0.3335617515558651</v>
      </c>
      <c r="L97" s="2">
        <f t="shared" si="23"/>
        <v>0.5909703655440472</v>
      </c>
    </row>
    <row r="98" spans="1:12" ht="12.75">
      <c r="A98">
        <v>1990</v>
      </c>
      <c r="B98" s="1">
        <f t="shared" si="20"/>
        <v>6532</v>
      </c>
      <c r="C98" s="1">
        <f t="shared" si="20"/>
        <v>1728</v>
      </c>
      <c r="D98" s="1">
        <f t="shared" si="20"/>
        <v>34251</v>
      </c>
      <c r="E98" s="1">
        <f t="shared" si="20"/>
        <v>54092</v>
      </c>
      <c r="F98" s="11">
        <f t="shared" si="24"/>
        <v>96603</v>
      </c>
      <c r="H98">
        <v>1990</v>
      </c>
      <c r="I98" s="2">
        <f t="shared" si="25"/>
        <v>0.06761694771383911</v>
      </c>
      <c r="J98" s="2">
        <f t="shared" si="21"/>
        <v>0.01788764324089314</v>
      </c>
      <c r="K98" s="2">
        <f t="shared" si="22"/>
        <v>0.35455420639110585</v>
      </c>
      <c r="L98" s="2">
        <f t="shared" si="23"/>
        <v>0.5599412026541619</v>
      </c>
    </row>
    <row r="99" spans="1:12" ht="12.75">
      <c r="A99">
        <v>1991</v>
      </c>
      <c r="B99" s="1">
        <f t="shared" si="20"/>
        <v>7779</v>
      </c>
      <c r="C99" s="1">
        <f t="shared" si="20"/>
        <v>2224</v>
      </c>
      <c r="D99" s="1">
        <f t="shared" si="20"/>
        <v>30212</v>
      </c>
      <c r="E99" s="1">
        <f t="shared" si="20"/>
        <v>38366</v>
      </c>
      <c r="F99" s="11">
        <f t="shared" si="24"/>
        <v>78581</v>
      </c>
      <c r="H99">
        <v>1991</v>
      </c>
      <c r="I99" s="2">
        <f t="shared" si="25"/>
        <v>0.098993395350021</v>
      </c>
      <c r="J99" s="2">
        <f t="shared" si="21"/>
        <v>0.028302006846438705</v>
      </c>
      <c r="K99" s="2">
        <f t="shared" si="22"/>
        <v>0.38446952825746683</v>
      </c>
      <c r="L99" s="2">
        <f t="shared" si="23"/>
        <v>0.4882350695460735</v>
      </c>
    </row>
    <row r="100" spans="1:12" ht="12.75">
      <c r="A100">
        <v>1992</v>
      </c>
      <c r="B100" s="1">
        <f t="shared" si="20"/>
        <v>11649</v>
      </c>
      <c r="C100" s="1">
        <f t="shared" si="20"/>
        <v>3131</v>
      </c>
      <c r="D100" s="1">
        <f t="shared" si="20"/>
        <v>33435</v>
      </c>
      <c r="E100" s="1">
        <f t="shared" si="20"/>
        <v>45646</v>
      </c>
      <c r="F100" s="11">
        <f t="shared" si="24"/>
        <v>93861</v>
      </c>
      <c r="H100">
        <v>1992</v>
      </c>
      <c r="I100" s="2">
        <f t="shared" si="25"/>
        <v>0.12410905487902324</v>
      </c>
      <c r="J100" s="2">
        <f t="shared" si="21"/>
        <v>0.03335783765355153</v>
      </c>
      <c r="K100" s="2">
        <f t="shared" si="22"/>
        <v>0.3562182376066737</v>
      </c>
      <c r="L100" s="2">
        <f t="shared" si="23"/>
        <v>0.48631486986075156</v>
      </c>
    </row>
    <row r="101" spans="1:12" ht="12.75">
      <c r="A101">
        <v>1993</v>
      </c>
      <c r="B101" s="1">
        <f t="shared" si="20"/>
        <v>14706</v>
      </c>
      <c r="C101" s="1">
        <f t="shared" si="20"/>
        <v>4479</v>
      </c>
      <c r="D101" s="1">
        <f t="shared" si="20"/>
        <v>39428</v>
      </c>
      <c r="E101" s="1">
        <f t="shared" si="20"/>
        <v>48195</v>
      </c>
      <c r="F101" s="11">
        <f t="shared" si="24"/>
        <v>106808</v>
      </c>
      <c r="H101">
        <v>1993</v>
      </c>
      <c r="I101" s="2">
        <f t="shared" si="25"/>
        <v>0.13768631563178788</v>
      </c>
      <c r="J101" s="2">
        <f t="shared" si="21"/>
        <v>0.041935061044116546</v>
      </c>
      <c r="K101" s="2">
        <f t="shared" si="22"/>
        <v>0.3691483783986218</v>
      </c>
      <c r="L101" s="2">
        <f t="shared" si="23"/>
        <v>0.45123024492547376</v>
      </c>
    </row>
    <row r="102" spans="1:12" ht="12.75">
      <c r="A102">
        <v>1994</v>
      </c>
      <c r="B102" s="1">
        <f t="shared" si="20"/>
        <v>16310</v>
      </c>
      <c r="C102" s="1">
        <f t="shared" si="20"/>
        <v>4891</v>
      </c>
      <c r="D102" s="1">
        <f t="shared" si="20"/>
        <v>43813</v>
      </c>
      <c r="E102" s="1">
        <f t="shared" si="20"/>
        <v>51431</v>
      </c>
      <c r="F102" s="11">
        <f t="shared" si="24"/>
        <v>116445</v>
      </c>
      <c r="H102">
        <v>1994</v>
      </c>
      <c r="I102" s="2">
        <f t="shared" si="25"/>
        <v>0.14006612563871357</v>
      </c>
      <c r="J102" s="2">
        <f t="shared" si="21"/>
        <v>0.04200266220103912</v>
      </c>
      <c r="K102" s="2">
        <f t="shared" si="22"/>
        <v>0.37625488428013226</v>
      </c>
      <c r="L102" s="2">
        <f t="shared" si="23"/>
        <v>0.44167632788011507</v>
      </c>
    </row>
    <row r="103" spans="1:12" ht="12.75">
      <c r="A103">
        <v>1995</v>
      </c>
      <c r="B103" s="1">
        <f t="shared" si="20"/>
        <v>13833</v>
      </c>
      <c r="C103" s="1">
        <f t="shared" si="20"/>
        <v>4836</v>
      </c>
      <c r="D103" s="1">
        <f t="shared" si="20"/>
        <v>42694</v>
      </c>
      <c r="E103" s="1">
        <f t="shared" si="20"/>
        <v>45428</v>
      </c>
      <c r="F103" s="11">
        <f t="shared" si="24"/>
        <v>106791</v>
      </c>
      <c r="H103">
        <v>1995</v>
      </c>
      <c r="I103" s="2">
        <f t="shared" si="25"/>
        <v>0.12953338764502625</v>
      </c>
      <c r="J103" s="2">
        <f t="shared" si="21"/>
        <v>0.04528471500407338</v>
      </c>
      <c r="K103" s="2">
        <f t="shared" si="22"/>
        <v>0.39979024449625905</v>
      </c>
      <c r="L103" s="2">
        <f t="shared" si="23"/>
        <v>0.4253916528546413</v>
      </c>
    </row>
    <row r="104" spans="1:12" ht="12.75">
      <c r="A104">
        <v>1996</v>
      </c>
      <c r="B104" s="1">
        <f t="shared" si="20"/>
        <v>13390</v>
      </c>
      <c r="C104" s="1">
        <f t="shared" si="20"/>
        <v>4429</v>
      </c>
      <c r="D104" s="1">
        <f t="shared" si="20"/>
        <v>45096</v>
      </c>
      <c r="E104" s="1">
        <f t="shared" si="20"/>
        <v>45923</v>
      </c>
      <c r="F104" s="11">
        <f t="shared" si="24"/>
        <v>108838</v>
      </c>
      <c r="H104">
        <v>1996</v>
      </c>
      <c r="I104" s="2">
        <f t="shared" si="25"/>
        <v>0.12302688399272313</v>
      </c>
      <c r="J104" s="2">
        <f t="shared" si="21"/>
        <v>0.04069350778220842</v>
      </c>
      <c r="K104" s="2">
        <f t="shared" si="22"/>
        <v>0.414340579576986</v>
      </c>
      <c r="L104" s="2">
        <f t="shared" si="23"/>
        <v>0.42193902864808247</v>
      </c>
    </row>
    <row r="105" spans="1:12" ht="12.75">
      <c r="A105">
        <v>1997</v>
      </c>
      <c r="B105" s="1">
        <f t="shared" si="20"/>
        <v>12971</v>
      </c>
      <c r="C105" s="1">
        <f t="shared" si="20"/>
        <v>4154</v>
      </c>
      <c r="D105" s="1">
        <f t="shared" si="20"/>
        <v>44387</v>
      </c>
      <c r="E105" s="1">
        <f t="shared" si="20"/>
        <v>47508</v>
      </c>
      <c r="F105" s="11">
        <f t="shared" si="24"/>
        <v>109020</v>
      </c>
      <c r="H105">
        <v>1997</v>
      </c>
      <c r="I105" s="2">
        <f t="shared" si="25"/>
        <v>0.11897816914327647</v>
      </c>
      <c r="J105" s="2">
        <f t="shared" si="21"/>
        <v>0.0381031003485599</v>
      </c>
      <c r="K105" s="2">
        <f t="shared" si="22"/>
        <v>0.40714547789396444</v>
      </c>
      <c r="L105" s="2">
        <f t="shared" si="23"/>
        <v>0.43577325261419925</v>
      </c>
    </row>
    <row r="106" spans="1:12" ht="12.75">
      <c r="A106">
        <v>1998</v>
      </c>
      <c r="B106" s="1">
        <f t="shared" si="20"/>
        <v>14647</v>
      </c>
      <c r="C106" s="1">
        <f t="shared" si="20"/>
        <v>4480</v>
      </c>
      <c r="D106" s="1">
        <f t="shared" si="20"/>
        <v>43915</v>
      </c>
      <c r="E106" s="1">
        <f t="shared" si="20"/>
        <v>52601</v>
      </c>
      <c r="F106" s="11">
        <f t="shared" si="24"/>
        <v>115643</v>
      </c>
      <c r="H106">
        <v>1998</v>
      </c>
      <c r="I106" s="2">
        <f t="shared" si="25"/>
        <v>0.12665703933657896</v>
      </c>
      <c r="J106" s="2">
        <f t="shared" si="21"/>
        <v>0.03873991508348971</v>
      </c>
      <c r="K106" s="2">
        <f t="shared" si="22"/>
        <v>0.37974628814541306</v>
      </c>
      <c r="L106" s="2">
        <f t="shared" si="23"/>
        <v>0.4548567574345183</v>
      </c>
    </row>
    <row r="107" spans="1:12" ht="12.75">
      <c r="A107">
        <v>1999</v>
      </c>
      <c r="B107" s="1">
        <f t="shared" si="20"/>
        <v>14652</v>
      </c>
      <c r="C107" s="1">
        <f t="shared" si="20"/>
        <v>4302</v>
      </c>
      <c r="D107" s="1">
        <f t="shared" si="20"/>
        <v>42224</v>
      </c>
      <c r="E107" s="1">
        <f t="shared" si="20"/>
        <v>48148</v>
      </c>
      <c r="F107" s="11">
        <f t="shared" si="24"/>
        <v>109326</v>
      </c>
      <c r="H107">
        <v>1999</v>
      </c>
      <c r="I107" s="2">
        <f t="shared" si="25"/>
        <v>0.13402118434773064</v>
      </c>
      <c r="J107" s="2">
        <f t="shared" si="21"/>
        <v>0.03935020031831404</v>
      </c>
      <c r="K107" s="2">
        <f t="shared" si="22"/>
        <v>0.386221027020105</v>
      </c>
      <c r="L107" s="2">
        <f t="shared" si="23"/>
        <v>0.4404075883138503</v>
      </c>
    </row>
    <row r="108" spans="1:12" ht="12.75">
      <c r="A108">
        <v>2000</v>
      </c>
      <c r="B108" s="1">
        <f aca="true" t="shared" si="26" ref="B108:E109">B25+B54+B81</f>
        <v>12306</v>
      </c>
      <c r="C108" s="1">
        <f t="shared" si="26"/>
        <v>3767</v>
      </c>
      <c r="D108" s="1">
        <f t="shared" si="26"/>
        <v>36585</v>
      </c>
      <c r="E108" s="1">
        <f t="shared" si="26"/>
        <v>43036</v>
      </c>
      <c r="F108" s="11">
        <f>SUM(B108:E108)</f>
        <v>95694</v>
      </c>
      <c r="H108">
        <v>2000</v>
      </c>
      <c r="I108" s="2">
        <f aca="true" t="shared" si="27" ref="I108:L109">B108/$F108</f>
        <v>0.12859740422597027</v>
      </c>
      <c r="J108" s="2">
        <f t="shared" si="27"/>
        <v>0.03936505946036324</v>
      </c>
      <c r="K108" s="2">
        <f t="shared" si="27"/>
        <v>0.38231237068154744</v>
      </c>
      <c r="L108" s="2">
        <f t="shared" si="27"/>
        <v>0.44972516563211906</v>
      </c>
    </row>
    <row r="109" spans="1:12" ht="12.75">
      <c r="A109">
        <v>2001</v>
      </c>
      <c r="B109" s="1">
        <f t="shared" si="26"/>
        <v>12818</v>
      </c>
      <c r="C109" s="1">
        <f t="shared" si="26"/>
        <v>3526</v>
      </c>
      <c r="D109" s="1">
        <f t="shared" si="26"/>
        <v>37314</v>
      </c>
      <c r="E109" s="1">
        <f t="shared" si="26"/>
        <v>41316</v>
      </c>
      <c r="F109" s="11">
        <f>SUM(B109:E109)</f>
        <v>94974</v>
      </c>
      <c r="H109">
        <v>2001</v>
      </c>
      <c r="I109" s="2">
        <f t="shared" si="27"/>
        <v>0.13496325310084864</v>
      </c>
      <c r="J109" s="2">
        <f t="shared" si="27"/>
        <v>0.03712595026007118</v>
      </c>
      <c r="K109" s="2">
        <f t="shared" si="27"/>
        <v>0.39288647419293704</v>
      </c>
      <c r="L109" s="2">
        <f t="shared" si="27"/>
        <v>0.43502432244614314</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K29"/>
  <sheetViews>
    <sheetView workbookViewId="0" topLeftCell="A1">
      <selection activeCell="B34" sqref="B34"/>
    </sheetView>
  </sheetViews>
  <sheetFormatPr defaultColWidth="9.140625" defaultRowHeight="12.75"/>
  <cols>
    <col min="2" max="8" width="11.421875" style="0" customWidth="1"/>
  </cols>
  <sheetData>
    <row r="1" ht="12.75">
      <c r="A1" s="9" t="s">
        <v>45</v>
      </c>
    </row>
    <row r="2" ht="12.75">
      <c r="A2" t="s">
        <v>82</v>
      </c>
    </row>
    <row r="3" spans="1:37" ht="12.75">
      <c r="A3" s="10" t="s">
        <v>46</v>
      </c>
      <c r="B3" s="435">
        <v>1990</v>
      </c>
      <c r="C3" s="435">
        <v>1990</v>
      </c>
      <c r="D3" s="435">
        <v>1990</v>
      </c>
      <c r="E3" s="435">
        <v>1991</v>
      </c>
      <c r="F3" s="435"/>
      <c r="G3" s="435"/>
      <c r="H3" s="435">
        <v>1992</v>
      </c>
      <c r="I3" s="435">
        <v>1992</v>
      </c>
      <c r="J3" s="435">
        <v>1992</v>
      </c>
      <c r="K3" s="435">
        <v>1993</v>
      </c>
      <c r="L3" s="435">
        <v>1993</v>
      </c>
      <c r="M3" s="435">
        <v>1993</v>
      </c>
      <c r="N3" s="435">
        <v>1994</v>
      </c>
      <c r="O3" s="435">
        <v>1994</v>
      </c>
      <c r="P3" s="435">
        <v>1994</v>
      </c>
      <c r="Q3" s="435">
        <v>1995</v>
      </c>
      <c r="R3" s="435">
        <v>1995</v>
      </c>
      <c r="S3" s="435">
        <v>1995</v>
      </c>
      <c r="T3" s="435">
        <v>1996</v>
      </c>
      <c r="U3" s="435">
        <v>1996</v>
      </c>
      <c r="V3" s="435">
        <v>1996</v>
      </c>
      <c r="W3" s="435">
        <v>1997</v>
      </c>
      <c r="X3" s="435">
        <v>1997</v>
      </c>
      <c r="Y3" s="435">
        <v>1997</v>
      </c>
      <c r="Z3" s="435">
        <v>1998</v>
      </c>
      <c r="AA3" s="435">
        <v>1998</v>
      </c>
      <c r="AB3" s="435">
        <v>1998</v>
      </c>
      <c r="AC3" s="435">
        <v>1999</v>
      </c>
      <c r="AD3" s="435"/>
      <c r="AE3" s="435"/>
      <c r="AF3" s="435">
        <v>2000</v>
      </c>
      <c r="AG3" s="435">
        <v>2000</v>
      </c>
      <c r="AH3" s="435">
        <v>2000</v>
      </c>
      <c r="AI3" s="435">
        <v>2001</v>
      </c>
      <c r="AJ3" s="435">
        <v>2001</v>
      </c>
      <c r="AK3" s="435">
        <v>2001</v>
      </c>
    </row>
    <row r="4" spans="2:37" ht="12.75">
      <c r="B4" s="10" t="s">
        <v>47</v>
      </c>
      <c r="C4" s="10" t="s">
        <v>48</v>
      </c>
      <c r="D4" s="10" t="s">
        <v>49</v>
      </c>
      <c r="E4" s="10" t="s">
        <v>47</v>
      </c>
      <c r="F4" s="10" t="s">
        <v>48</v>
      </c>
      <c r="G4" s="10" t="s">
        <v>49</v>
      </c>
      <c r="H4" s="10" t="s">
        <v>47</v>
      </c>
      <c r="I4" s="10" t="s">
        <v>48</v>
      </c>
      <c r="J4" s="10" t="s">
        <v>49</v>
      </c>
      <c r="K4" s="10" t="s">
        <v>47</v>
      </c>
      <c r="L4" s="10" t="s">
        <v>48</v>
      </c>
      <c r="M4" s="10" t="s">
        <v>49</v>
      </c>
      <c r="N4" s="10" t="s">
        <v>47</v>
      </c>
      <c r="O4" s="10" t="s">
        <v>48</v>
      </c>
      <c r="P4" s="10" t="s">
        <v>49</v>
      </c>
      <c r="Q4" s="10" t="s">
        <v>47</v>
      </c>
      <c r="R4" s="10" t="s">
        <v>48</v>
      </c>
      <c r="S4" s="10" t="s">
        <v>49</v>
      </c>
      <c r="T4" s="10" t="s">
        <v>47</v>
      </c>
      <c r="U4" s="10" t="s">
        <v>48</v>
      </c>
      <c r="V4" s="10" t="s">
        <v>49</v>
      </c>
      <c r="W4" s="10" t="s">
        <v>47</v>
      </c>
      <c r="X4" s="10" t="s">
        <v>48</v>
      </c>
      <c r="Y4" s="10" t="s">
        <v>49</v>
      </c>
      <c r="Z4" s="10" t="s">
        <v>48</v>
      </c>
      <c r="AA4" s="10" t="s">
        <v>49</v>
      </c>
      <c r="AB4" s="10" t="s">
        <v>47</v>
      </c>
      <c r="AC4" s="10" t="s">
        <v>48</v>
      </c>
      <c r="AD4" s="10" t="s">
        <v>49</v>
      </c>
      <c r="AE4" s="10" t="s">
        <v>47</v>
      </c>
      <c r="AF4" s="10" t="s">
        <v>48</v>
      </c>
      <c r="AG4" s="10" t="s">
        <v>49</v>
      </c>
      <c r="AH4" s="10" t="s">
        <v>47</v>
      </c>
      <c r="AI4" s="10" t="s">
        <v>48</v>
      </c>
      <c r="AJ4" s="10" t="s">
        <v>49</v>
      </c>
      <c r="AK4" s="10" t="s">
        <v>47</v>
      </c>
    </row>
    <row r="5" spans="1:37" ht="12.75">
      <c r="A5" s="10" t="s">
        <v>50</v>
      </c>
      <c r="B5" s="1">
        <v>31900</v>
      </c>
      <c r="C5" s="1">
        <v>21700</v>
      </c>
      <c r="D5" s="1">
        <v>35200</v>
      </c>
      <c r="E5" s="1">
        <v>32400</v>
      </c>
      <c r="F5" s="1">
        <v>21800</v>
      </c>
      <c r="G5" s="1">
        <v>38300</v>
      </c>
      <c r="H5" s="1">
        <v>39500</v>
      </c>
      <c r="I5" s="1">
        <v>24800</v>
      </c>
      <c r="J5" s="1">
        <v>42300</v>
      </c>
      <c r="K5" s="1">
        <v>40600</v>
      </c>
      <c r="L5" s="1">
        <v>24200</v>
      </c>
      <c r="M5" s="1">
        <v>44300</v>
      </c>
      <c r="N5" s="1">
        <v>43500</v>
      </c>
      <c r="O5" s="1">
        <v>26200</v>
      </c>
      <c r="P5" s="1">
        <v>48600</v>
      </c>
      <c r="Q5" s="1">
        <v>46300</v>
      </c>
      <c r="R5" s="1">
        <v>30200</v>
      </c>
      <c r="S5" s="1">
        <v>49100</v>
      </c>
      <c r="T5" s="11">
        <v>48200</v>
      </c>
      <c r="U5" t="s">
        <v>51</v>
      </c>
      <c r="V5" s="11">
        <v>53200</v>
      </c>
      <c r="W5" s="1">
        <v>51900</v>
      </c>
      <c r="X5" s="1">
        <v>34100</v>
      </c>
      <c r="Y5" s="1">
        <v>55000</v>
      </c>
      <c r="Z5">
        <v>32700</v>
      </c>
      <c r="AA5">
        <v>57800</v>
      </c>
      <c r="AB5" s="1">
        <v>56000</v>
      </c>
      <c r="AC5" s="1"/>
      <c r="AF5">
        <v>34900</v>
      </c>
      <c r="AG5">
        <v>55100</v>
      </c>
      <c r="AH5">
        <v>50600</v>
      </c>
      <c r="AI5">
        <v>35900</v>
      </c>
      <c r="AJ5">
        <v>57600</v>
      </c>
      <c r="AK5">
        <v>51600</v>
      </c>
    </row>
    <row r="6" spans="1:37" ht="12.75">
      <c r="A6" s="10" t="s">
        <v>52</v>
      </c>
      <c r="B6" s="1">
        <v>33300</v>
      </c>
      <c r="C6" s="1">
        <v>22700</v>
      </c>
      <c r="D6" s="1">
        <v>39200</v>
      </c>
      <c r="E6" s="1">
        <v>35200</v>
      </c>
      <c r="F6" t="s">
        <v>51</v>
      </c>
      <c r="G6" t="s">
        <v>53</v>
      </c>
      <c r="H6" s="1">
        <v>35400</v>
      </c>
      <c r="I6" s="1">
        <v>24800</v>
      </c>
      <c r="J6" s="1">
        <v>44200</v>
      </c>
      <c r="K6" s="1">
        <v>37400</v>
      </c>
      <c r="L6" s="1">
        <v>29400</v>
      </c>
      <c r="M6" s="1">
        <v>44400</v>
      </c>
      <c r="N6" s="1">
        <v>43700</v>
      </c>
      <c r="O6" s="1">
        <v>34100</v>
      </c>
      <c r="P6" s="1">
        <v>50200</v>
      </c>
      <c r="Q6" s="1">
        <v>46300</v>
      </c>
      <c r="R6" s="1">
        <v>34800</v>
      </c>
      <c r="S6" s="1">
        <v>52200</v>
      </c>
      <c r="T6" s="11">
        <v>48800</v>
      </c>
      <c r="U6" t="s">
        <v>51</v>
      </c>
      <c r="V6" s="11">
        <v>55000</v>
      </c>
      <c r="W6" s="1">
        <v>53600</v>
      </c>
      <c r="X6" s="1">
        <v>38100</v>
      </c>
      <c r="Y6" s="1">
        <v>59600</v>
      </c>
      <c r="Z6">
        <v>34600</v>
      </c>
      <c r="AA6">
        <v>57900</v>
      </c>
      <c r="AB6" s="1">
        <v>50300</v>
      </c>
      <c r="AC6" s="1"/>
      <c r="AF6">
        <v>36200</v>
      </c>
      <c r="AG6">
        <v>52600</v>
      </c>
      <c r="AH6">
        <v>47200</v>
      </c>
      <c r="AI6">
        <v>32000</v>
      </c>
      <c r="AJ6">
        <v>55200</v>
      </c>
      <c r="AK6">
        <v>48900</v>
      </c>
    </row>
    <row r="7" spans="1:37" ht="12.75">
      <c r="A7" s="10" t="s">
        <v>54</v>
      </c>
      <c r="B7" s="1">
        <v>36300</v>
      </c>
      <c r="C7" s="1">
        <v>20900</v>
      </c>
      <c r="D7" s="1">
        <v>37600</v>
      </c>
      <c r="E7" s="1">
        <v>37100</v>
      </c>
      <c r="F7" s="1">
        <v>23500</v>
      </c>
      <c r="G7" s="1">
        <v>39100</v>
      </c>
      <c r="H7" s="1">
        <v>39300</v>
      </c>
      <c r="I7" s="1">
        <v>23300</v>
      </c>
      <c r="J7" s="1">
        <v>41400</v>
      </c>
      <c r="K7" s="1">
        <v>42600</v>
      </c>
      <c r="L7" s="1">
        <v>22700</v>
      </c>
      <c r="M7" s="1">
        <v>43300</v>
      </c>
      <c r="N7" s="1">
        <v>47000</v>
      </c>
      <c r="O7" s="1">
        <v>24800</v>
      </c>
      <c r="P7" s="1">
        <v>45900</v>
      </c>
      <c r="Q7" s="1">
        <v>51400</v>
      </c>
      <c r="R7" s="1">
        <v>29600</v>
      </c>
      <c r="S7" s="1">
        <v>48400</v>
      </c>
      <c r="T7" s="11">
        <v>50700</v>
      </c>
      <c r="U7" t="s">
        <v>51</v>
      </c>
      <c r="V7" s="11">
        <v>49500</v>
      </c>
      <c r="W7" s="1">
        <v>56100</v>
      </c>
      <c r="X7" s="1">
        <v>31200</v>
      </c>
      <c r="Y7" s="1">
        <v>52400</v>
      </c>
      <c r="Z7">
        <v>33800</v>
      </c>
      <c r="AA7">
        <v>58700</v>
      </c>
      <c r="AB7" s="1">
        <v>59200</v>
      </c>
      <c r="AC7" s="1"/>
      <c r="AF7">
        <v>24000</v>
      </c>
      <c r="AG7">
        <v>54400</v>
      </c>
      <c r="AH7">
        <v>53600</v>
      </c>
      <c r="AK7">
        <v>60900</v>
      </c>
    </row>
    <row r="8" spans="1:37" ht="12.75">
      <c r="A8" s="10" t="s">
        <v>55</v>
      </c>
      <c r="B8" s="1">
        <v>38400</v>
      </c>
      <c r="C8" s="1">
        <v>20300</v>
      </c>
      <c r="D8" s="1">
        <v>40000</v>
      </c>
      <c r="E8" s="1">
        <v>39500</v>
      </c>
      <c r="F8" s="1">
        <v>22700</v>
      </c>
      <c r="G8" s="1">
        <v>41100</v>
      </c>
      <c r="H8" s="1">
        <v>41800</v>
      </c>
      <c r="I8" s="1">
        <v>23100</v>
      </c>
      <c r="J8" s="1">
        <v>43200</v>
      </c>
      <c r="K8" s="1">
        <v>44400</v>
      </c>
      <c r="L8" s="1">
        <v>26100</v>
      </c>
      <c r="M8" s="1">
        <v>44900</v>
      </c>
      <c r="N8" s="1">
        <v>48700</v>
      </c>
      <c r="O8" s="1">
        <v>26200</v>
      </c>
      <c r="P8" s="1">
        <v>48300</v>
      </c>
      <c r="Q8" s="1">
        <v>51600</v>
      </c>
      <c r="R8" s="1">
        <v>30600</v>
      </c>
      <c r="S8" s="1">
        <v>50600</v>
      </c>
      <c r="T8" s="11">
        <v>51400</v>
      </c>
      <c r="U8" t="s">
        <v>51</v>
      </c>
      <c r="V8" s="11">
        <v>49600</v>
      </c>
      <c r="W8" s="1">
        <v>57800</v>
      </c>
      <c r="X8" s="1">
        <v>31200</v>
      </c>
      <c r="Y8" s="1">
        <v>55900</v>
      </c>
      <c r="Z8">
        <v>32400</v>
      </c>
      <c r="AA8">
        <v>59600</v>
      </c>
      <c r="AB8" s="1">
        <v>59200</v>
      </c>
      <c r="AC8" s="1"/>
      <c r="AF8">
        <v>31600</v>
      </c>
      <c r="AG8">
        <v>55200</v>
      </c>
      <c r="AH8">
        <v>55400</v>
      </c>
      <c r="AK8">
        <v>61400</v>
      </c>
    </row>
    <row r="11" ht="12.75">
      <c r="A11" t="s">
        <v>56</v>
      </c>
    </row>
    <row r="12" ht="12.75">
      <c r="A12" t="s">
        <v>57</v>
      </c>
    </row>
    <row r="13" ht="12.75">
      <c r="R13" s="45"/>
    </row>
    <row r="14" ht="12.75">
      <c r="R14" s="45"/>
    </row>
    <row r="15" spans="1:18" ht="12.75">
      <c r="A15" s="9" t="s">
        <v>58</v>
      </c>
      <c r="R15" s="45"/>
    </row>
    <row r="16" spans="2:18" ht="12.75">
      <c r="B16" s="9">
        <v>1990</v>
      </c>
      <c r="C16" s="9">
        <v>1991</v>
      </c>
      <c r="D16" s="9">
        <v>1992</v>
      </c>
      <c r="E16" s="9">
        <v>1993</v>
      </c>
      <c r="F16" s="9">
        <v>1994</v>
      </c>
      <c r="G16" s="9">
        <v>1995</v>
      </c>
      <c r="H16" s="9">
        <v>1996</v>
      </c>
      <c r="I16" s="9">
        <v>1997</v>
      </c>
      <c r="J16" s="9">
        <v>1998</v>
      </c>
      <c r="K16" s="9">
        <v>1999</v>
      </c>
      <c r="L16" s="9">
        <v>2000</v>
      </c>
      <c r="M16" s="9">
        <v>2001</v>
      </c>
      <c r="R16" s="45"/>
    </row>
    <row r="17" spans="2:30" s="15" customFormat="1" ht="12.75">
      <c r="B17" s="25">
        <f>B5*'MHSHIPMNTS &amp; SF &amp; MF Starts'!I15</f>
        <v>2202.778947368421</v>
      </c>
      <c r="C17" s="25">
        <f>E5*'MHSHIPMNTS &amp; SF &amp; MF Starts'!I16</f>
        <v>2986.33939906898</v>
      </c>
      <c r="D17" s="25">
        <f>H5*'MHSHIPMNTS &amp; SF &amp; MF Starts'!I17</f>
        <v>4860.127684271619</v>
      </c>
      <c r="E17" s="25">
        <f>K5*'MHSHIPMNTS &amp; SF &amp; MF Starts'!I18</f>
        <v>6434.411177644711</v>
      </c>
      <c r="F17" s="25">
        <f>N5*'MHSHIPMNTS &amp; SF &amp; MF Starts'!I19</f>
        <v>7872.07488299532</v>
      </c>
      <c r="G17" s="25">
        <f>Q5*'MHSHIPMNTS &amp; SF &amp; MF Starts'!I20</f>
        <v>7465.612748841708</v>
      </c>
      <c r="H17" s="25">
        <f>T5*'MHSHIPMNTS &amp; SF &amp; MF Starts'!I21</f>
        <v>7416.467153284671</v>
      </c>
      <c r="I17" s="25">
        <f>W5*'MHSHIPMNTS &amp; SF &amp; MF Starts'!I22</f>
        <v>7901.54326339518</v>
      </c>
      <c r="J17" s="25">
        <f>AB5*'MHSHIPMNTS &amp; SF &amp; MF Starts'!$I23</f>
        <v>9273.171815959102</v>
      </c>
      <c r="K17" s="25">
        <f>AE5*'MHSHIPMNTS &amp; SF &amp; MF Starts'!$I24</f>
        <v>0</v>
      </c>
      <c r="L17" s="25">
        <f>AH5*'MHSHIPMNTS &amp; SF &amp; MF Starts'!$I25</f>
        <v>6967.816813048934</v>
      </c>
      <c r="M17" s="25">
        <f>AK5*'MHSHIPMNTS &amp; SF &amp; MF Starts'!$I23</f>
        <v>8544.565458990888</v>
      </c>
      <c r="R17" s="45"/>
      <c r="S17"/>
      <c r="T17"/>
      <c r="U17"/>
      <c r="V17"/>
      <c r="W17"/>
      <c r="X17"/>
      <c r="Y17"/>
      <c r="Z17"/>
      <c r="AA17"/>
      <c r="AB17"/>
      <c r="AC17"/>
      <c r="AD17"/>
    </row>
    <row r="18" spans="2:30" s="15" customFormat="1" ht="12.75">
      <c r="B18" s="25">
        <f>B6*'MHSHIPMNTS &amp; SF &amp; MF Starts'!J15</f>
        <v>1416.1263157894737</v>
      </c>
      <c r="C18" s="25">
        <f>E6*'MHSHIPMNTS &amp; SF &amp; MF Starts'!J16</f>
        <v>1945.459162082099</v>
      </c>
      <c r="D18" s="25">
        <f>H6*'MHSHIPMNTS &amp; SF &amp; MF Starts'!J17</f>
        <v>2622.1271038885666</v>
      </c>
      <c r="E18" s="25">
        <f>K6*'MHSHIPMNTS &amp; SF &amp; MF Starts'!J18</f>
        <v>3099.0704305674367</v>
      </c>
      <c r="F18" s="25">
        <f>N6*'MHSHIPMNTS &amp; SF &amp; MF Starts'!J19</f>
        <v>3986.0910686427455</v>
      </c>
      <c r="G18" s="25">
        <f>Q6*'MHSHIPMNTS &amp; SF &amp; MF Starts'!J20</f>
        <v>4177.160022402118</v>
      </c>
      <c r="H18" s="25">
        <f>T6*'MHSHIPMNTS &amp; SF &amp; MF Starts'!J21</f>
        <v>4984.011678832117</v>
      </c>
      <c r="I18" s="25">
        <f>W6*'MHSHIPMNTS &amp; SF &amp; MF Starts'!J22</f>
        <v>5207.883937344663</v>
      </c>
      <c r="J18" s="25">
        <f>AB6*'MHSHIPMNTS &amp; SF &amp; MF Starts'!$J23</f>
        <v>5363.730829073128</v>
      </c>
      <c r="K18" s="25">
        <f>AE6*'MHSHIPMNTS &amp; SF &amp; MF Starts'!$J24</f>
        <v>0</v>
      </c>
      <c r="L18" s="25">
        <f>AH6*'MHSHIPMNTS &amp; SF &amp; MF Starts'!$J25</f>
        <v>5897.532413216228</v>
      </c>
      <c r="M18" s="25">
        <f>AK6*'MHSHIPMNTS &amp; SF &amp; MF Starts'!$J23</f>
        <v>5214.442098244054</v>
      </c>
      <c r="R18" s="45"/>
      <c r="S18"/>
      <c r="T18"/>
      <c r="U18"/>
      <c r="V18"/>
      <c r="W18"/>
      <c r="X18"/>
      <c r="Y18"/>
      <c r="Z18"/>
      <c r="AA18"/>
      <c r="AB18"/>
      <c r="AC18"/>
      <c r="AD18"/>
    </row>
    <row r="19" spans="2:30" s="15" customFormat="1" ht="12.75">
      <c r="B19" s="25">
        <f>B7*'MHSHIPMNTS &amp; SF &amp; MF Starts'!K15</f>
        <v>14993.81052631579</v>
      </c>
      <c r="C19" s="25">
        <f>E7*'MHSHIPMNTS &amp; SF &amp; MF Starts'!K16</f>
        <v>14821.159542953872</v>
      </c>
      <c r="D19" s="25">
        <f>H7*'MHSHIPMNTS &amp; SF &amp; MF Starts'!K17</f>
        <v>14549.325304701102</v>
      </c>
      <c r="E19" s="25">
        <f>'MH Retail Price &amp; Shipments'!K7*'MHSHIPMNTS &amp; SF &amp; MF Starts'!K18</f>
        <v>15679.520958083833</v>
      </c>
      <c r="F19" s="25">
        <f>N7*'MHSHIPMNTS &amp; SF &amp; MF Starts'!K19</f>
        <v>17407.32254290172</v>
      </c>
      <c r="G19" s="25">
        <f>Q7*'MHSHIPMNTS &amp; SF &amp; MF Starts'!K20</f>
        <v>19496.461483631178</v>
      </c>
      <c r="H19" s="25">
        <f>T7*'MHSHIPMNTS &amp; SF &amp; MF Starts'!K21</f>
        <v>19196.426277372262</v>
      </c>
      <c r="I19" s="25">
        <f>W7*'MHSHIPMNTS &amp; SF &amp; MF Starts'!K22</f>
        <v>21294.069706953356</v>
      </c>
      <c r="J19" s="25">
        <f>AB7*'MHSHIPMNTS &amp; SF &amp; MF Starts'!$K23</f>
        <v>20471.30473438542</v>
      </c>
      <c r="K19" s="25">
        <f>AE7*'MHSHIPMNTS &amp; SF &amp; MF Starts'!$K24</f>
        <v>0</v>
      </c>
      <c r="L19" s="25">
        <f>AH7*'MHSHIPMNTS &amp; SF &amp; MF Starts'!$K25</f>
        <v>17928.31451275617</v>
      </c>
      <c r="M19" s="25">
        <f>AK7*'MHSHIPMNTS &amp; SF &amp; MF Starts'!$K23</f>
        <v>21059.163147366082</v>
      </c>
      <c r="R19" s="45"/>
      <c r="S19"/>
      <c r="T19"/>
      <c r="U19"/>
      <c r="V19"/>
      <c r="W19"/>
      <c r="X19"/>
      <c r="Y19"/>
      <c r="Z19"/>
      <c r="AA19"/>
      <c r="AB19"/>
      <c r="AC19"/>
      <c r="AD19"/>
    </row>
    <row r="20" spans="2:13" s="15" customFormat="1" ht="12.75">
      <c r="B20" s="25">
        <f>B8*'MHSHIPMNTS &amp; SF &amp; MF Starts'!L15</f>
        <v>18254.14736842105</v>
      </c>
      <c r="C20" s="25">
        <f>E8*'MHSHIPMNTS &amp; SF &amp; MF Starts'!L16</f>
        <v>17896.1912822683</v>
      </c>
      <c r="D20" s="25">
        <f>'MH Retail Price &amp; Shipments'!H8*'MHSHIPMNTS &amp; SF &amp; MF Starts'!L17</f>
        <v>18085.838653511317</v>
      </c>
      <c r="E20" s="25">
        <f>K8*'MHSHIPMNTS &amp; SF &amp; MF Starts'!L18</f>
        <v>17342.207014542346</v>
      </c>
      <c r="F20" s="25">
        <f>N8*'MHSHIPMNTS &amp; SF &amp; MF Starts'!L19</f>
        <v>17407.78081123245</v>
      </c>
      <c r="G20" s="25">
        <f>Q8*'MHSHIPMNTS &amp; SF &amp; MF Starts'!L20</f>
        <v>19052.146021078355</v>
      </c>
      <c r="H20" s="25">
        <f>T8*'MHSHIPMNTS &amp; SF &amp; MF Starts'!L21</f>
        <v>18780.134306569344</v>
      </c>
      <c r="I20" s="25">
        <f>W8*'MHSHIPMNTS &amp; SF &amp; MF Starts'!L22</f>
        <v>21444.899138778106</v>
      </c>
      <c r="J20" s="25">
        <f>AB8*'MHSHIPMNTS &amp; SF &amp; MF Starts'!$L23</f>
        <v>22612.847299399866</v>
      </c>
      <c r="K20" s="25">
        <f>AE8*'MHSHIPMNTS &amp; SF &amp; MF Starts'!$L24</f>
        <v>0</v>
      </c>
      <c r="L20" s="25">
        <f>AH8*'MHSHIPMNTS &amp; SF &amp; MF Starts'!$L25</f>
        <v>22318.71601840234</v>
      </c>
      <c r="M20" s="25">
        <f>AK8*'MHSHIPMNTS &amp; SF &amp; MF Starts'!$L23</f>
        <v>23453.189597688375</v>
      </c>
    </row>
    <row r="21" spans="2:13" ht="12.75">
      <c r="B21" s="16">
        <f>SUM(B17:B20)</f>
        <v>36866.86315789474</v>
      </c>
      <c r="C21" s="16">
        <f aca="true" t="shared" si="0" ref="C21:J21">SUM(C17:C20)</f>
        <v>37649.149386373254</v>
      </c>
      <c r="D21" s="16">
        <f t="shared" si="0"/>
        <v>40117.418746372605</v>
      </c>
      <c r="E21" s="16">
        <f t="shared" si="0"/>
        <v>42555.20958083833</v>
      </c>
      <c r="F21" s="16">
        <f t="shared" si="0"/>
        <v>46673.269305772235</v>
      </c>
      <c r="G21" s="16">
        <f t="shared" si="0"/>
        <v>50191.38027595336</v>
      </c>
      <c r="H21" s="16">
        <f t="shared" si="0"/>
        <v>50377.0394160584</v>
      </c>
      <c r="I21" s="16">
        <f t="shared" si="0"/>
        <v>55848.39604647131</v>
      </c>
      <c r="J21" s="16">
        <f t="shared" si="0"/>
        <v>57721.05467881752</v>
      </c>
      <c r="K21" s="16">
        <f>SUM(K17:K20)</f>
        <v>0</v>
      </c>
      <c r="L21" s="16">
        <f>SUM(L17:L20)</f>
        <v>53112.37975742367</v>
      </c>
      <c r="M21" s="16">
        <f>SUM(M17:M20)</f>
        <v>58271.3603022894</v>
      </c>
    </row>
    <row r="22" spans="2:8" ht="12.75">
      <c r="B22" s="16"/>
      <c r="C22" s="16"/>
      <c r="D22" s="16"/>
      <c r="E22" s="16"/>
      <c r="F22" s="16"/>
      <c r="G22" s="16"/>
      <c r="H22" s="16"/>
    </row>
    <row r="23" ht="12.75">
      <c r="A23" s="9" t="s">
        <v>59</v>
      </c>
    </row>
    <row r="24" spans="1:13" ht="12.75">
      <c r="A24" t="s">
        <v>60</v>
      </c>
      <c r="C24" s="17">
        <f aca="true" t="shared" si="1" ref="C24:J24">C21-B21</f>
        <v>782.2862284785151</v>
      </c>
      <c r="D24" s="17">
        <f t="shared" si="1"/>
        <v>2468.269359999351</v>
      </c>
      <c r="E24" s="17">
        <f t="shared" si="1"/>
        <v>2437.790834465726</v>
      </c>
      <c r="F24" s="17">
        <f t="shared" si="1"/>
        <v>4118.059724933904</v>
      </c>
      <c r="G24" s="17">
        <f t="shared" si="1"/>
        <v>3518.110970181122</v>
      </c>
      <c r="H24" s="17">
        <f t="shared" si="1"/>
        <v>185.6591401050391</v>
      </c>
      <c r="I24" s="17">
        <f t="shared" si="1"/>
        <v>5471.356630412913</v>
      </c>
      <c r="J24" s="17">
        <f t="shared" si="1"/>
        <v>1872.6586323462107</v>
      </c>
      <c r="K24" s="17">
        <f>K21-J21</f>
        <v>-57721.05467881752</v>
      </c>
      <c r="L24" s="17">
        <f>L21-K21</f>
        <v>53112.37975742367</v>
      </c>
      <c r="M24" s="17">
        <f>M21-L21</f>
        <v>5158.980544865735</v>
      </c>
    </row>
    <row r="25" spans="1:13" ht="12.75">
      <c r="A25" t="s">
        <v>61</v>
      </c>
      <c r="C25" s="2">
        <f aca="true" t="shared" si="2" ref="C25:J25">C24/B21</f>
        <v>0.021219224025871453</v>
      </c>
      <c r="D25" s="2">
        <f t="shared" si="2"/>
        <v>0.06555976430353874</v>
      </c>
      <c r="E25" s="2">
        <f t="shared" si="2"/>
        <v>0.0607663930193951</v>
      </c>
      <c r="F25" s="2">
        <f t="shared" si="2"/>
        <v>0.09676981421302118</v>
      </c>
      <c r="G25" s="2">
        <f t="shared" si="2"/>
        <v>0.07537742743352298</v>
      </c>
      <c r="H25" s="2">
        <f t="shared" si="2"/>
        <v>0.003699024395907841</v>
      </c>
      <c r="I25" s="2">
        <f t="shared" si="2"/>
        <v>0.10860814160247853</v>
      </c>
      <c r="J25" s="2">
        <f t="shared" si="2"/>
        <v>0.03353110858882995</v>
      </c>
      <c r="K25" s="2">
        <f>K24/J21</f>
        <v>-1</v>
      </c>
      <c r="L25" s="2" t="e">
        <f>L24/K21</f>
        <v>#DIV/0!</v>
      </c>
      <c r="M25" s="2">
        <f>M24/L21</f>
        <v>0.09713329676485924</v>
      </c>
    </row>
    <row r="26" spans="3:8" ht="12.75">
      <c r="C26" s="2"/>
      <c r="D26" s="2"/>
      <c r="E26" s="2"/>
      <c r="F26" s="2"/>
      <c r="G26" s="2"/>
      <c r="H26" s="2"/>
    </row>
    <row r="27" spans="1:13" ht="12.75">
      <c r="A27" s="9" t="s">
        <v>62</v>
      </c>
      <c r="C27" s="9">
        <f>C16</f>
        <v>1991</v>
      </c>
      <c r="D27" s="9">
        <f aca="true" t="shared" si="3" ref="D27:M27">D16</f>
        <v>1992</v>
      </c>
      <c r="E27" s="9">
        <f t="shared" si="3"/>
        <v>1993</v>
      </c>
      <c r="F27" s="9">
        <f t="shared" si="3"/>
        <v>1994</v>
      </c>
      <c r="G27" s="9">
        <f t="shared" si="3"/>
        <v>1995</v>
      </c>
      <c r="H27" s="9">
        <f t="shared" si="3"/>
        <v>1996</v>
      </c>
      <c r="I27" s="9">
        <f t="shared" si="3"/>
        <v>1997</v>
      </c>
      <c r="J27" s="9">
        <f t="shared" si="3"/>
        <v>1998</v>
      </c>
      <c r="K27" s="9">
        <f t="shared" si="3"/>
        <v>1999</v>
      </c>
      <c r="L27" s="9">
        <f t="shared" si="3"/>
        <v>2000</v>
      </c>
      <c r="M27" s="9">
        <f t="shared" si="3"/>
        <v>2001</v>
      </c>
    </row>
    <row r="28" spans="1:14" ht="12.75">
      <c r="A28" t="s">
        <v>63</v>
      </c>
      <c r="C28" s="1">
        <f>'MHSHIPMNTS &amp; SF &amp; MF Starts'!F16-'MHSHIPMNTS &amp; SF &amp; MF Starts'!F15</f>
        <v>-60</v>
      </c>
      <c r="D28" s="1">
        <f>'MHSHIPMNTS &amp; SF &amp; MF Starts'!F17-'MHSHIPMNTS &amp; SF &amp; MF Starts'!F16</f>
        <v>1969</v>
      </c>
      <c r="E28" s="1">
        <f>'MHSHIPMNTS &amp; SF &amp; MF Starts'!F18-'MHSHIPMNTS &amp; SF &amp; MF Starts'!F17</f>
        <v>3751</v>
      </c>
      <c r="F28" s="1">
        <f>'MHSHIPMNTS &amp; SF &amp; MF Starts'!F19-'MHSHIPMNTS &amp; SF &amp; MF Starts'!F18</f>
        <v>2977</v>
      </c>
      <c r="G28" s="1">
        <f>'MHSHIPMNTS &amp; SF &amp; MF Starts'!F20-'MHSHIPMNTS &amp; SF &amp; MF Starts'!F19</f>
        <v>-871</v>
      </c>
      <c r="H28" s="1">
        <f>'MHSHIPMNTS &amp; SF &amp; MF Starts'!F21-'MHSHIPMNTS &amp; SF &amp; MF Starts'!F20</f>
        <v>-2516</v>
      </c>
      <c r="I28" s="1">
        <f>'MHSHIPMNTS &amp; SF &amp; MF Starts'!F22-'MHSHIPMNTS &amp; SF &amp; MF Starts'!F21</f>
        <v>176</v>
      </c>
      <c r="J28" s="1">
        <f>'MHSHIPMNTS &amp; SF &amp; MF Starts'!F23-'MHSHIPMNTS &amp; SF &amp; MF Starts'!F22</f>
        <v>695</v>
      </c>
      <c r="K28" s="1">
        <f>'MHSHIPMNTS &amp; SF &amp; MF Starts'!G23-'MHSHIPMNTS &amp; SF &amp; MF Starts'!G22</f>
        <v>0</v>
      </c>
      <c r="L28" s="1">
        <f>'MHSHIPMNTS &amp; SF &amp; MF Starts'!H23-'MHSHIPMNTS &amp; SF &amp; MF Starts'!H22</f>
        <v>1</v>
      </c>
      <c r="M28" s="1">
        <f>'MHSHIPMNTS &amp; SF &amp; MF Starts'!I23-'MHSHIPMNTS &amp; SF &amp; MF Starts'!I22</f>
        <v>0.013346818916235681</v>
      </c>
      <c r="N28" s="1"/>
    </row>
    <row r="29" spans="1:10" ht="12.75">
      <c r="A29" t="s">
        <v>61</v>
      </c>
      <c r="C29" s="2">
        <f>C28/'MHSHIPMNTS &amp; SF &amp; MF Starts'!F15</f>
        <v>-0.0050526315789473685</v>
      </c>
      <c r="D29" s="2">
        <f>D28/'MHSHIPMNTS &amp; SF &amp; MF Starts'!F16</f>
        <v>0.1666525603046974</v>
      </c>
      <c r="E29" s="2">
        <f>E28/'MHSHIPMNTS &amp; SF &amp; MF Starts'!F17</f>
        <v>0.2721271038885665</v>
      </c>
      <c r="F29" s="2">
        <f>F28/'MHSHIPMNTS &amp; SF &amp; MF Starts'!F18</f>
        <v>0.16977473624180212</v>
      </c>
      <c r="G29" s="2">
        <f>G28/'MHSHIPMNTS &amp; SF &amp; MF Starts'!F19</f>
        <v>-0.04246294851794072</v>
      </c>
      <c r="H29" s="2">
        <f>H28/'MHSHIPMNTS &amp; SF &amp; MF Starts'!F20</f>
        <v>-0.1280993839417545</v>
      </c>
      <c r="I29" s="2">
        <f>I28/'MHSHIPMNTS &amp; SF &amp; MF Starts'!F21</f>
        <v>0.010277372262773723</v>
      </c>
      <c r="J29" s="2">
        <f>J28/'MHSHIPMNTS &amp; SF &amp; MF Starts'!F22</f>
        <v>0.04017108837639443</v>
      </c>
    </row>
  </sheetData>
  <mergeCells count="12">
    <mergeCell ref="K3:M3"/>
    <mergeCell ref="H3:J3"/>
    <mergeCell ref="E3:G3"/>
    <mergeCell ref="B3:D3"/>
    <mergeCell ref="W3:Y3"/>
    <mergeCell ref="T3:V3"/>
    <mergeCell ref="Q3:S3"/>
    <mergeCell ref="N3:P3"/>
    <mergeCell ref="AC3:AE3"/>
    <mergeCell ref="AF3:AH3"/>
    <mergeCell ref="AI3:AK3"/>
    <mergeCell ref="Z3:AB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V41"/>
  <sheetViews>
    <sheetView workbookViewId="0" topLeftCell="A17">
      <selection activeCell="F34" sqref="F34"/>
    </sheetView>
  </sheetViews>
  <sheetFormatPr defaultColWidth="9.140625" defaultRowHeight="12.75"/>
  <cols>
    <col min="1" max="1" width="18.57421875" style="0" customWidth="1"/>
    <col min="2" max="2" width="10.421875" style="0" customWidth="1"/>
    <col min="3" max="3" width="11.57421875" style="0" customWidth="1"/>
    <col min="4" max="4" width="13.140625" style="0" customWidth="1"/>
    <col min="5" max="6" width="10.421875" style="0" customWidth="1"/>
    <col min="7" max="10" width="9.421875" style="0" customWidth="1"/>
    <col min="11" max="16" width="10.421875" style="0" customWidth="1"/>
    <col min="17" max="17" width="13.8515625" style="0" customWidth="1"/>
  </cols>
  <sheetData>
    <row r="1" ht="12.75">
      <c r="A1" s="9" t="s">
        <v>121</v>
      </c>
    </row>
    <row r="3" spans="1:22" ht="12.75">
      <c r="A3" s="50" t="s">
        <v>67</v>
      </c>
      <c r="B3" s="50">
        <v>1981</v>
      </c>
      <c r="C3" s="50">
        <v>1982</v>
      </c>
      <c r="D3" s="50">
        <v>1983</v>
      </c>
      <c r="E3" s="50">
        <v>1984</v>
      </c>
      <c r="F3" s="50">
        <v>1985</v>
      </c>
      <c r="G3" s="50">
        <v>1986</v>
      </c>
      <c r="H3" s="50">
        <v>1987</v>
      </c>
      <c r="I3" s="50">
        <v>1988</v>
      </c>
      <c r="J3" s="50">
        <v>1989</v>
      </c>
      <c r="K3" s="50">
        <v>1990</v>
      </c>
      <c r="L3" s="50">
        <v>1991</v>
      </c>
      <c r="M3" s="50">
        <v>1992</v>
      </c>
      <c r="N3" s="50">
        <v>1993</v>
      </c>
      <c r="O3" s="50">
        <v>1994</v>
      </c>
      <c r="P3" s="50">
        <v>1995</v>
      </c>
      <c r="Q3" s="50">
        <v>1996</v>
      </c>
      <c r="R3" s="50">
        <v>1997</v>
      </c>
      <c r="S3" s="50">
        <v>1998</v>
      </c>
      <c r="T3" s="50">
        <v>1999</v>
      </c>
      <c r="U3" s="50">
        <v>2000</v>
      </c>
      <c r="V3" s="50">
        <v>2001</v>
      </c>
    </row>
    <row r="4" spans="1:22" ht="12.75">
      <c r="A4" s="50" t="s">
        <v>68</v>
      </c>
      <c r="B4" s="51">
        <v>4668</v>
      </c>
      <c r="C4" s="51">
        <v>3263</v>
      </c>
      <c r="D4" s="51">
        <v>4913</v>
      </c>
      <c r="E4" s="51">
        <v>5033</v>
      </c>
      <c r="F4" s="51">
        <v>4147</v>
      </c>
      <c r="G4" s="51">
        <v>3206</v>
      </c>
      <c r="H4" s="51">
        <v>2547</v>
      </c>
      <c r="I4" s="51">
        <v>2722</v>
      </c>
      <c r="J4" s="51">
        <v>2962</v>
      </c>
      <c r="K4" s="51">
        <v>3281</v>
      </c>
      <c r="L4" s="51">
        <v>3260</v>
      </c>
      <c r="M4" s="51">
        <v>3898</v>
      </c>
      <c r="N4" s="51">
        <v>4950</v>
      </c>
      <c r="O4" s="51">
        <v>6022</v>
      </c>
      <c r="P4" s="51">
        <v>5186</v>
      </c>
      <c r="Q4" s="51">
        <v>4689</v>
      </c>
      <c r="R4" s="51">
        <v>4921</v>
      </c>
      <c r="S4" s="51">
        <v>5006</v>
      </c>
      <c r="T4" s="51">
        <v>4736</v>
      </c>
      <c r="U4" s="18">
        <v>2854</v>
      </c>
      <c r="V4" s="19">
        <v>1480</v>
      </c>
    </row>
    <row r="5" spans="1:22" ht="12.75">
      <c r="A5" s="50" t="s">
        <v>69</v>
      </c>
      <c r="B5" s="51">
        <v>7440</v>
      </c>
      <c r="C5" s="51">
        <v>5848</v>
      </c>
      <c r="D5" s="51">
        <v>7079</v>
      </c>
      <c r="E5" s="51">
        <v>6818</v>
      </c>
      <c r="F5" s="51">
        <v>5770</v>
      </c>
      <c r="G5" s="51">
        <v>5004</v>
      </c>
      <c r="H5" s="51">
        <v>5446</v>
      </c>
      <c r="I5" s="51">
        <v>6829</v>
      </c>
      <c r="J5" s="51">
        <v>7417</v>
      </c>
      <c r="K5" s="51">
        <v>8264</v>
      </c>
      <c r="L5" s="51">
        <v>7933</v>
      </c>
      <c r="M5" s="51">
        <v>8687</v>
      </c>
      <c r="N5" s="51">
        <v>10576</v>
      </c>
      <c r="O5" s="51">
        <v>12216</v>
      </c>
      <c r="P5" s="51">
        <v>12547</v>
      </c>
      <c r="Q5" s="51">
        <v>11653</v>
      </c>
      <c r="R5" s="51">
        <v>11721</v>
      </c>
      <c r="S5" s="51">
        <v>11700</v>
      </c>
      <c r="T5" s="51">
        <v>9979</v>
      </c>
      <c r="U5" s="18">
        <v>6890</v>
      </c>
      <c r="V5" s="19">
        <v>5474</v>
      </c>
    </row>
    <row r="6" spans="1:22" ht="12.75">
      <c r="A6" s="50" t="s">
        <v>70</v>
      </c>
      <c r="B6" s="51">
        <v>1762</v>
      </c>
      <c r="C6" s="51">
        <v>1256</v>
      </c>
      <c r="D6" s="51">
        <v>1571</v>
      </c>
      <c r="E6" s="51">
        <v>1314</v>
      </c>
      <c r="F6" s="51">
        <v>1508</v>
      </c>
      <c r="G6" s="51">
        <v>1482</v>
      </c>
      <c r="H6" s="51">
        <v>1311</v>
      </c>
      <c r="I6" s="51">
        <v>1285</v>
      </c>
      <c r="J6" s="51">
        <v>1375</v>
      </c>
      <c r="K6" s="51">
        <v>1814</v>
      </c>
      <c r="L6" s="51">
        <v>1685</v>
      </c>
      <c r="M6" s="51">
        <v>1907</v>
      </c>
      <c r="N6" s="51">
        <v>2146</v>
      </c>
      <c r="O6" s="51">
        <v>2439</v>
      </c>
      <c r="P6" s="51">
        <v>2329</v>
      </c>
      <c r="Q6" s="51">
        <v>1877</v>
      </c>
      <c r="R6" s="51">
        <v>2104</v>
      </c>
      <c r="S6" s="51">
        <v>2089</v>
      </c>
      <c r="T6" s="51">
        <v>1131</v>
      </c>
      <c r="U6" s="18">
        <v>628</v>
      </c>
      <c r="V6" s="19">
        <v>483</v>
      </c>
    </row>
    <row r="7" spans="1:22" ht="12.75">
      <c r="A7" s="50" t="s">
        <v>71</v>
      </c>
      <c r="B7" s="51">
        <f>SUM(B4:B6)</f>
        <v>13870</v>
      </c>
      <c r="C7" s="51">
        <f aca="true" t="shared" si="0" ref="C7:Q7">SUM(C4:C6)</f>
        <v>10367</v>
      </c>
      <c r="D7" s="51">
        <f t="shared" si="0"/>
        <v>13563</v>
      </c>
      <c r="E7" s="51">
        <f t="shared" si="0"/>
        <v>13165</v>
      </c>
      <c r="F7" s="51">
        <f t="shared" si="0"/>
        <v>11425</v>
      </c>
      <c r="G7" s="51">
        <f t="shared" si="0"/>
        <v>9692</v>
      </c>
      <c r="H7" s="51">
        <f t="shared" si="0"/>
        <v>9304</v>
      </c>
      <c r="I7" s="51">
        <f t="shared" si="0"/>
        <v>10836</v>
      </c>
      <c r="J7" s="51">
        <f t="shared" si="0"/>
        <v>11754</v>
      </c>
      <c r="K7" s="51">
        <f t="shared" si="0"/>
        <v>13359</v>
      </c>
      <c r="L7" s="51">
        <f t="shared" si="0"/>
        <v>12878</v>
      </c>
      <c r="M7" s="51">
        <f t="shared" si="0"/>
        <v>14492</v>
      </c>
      <c r="N7" s="51">
        <f t="shared" si="0"/>
        <v>17672</v>
      </c>
      <c r="O7" s="51">
        <f t="shared" si="0"/>
        <v>20677</v>
      </c>
      <c r="P7" s="51">
        <f t="shared" si="0"/>
        <v>20062</v>
      </c>
      <c r="Q7" s="51">
        <f t="shared" si="0"/>
        <v>18219</v>
      </c>
      <c r="R7" s="51">
        <f>SUM(R4:R6)</f>
        <v>18746</v>
      </c>
      <c r="S7" s="51">
        <f>SUM(S4:S6)</f>
        <v>18795</v>
      </c>
      <c r="T7" s="51">
        <f>SUM(T4:T6)</f>
        <v>15846</v>
      </c>
      <c r="U7" s="51">
        <f>SUM(U4:U6)</f>
        <v>10372</v>
      </c>
      <c r="V7" s="19">
        <v>7437</v>
      </c>
    </row>
    <row r="9" ht="12.75">
      <c r="A9" s="9" t="s">
        <v>122</v>
      </c>
    </row>
    <row r="10" spans="1:22" ht="12.75">
      <c r="A10" s="50" t="s">
        <v>67</v>
      </c>
      <c r="B10" s="24">
        <v>1981</v>
      </c>
      <c r="C10" s="24">
        <v>1982</v>
      </c>
      <c r="D10" s="24">
        <v>1983</v>
      </c>
      <c r="E10" s="24">
        <v>1984</v>
      </c>
      <c r="F10" s="24">
        <v>1985</v>
      </c>
      <c r="G10" s="24">
        <v>1986</v>
      </c>
      <c r="H10" s="24">
        <v>1987</v>
      </c>
      <c r="I10" s="24">
        <v>1988</v>
      </c>
      <c r="J10" s="24">
        <v>1989</v>
      </c>
      <c r="K10" s="24">
        <v>1990</v>
      </c>
      <c r="L10" s="24">
        <v>1991</v>
      </c>
      <c r="M10" s="24">
        <v>1992</v>
      </c>
      <c r="N10" s="24">
        <v>1993</v>
      </c>
      <c r="O10" s="24">
        <v>1994</v>
      </c>
      <c r="P10" s="24">
        <v>1995</v>
      </c>
      <c r="Q10" s="24">
        <v>1996</v>
      </c>
      <c r="R10" s="24">
        <v>1997</v>
      </c>
      <c r="S10" s="24">
        <v>1998</v>
      </c>
      <c r="T10" s="24">
        <v>1999</v>
      </c>
      <c r="U10" s="24">
        <v>2000</v>
      </c>
      <c r="V10" s="24">
        <v>2001</v>
      </c>
    </row>
    <row r="11" spans="1:22" ht="12.75">
      <c r="A11" s="24" t="s">
        <v>39</v>
      </c>
      <c r="B11" s="49">
        <v>1532</v>
      </c>
      <c r="C11" s="49">
        <v>1190</v>
      </c>
      <c r="D11" s="49">
        <v>1793</v>
      </c>
      <c r="E11" s="49">
        <v>1747</v>
      </c>
      <c r="F11" s="49">
        <v>1200</v>
      </c>
      <c r="G11" s="49">
        <v>838</v>
      </c>
      <c r="H11" s="49">
        <v>605</v>
      </c>
      <c r="I11" s="49">
        <v>572</v>
      </c>
      <c r="J11" s="49">
        <v>703</v>
      </c>
      <c r="K11" s="49">
        <v>820</v>
      </c>
      <c r="L11" s="49">
        <v>1089</v>
      </c>
      <c r="M11" s="49">
        <v>1696</v>
      </c>
      <c r="N11" s="49">
        <v>2779</v>
      </c>
      <c r="O11" s="49">
        <v>3712</v>
      </c>
      <c r="P11" s="49">
        <v>3167</v>
      </c>
      <c r="Q11" s="51">
        <v>2635</v>
      </c>
      <c r="R11" s="51">
        <v>2634</v>
      </c>
      <c r="S11" s="51">
        <v>2980</v>
      </c>
      <c r="T11" s="51">
        <v>2343</v>
      </c>
      <c r="U11" s="51">
        <v>1317</v>
      </c>
      <c r="V11" s="19">
        <v>998</v>
      </c>
    </row>
    <row r="12" spans="1:22" ht="12.75">
      <c r="A12" s="24" t="s">
        <v>40</v>
      </c>
      <c r="B12" s="49">
        <v>1418</v>
      </c>
      <c r="C12" s="49">
        <v>872</v>
      </c>
      <c r="D12" s="49">
        <v>1470</v>
      </c>
      <c r="E12" s="49">
        <v>1251</v>
      </c>
      <c r="F12" s="49">
        <v>923</v>
      </c>
      <c r="G12" s="49">
        <v>667</v>
      </c>
      <c r="H12" s="49">
        <v>514</v>
      </c>
      <c r="I12" s="49">
        <v>441</v>
      </c>
      <c r="J12" s="49">
        <v>480</v>
      </c>
      <c r="K12" s="49">
        <v>505</v>
      </c>
      <c r="L12" s="49">
        <v>653</v>
      </c>
      <c r="M12" s="49">
        <v>1021</v>
      </c>
      <c r="N12" s="49">
        <v>1453</v>
      </c>
      <c r="O12" s="49">
        <v>1871</v>
      </c>
      <c r="P12" s="49">
        <v>1772</v>
      </c>
      <c r="Q12" s="49">
        <v>1749</v>
      </c>
      <c r="R12" s="51">
        <v>1681</v>
      </c>
      <c r="S12" s="51">
        <v>1919</v>
      </c>
      <c r="T12" s="51">
        <v>1736</v>
      </c>
      <c r="U12" s="51">
        <v>1195</v>
      </c>
      <c r="V12" s="19">
        <v>922</v>
      </c>
    </row>
    <row r="13" spans="1:22" ht="12.75">
      <c r="A13" s="24" t="s">
        <v>41</v>
      </c>
      <c r="B13" s="49">
        <v>3148</v>
      </c>
      <c r="C13" s="49">
        <v>1856</v>
      </c>
      <c r="D13" s="49">
        <v>2698</v>
      </c>
      <c r="E13" s="49">
        <v>2880</v>
      </c>
      <c r="F13" s="49">
        <v>2370</v>
      </c>
      <c r="G13" s="49">
        <v>2297</v>
      </c>
      <c r="H13" s="49">
        <v>2910</v>
      </c>
      <c r="I13" s="49">
        <v>3852</v>
      </c>
      <c r="J13" s="49">
        <v>4387</v>
      </c>
      <c r="K13" s="49">
        <v>4905</v>
      </c>
      <c r="L13" s="49">
        <v>4720</v>
      </c>
      <c r="M13" s="49">
        <v>5103</v>
      </c>
      <c r="N13" s="49">
        <v>6454</v>
      </c>
      <c r="O13" s="49">
        <v>7597</v>
      </c>
      <c r="P13" s="49">
        <v>7450</v>
      </c>
      <c r="Q13" s="49">
        <v>6484</v>
      </c>
      <c r="R13" s="51">
        <v>6567</v>
      </c>
      <c r="S13" s="51">
        <v>6223</v>
      </c>
      <c r="T13" s="51">
        <v>5202</v>
      </c>
      <c r="U13" s="51">
        <v>3199</v>
      </c>
      <c r="V13" s="19">
        <v>2392</v>
      </c>
    </row>
    <row r="14" spans="1:22" ht="12.75">
      <c r="A14" s="24" t="s">
        <v>42</v>
      </c>
      <c r="B14" s="49">
        <v>6163</v>
      </c>
      <c r="C14" s="49">
        <v>4840</v>
      </c>
      <c r="D14" s="49">
        <v>6153</v>
      </c>
      <c r="E14" s="49">
        <v>6014</v>
      </c>
      <c r="F14" s="49">
        <v>5597</v>
      </c>
      <c r="G14" s="49">
        <v>4550</v>
      </c>
      <c r="H14" s="49">
        <v>3873</v>
      </c>
      <c r="I14" s="49">
        <v>4184</v>
      </c>
      <c r="J14" s="49">
        <v>4397</v>
      </c>
      <c r="K14" s="49">
        <v>5645</v>
      </c>
      <c r="L14" s="49">
        <v>5353</v>
      </c>
      <c r="M14" s="49">
        <v>5964</v>
      </c>
      <c r="N14" s="49">
        <v>6849</v>
      </c>
      <c r="O14" s="49">
        <v>7332</v>
      </c>
      <c r="P14" s="49">
        <v>7252</v>
      </c>
      <c r="Q14" s="49">
        <v>6257</v>
      </c>
      <c r="R14" s="51">
        <v>6419</v>
      </c>
      <c r="S14" s="51">
        <v>6874</v>
      </c>
      <c r="T14" s="51">
        <v>5339</v>
      </c>
      <c r="U14" s="51">
        <v>3853</v>
      </c>
      <c r="V14" s="19">
        <v>2971</v>
      </c>
    </row>
    <row r="15" spans="1:22" ht="12.75">
      <c r="A15" s="24" t="s">
        <v>71</v>
      </c>
      <c r="B15" s="49">
        <f aca="true" t="shared" si="1" ref="B15:Q15">SUM(B11:B14)</f>
        <v>12261</v>
      </c>
      <c r="C15" s="49">
        <f t="shared" si="1"/>
        <v>8758</v>
      </c>
      <c r="D15" s="49">
        <f t="shared" si="1"/>
        <v>12114</v>
      </c>
      <c r="E15" s="49">
        <f t="shared" si="1"/>
        <v>11892</v>
      </c>
      <c r="F15" s="49">
        <f t="shared" si="1"/>
        <v>10090</v>
      </c>
      <c r="G15" s="49">
        <f t="shared" si="1"/>
        <v>8352</v>
      </c>
      <c r="H15" s="49">
        <f t="shared" si="1"/>
        <v>7902</v>
      </c>
      <c r="I15" s="49">
        <f t="shared" si="1"/>
        <v>9049</v>
      </c>
      <c r="J15" s="49">
        <f t="shared" si="1"/>
        <v>9967</v>
      </c>
      <c r="K15" s="49">
        <f t="shared" si="1"/>
        <v>11875</v>
      </c>
      <c r="L15" s="49">
        <f t="shared" si="1"/>
        <v>11815</v>
      </c>
      <c r="M15" s="49">
        <f t="shared" si="1"/>
        <v>13784</v>
      </c>
      <c r="N15" s="49">
        <f t="shared" si="1"/>
        <v>17535</v>
      </c>
      <c r="O15" s="49">
        <f t="shared" si="1"/>
        <v>20512</v>
      </c>
      <c r="P15" s="49">
        <f t="shared" si="1"/>
        <v>19641</v>
      </c>
      <c r="Q15" s="49">
        <f t="shared" si="1"/>
        <v>17125</v>
      </c>
      <c r="R15" s="49">
        <f>SUM(R11:R14)</f>
        <v>17301</v>
      </c>
      <c r="S15" s="49">
        <f>SUM(S11:S14)</f>
        <v>17996</v>
      </c>
      <c r="T15" s="49">
        <f>SUM(T11:T14)</f>
        <v>14620</v>
      </c>
      <c r="U15" s="49">
        <f>SUM(U11:U14)</f>
        <v>9564</v>
      </c>
      <c r="V15" s="49">
        <f>SUM(V11:V14)</f>
        <v>7283</v>
      </c>
    </row>
    <row r="18" spans="1:21" ht="12.75">
      <c r="A18" t="s">
        <v>72</v>
      </c>
      <c r="B18" s="1">
        <f aca="true" t="shared" si="2" ref="B18:U18">B7-B15</f>
        <v>1609</v>
      </c>
      <c r="C18" s="1">
        <f t="shared" si="2"/>
        <v>1609</v>
      </c>
      <c r="D18" s="1">
        <f t="shared" si="2"/>
        <v>1449</v>
      </c>
      <c r="E18" s="1">
        <f t="shared" si="2"/>
        <v>1273</v>
      </c>
      <c r="F18" s="1">
        <f t="shared" si="2"/>
        <v>1335</v>
      </c>
      <c r="G18" s="1">
        <f t="shared" si="2"/>
        <v>1340</v>
      </c>
      <c r="H18" s="1">
        <f t="shared" si="2"/>
        <v>1402</v>
      </c>
      <c r="I18" s="1">
        <f t="shared" si="2"/>
        <v>1787</v>
      </c>
      <c r="J18" s="1">
        <f t="shared" si="2"/>
        <v>1787</v>
      </c>
      <c r="K18" s="1">
        <f t="shared" si="2"/>
        <v>1484</v>
      </c>
      <c r="L18" s="1">
        <f t="shared" si="2"/>
        <v>1063</v>
      </c>
      <c r="M18" s="1">
        <f t="shared" si="2"/>
        <v>708</v>
      </c>
      <c r="N18" s="1">
        <f t="shared" si="2"/>
        <v>137</v>
      </c>
      <c r="O18" s="1">
        <f t="shared" si="2"/>
        <v>165</v>
      </c>
      <c r="P18" s="1">
        <f t="shared" si="2"/>
        <v>421</v>
      </c>
      <c r="Q18" s="1">
        <f t="shared" si="2"/>
        <v>1094</v>
      </c>
      <c r="R18" s="1">
        <f t="shared" si="2"/>
        <v>1445</v>
      </c>
      <c r="S18" s="1">
        <f t="shared" si="2"/>
        <v>799</v>
      </c>
      <c r="T18" s="1">
        <f t="shared" si="2"/>
        <v>1226</v>
      </c>
      <c r="U18" s="1">
        <f t="shared" si="2"/>
        <v>808</v>
      </c>
    </row>
    <row r="20" ht="13.5" thickBot="1"/>
    <row r="21" spans="1:21" ht="12.75">
      <c r="A21" t="s">
        <v>73</v>
      </c>
      <c r="Q21" s="436" t="s">
        <v>285</v>
      </c>
      <c r="R21" s="437"/>
      <c r="S21" s="437"/>
      <c r="T21" s="437"/>
      <c r="U21" s="438"/>
    </row>
    <row r="22" spans="17:21" ht="12.75">
      <c r="Q22" s="58"/>
      <c r="R22" s="24" t="s">
        <v>81</v>
      </c>
      <c r="S22" s="24" t="s">
        <v>281</v>
      </c>
      <c r="T22" s="24" t="s">
        <v>282</v>
      </c>
      <c r="U22" s="59" t="s">
        <v>283</v>
      </c>
    </row>
    <row r="23" spans="1:21" ht="12.75">
      <c r="A23" s="9" t="s">
        <v>74</v>
      </c>
      <c r="B23" s="13"/>
      <c r="C23" s="13"/>
      <c r="D23" s="13"/>
      <c r="E23" s="14"/>
      <c r="F23" s="14"/>
      <c r="G23" s="14"/>
      <c r="H23" s="14"/>
      <c r="I23" s="13"/>
      <c r="Q23" s="60" t="s">
        <v>39</v>
      </c>
      <c r="R23" s="19">
        <v>1480</v>
      </c>
      <c r="S23" s="19">
        <v>711</v>
      </c>
      <c r="T23" s="19">
        <v>445</v>
      </c>
      <c r="U23" s="61">
        <v>266</v>
      </c>
    </row>
    <row r="24" spans="1:21" ht="12.75">
      <c r="A24" s="23"/>
      <c r="B24" s="24">
        <v>1990</v>
      </c>
      <c r="C24" s="24">
        <v>1991</v>
      </c>
      <c r="D24" s="24">
        <v>1992</v>
      </c>
      <c r="E24" s="24">
        <v>1993</v>
      </c>
      <c r="F24" s="24">
        <v>1994</v>
      </c>
      <c r="G24" s="24">
        <v>1995</v>
      </c>
      <c r="H24" s="24">
        <v>1996</v>
      </c>
      <c r="I24" s="24">
        <v>1997</v>
      </c>
      <c r="J24" s="24">
        <v>1998</v>
      </c>
      <c r="K24" s="24">
        <v>1999</v>
      </c>
      <c r="L24" s="24">
        <v>2000</v>
      </c>
      <c r="M24" s="24">
        <v>2001</v>
      </c>
      <c r="N24" s="24" t="s">
        <v>81</v>
      </c>
      <c r="Q24" s="60" t="s">
        <v>41</v>
      </c>
      <c r="R24" s="19">
        <v>5474</v>
      </c>
      <c r="S24" s="19">
        <v>2782</v>
      </c>
      <c r="T24" s="19">
        <v>2266</v>
      </c>
      <c r="U24" s="61">
        <v>516</v>
      </c>
    </row>
    <row r="25" spans="1:21" ht="12.75">
      <c r="A25" s="24" t="s">
        <v>75</v>
      </c>
      <c r="B25" s="21">
        <v>684</v>
      </c>
      <c r="C25" s="21">
        <v>2081</v>
      </c>
      <c r="D25" s="21">
        <v>11000</v>
      </c>
      <c r="E25" s="21">
        <v>15094</v>
      </c>
      <c r="F25" s="21">
        <v>18356</v>
      </c>
      <c r="G25" s="21">
        <v>15710</v>
      </c>
      <c r="H25" s="21">
        <v>11503</v>
      </c>
      <c r="I25" s="22">
        <v>9231</v>
      </c>
      <c r="J25" s="22">
        <v>7677</v>
      </c>
      <c r="K25" s="49">
        <v>5366</v>
      </c>
      <c r="L25" s="52">
        <v>3475</v>
      </c>
      <c r="M25" s="19">
        <v>3828</v>
      </c>
      <c r="N25" s="21">
        <f>SUM(B25:M25)</f>
        <v>104005</v>
      </c>
      <c r="Q25" s="60" t="s">
        <v>42</v>
      </c>
      <c r="R25" s="19">
        <v>483</v>
      </c>
      <c r="S25" s="19">
        <v>335</v>
      </c>
      <c r="T25" s="19">
        <v>301</v>
      </c>
      <c r="U25" s="61">
        <v>34</v>
      </c>
    </row>
    <row r="26" spans="1:21" ht="13.5" thickBot="1">
      <c r="A26" s="24" t="s">
        <v>76</v>
      </c>
      <c r="B26" s="18">
        <v>11875</v>
      </c>
      <c r="C26" s="18">
        <v>11815</v>
      </c>
      <c r="D26" s="18">
        <v>13784</v>
      </c>
      <c r="E26" s="18">
        <v>17535</v>
      </c>
      <c r="F26" s="18">
        <v>20512</v>
      </c>
      <c r="G26" s="18">
        <v>19641</v>
      </c>
      <c r="H26" s="18">
        <v>17125</v>
      </c>
      <c r="I26" s="26">
        <v>17301</v>
      </c>
      <c r="J26" s="26">
        <v>17996</v>
      </c>
      <c r="K26" s="26">
        <f>T15</f>
        <v>14620</v>
      </c>
      <c r="L26" s="26">
        <f>U15</f>
        <v>9564</v>
      </c>
      <c r="M26" s="26">
        <f>V15</f>
        <v>7283</v>
      </c>
      <c r="N26" s="21">
        <f>SUM(B26:M26)</f>
        <v>179051</v>
      </c>
      <c r="Q26" s="62" t="s">
        <v>284</v>
      </c>
      <c r="R26" s="63">
        <v>7437</v>
      </c>
      <c r="S26" s="63">
        <v>3828</v>
      </c>
      <c r="T26" s="63">
        <v>3012</v>
      </c>
      <c r="U26" s="64">
        <v>816</v>
      </c>
    </row>
    <row r="27" spans="1:14" ht="12.75">
      <c r="A27" s="24" t="s">
        <v>77</v>
      </c>
      <c r="B27" s="20">
        <f>B25/B26</f>
        <v>0.0576</v>
      </c>
      <c r="C27" s="20">
        <f aca="true" t="shared" si="3" ref="C27:M27">C25/C26</f>
        <v>0.17613203554803217</v>
      </c>
      <c r="D27" s="20">
        <f t="shared" si="3"/>
        <v>0.7980266976204294</v>
      </c>
      <c r="E27" s="20">
        <f t="shared" si="3"/>
        <v>0.8607927003136584</v>
      </c>
      <c r="F27" s="20">
        <f t="shared" si="3"/>
        <v>0.8948907956318253</v>
      </c>
      <c r="G27" s="20">
        <f t="shared" si="3"/>
        <v>0.7998574410671554</v>
      </c>
      <c r="H27" s="20">
        <f t="shared" si="3"/>
        <v>0.6717080291970803</v>
      </c>
      <c r="I27" s="20">
        <f t="shared" si="3"/>
        <v>0.5335529738165424</v>
      </c>
      <c r="J27" s="20">
        <f t="shared" si="3"/>
        <v>0.4265947988441876</v>
      </c>
      <c r="K27" s="20">
        <f t="shared" si="3"/>
        <v>0.36703146374829</v>
      </c>
      <c r="L27" s="20">
        <f t="shared" si="3"/>
        <v>0.3633416980342953</v>
      </c>
      <c r="M27" s="20">
        <f t="shared" si="3"/>
        <v>0.5256075792942468</v>
      </c>
      <c r="N27" s="20">
        <f>N25/N26</f>
        <v>0.5808680208432234</v>
      </c>
    </row>
    <row r="28" spans="5:8" ht="15">
      <c r="E28" s="12"/>
      <c r="F28" s="12"/>
      <c r="G28" s="12"/>
      <c r="H28" s="12"/>
    </row>
    <row r="29" spans="1:4" ht="12.75">
      <c r="A29" s="65" t="s">
        <v>286</v>
      </c>
      <c r="B29" s="24" t="s">
        <v>75</v>
      </c>
      <c r="C29" s="24" t="s">
        <v>76</v>
      </c>
      <c r="D29" s="24" t="s">
        <v>77</v>
      </c>
    </row>
    <row r="30" spans="1:4" ht="12.75">
      <c r="A30" s="24">
        <v>1990</v>
      </c>
      <c r="B30" s="21">
        <v>684</v>
      </c>
      <c r="C30" s="18">
        <v>11875</v>
      </c>
      <c r="D30" s="20">
        <f aca="true" t="shared" si="4" ref="D30:D38">B30/C30</f>
        <v>0.0576</v>
      </c>
    </row>
    <row r="31" spans="1:4" ht="12.75">
      <c r="A31" s="24">
        <v>1991</v>
      </c>
      <c r="B31" s="21">
        <v>2081</v>
      </c>
      <c r="C31" s="18">
        <v>11815</v>
      </c>
      <c r="D31" s="20">
        <f t="shared" si="4"/>
        <v>0.17613203554803217</v>
      </c>
    </row>
    <row r="32" spans="1:4" ht="12.75">
      <c r="A32" s="24">
        <v>1992</v>
      </c>
      <c r="B32" s="21">
        <v>11000</v>
      </c>
      <c r="C32" s="18">
        <v>13784</v>
      </c>
      <c r="D32" s="20">
        <f t="shared" si="4"/>
        <v>0.7980266976204294</v>
      </c>
    </row>
    <row r="33" spans="1:4" ht="12.75">
      <c r="A33" s="24">
        <v>1993</v>
      </c>
      <c r="B33" s="21">
        <v>15094</v>
      </c>
      <c r="C33" s="18">
        <v>17535</v>
      </c>
      <c r="D33" s="20">
        <f t="shared" si="4"/>
        <v>0.8607927003136584</v>
      </c>
    </row>
    <row r="34" spans="1:4" ht="12.75">
      <c r="A34" s="24">
        <v>1994</v>
      </c>
      <c r="B34" s="21">
        <v>18356</v>
      </c>
      <c r="C34" s="18">
        <v>20512</v>
      </c>
      <c r="D34" s="20">
        <f t="shared" si="4"/>
        <v>0.8948907956318253</v>
      </c>
    </row>
    <row r="35" spans="1:4" ht="12.75">
      <c r="A35" s="24">
        <v>1995</v>
      </c>
      <c r="B35" s="21">
        <v>15710</v>
      </c>
      <c r="C35" s="18">
        <v>19641</v>
      </c>
      <c r="D35" s="20">
        <f t="shared" si="4"/>
        <v>0.7998574410671554</v>
      </c>
    </row>
    <row r="36" spans="1:4" ht="12.75">
      <c r="A36" s="24">
        <v>1996</v>
      </c>
      <c r="B36" s="21">
        <v>11503</v>
      </c>
      <c r="C36" s="18">
        <v>17125</v>
      </c>
      <c r="D36" s="20">
        <f t="shared" si="4"/>
        <v>0.6717080291970803</v>
      </c>
    </row>
    <row r="37" spans="1:4" ht="12.75">
      <c r="A37" s="24">
        <v>1997</v>
      </c>
      <c r="B37" s="22">
        <v>9231</v>
      </c>
      <c r="C37" s="26">
        <v>17301</v>
      </c>
      <c r="D37" s="20">
        <f t="shared" si="4"/>
        <v>0.5335529738165424</v>
      </c>
    </row>
    <row r="38" spans="1:4" ht="12.75">
      <c r="A38" s="24">
        <v>1998</v>
      </c>
      <c r="B38" s="22">
        <v>7677</v>
      </c>
      <c r="C38" s="26">
        <v>17996</v>
      </c>
      <c r="D38" s="20">
        <f t="shared" si="4"/>
        <v>0.4265947988441876</v>
      </c>
    </row>
    <row r="39" spans="1:4" ht="12.75">
      <c r="A39" s="24">
        <v>1999</v>
      </c>
      <c r="B39" s="22">
        <f>K25</f>
        <v>5366</v>
      </c>
      <c r="C39" s="26">
        <f>K26</f>
        <v>14620</v>
      </c>
      <c r="D39" s="20">
        <f>K27</f>
        <v>0.36703146374829</v>
      </c>
    </row>
    <row r="40" spans="1:4" ht="12.75">
      <c r="A40" s="24">
        <v>2000</v>
      </c>
      <c r="B40" s="49">
        <f>L25</f>
        <v>3475</v>
      </c>
      <c r="C40" s="49">
        <f>L26</f>
        <v>9564</v>
      </c>
      <c r="D40" s="44">
        <f>L27</f>
        <v>0.3633416980342953</v>
      </c>
    </row>
    <row r="41" spans="1:4" ht="12.75">
      <c r="A41" s="24">
        <v>2001</v>
      </c>
      <c r="B41" s="49">
        <f>M25</f>
        <v>3828</v>
      </c>
      <c r="C41" s="49">
        <f>M26</f>
        <v>7283</v>
      </c>
      <c r="D41" s="44">
        <f>M27</f>
        <v>0.5256075792942468</v>
      </c>
    </row>
  </sheetData>
  <mergeCells count="1">
    <mergeCell ref="Q21:U21"/>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sheetPr transitionEvaluation="1" transitionEntry="1"/>
  <dimension ref="A1:T61"/>
  <sheetViews>
    <sheetView showGridLines="0" workbookViewId="0" topLeftCell="D31">
      <selection activeCell="D31" sqref="D31"/>
    </sheetView>
  </sheetViews>
  <sheetFormatPr defaultColWidth="9.7109375" defaultRowHeight="12.75"/>
  <cols>
    <col min="1" max="1" width="11.00390625" style="31" customWidth="1"/>
    <col min="2" max="2" width="13.8515625" style="31" customWidth="1"/>
    <col min="3" max="3" width="15.00390625" style="31" customWidth="1"/>
    <col min="4" max="4" width="14.57421875" style="31" customWidth="1"/>
    <col min="5" max="5" width="14.8515625" style="31" customWidth="1"/>
    <col min="6" max="6" width="13.7109375" style="31" customWidth="1"/>
    <col min="7" max="10" width="12.28125" style="31" bestFit="1" customWidth="1"/>
    <col min="11" max="11" width="13.7109375" style="31" customWidth="1"/>
    <col min="12" max="14" width="12.28125" style="31" bestFit="1" customWidth="1"/>
    <col min="15" max="15" width="12.7109375" style="31" customWidth="1"/>
    <col min="16" max="19" width="12.28125" style="31" bestFit="1" customWidth="1"/>
    <col min="20" max="185" width="9.7109375" style="31" customWidth="1"/>
    <col min="186" max="186" width="1.7109375" style="31" customWidth="1"/>
    <col min="187" max="16384" width="9.7109375" style="31" customWidth="1"/>
  </cols>
  <sheetData>
    <row r="1" spans="1:5" ht="12">
      <c r="A1" s="29" t="s">
        <v>89</v>
      </c>
      <c r="B1" s="30"/>
      <c r="C1" s="30"/>
      <c r="D1" s="30"/>
      <c r="E1" s="30"/>
    </row>
    <row r="2" spans="1:5" ht="12">
      <c r="A2" s="41" t="s">
        <v>64</v>
      </c>
      <c r="B2" s="41" t="s">
        <v>65</v>
      </c>
      <c r="D2" s="32"/>
      <c r="E2" s="32"/>
    </row>
    <row r="3" spans="2:5" ht="12">
      <c r="B3" s="41" t="s">
        <v>66</v>
      </c>
      <c r="D3" s="32"/>
      <c r="E3" s="32"/>
    </row>
    <row r="4" spans="1:20" ht="12">
      <c r="A4" s="33" t="s">
        <v>37</v>
      </c>
      <c r="B4" s="33" t="s">
        <v>38</v>
      </c>
      <c r="C4" s="33" t="s">
        <v>90</v>
      </c>
      <c r="D4" s="33" t="s">
        <v>91</v>
      </c>
      <c r="E4" s="33" t="s">
        <v>92</v>
      </c>
      <c r="F4" s="33" t="s">
        <v>37</v>
      </c>
      <c r="G4" s="33" t="s">
        <v>38</v>
      </c>
      <c r="H4" s="33" t="s">
        <v>90</v>
      </c>
      <c r="I4" s="33" t="s">
        <v>91</v>
      </c>
      <c r="J4" s="33" t="s">
        <v>92</v>
      </c>
      <c r="K4" s="33" t="s">
        <v>37</v>
      </c>
      <c r="L4" s="33" t="s">
        <v>38</v>
      </c>
      <c r="M4" s="33" t="s">
        <v>90</v>
      </c>
      <c r="N4" s="33" t="s">
        <v>91</v>
      </c>
      <c r="O4" s="33" t="s">
        <v>92</v>
      </c>
      <c r="P4" s="33" t="s">
        <v>37</v>
      </c>
      <c r="Q4" s="33" t="s">
        <v>38</v>
      </c>
      <c r="R4" s="33" t="s">
        <v>90</v>
      </c>
      <c r="S4" s="33" t="s">
        <v>91</v>
      </c>
      <c r="T4" s="33" t="s">
        <v>92</v>
      </c>
    </row>
    <row r="5" spans="1:20" ht="12">
      <c r="A5" s="32"/>
      <c r="B5" s="32"/>
      <c r="C5" s="33" t="s">
        <v>93</v>
      </c>
      <c r="D5" s="33" t="s">
        <v>93</v>
      </c>
      <c r="E5" s="33" t="s">
        <v>94</v>
      </c>
      <c r="F5" s="32"/>
      <c r="G5" s="32"/>
      <c r="H5" s="33" t="s">
        <v>93</v>
      </c>
      <c r="I5" s="33" t="s">
        <v>93</v>
      </c>
      <c r="J5" s="33" t="s">
        <v>94</v>
      </c>
      <c r="K5" s="32"/>
      <c r="L5" s="32"/>
      <c r="M5" s="33" t="s">
        <v>93</v>
      </c>
      <c r="N5" s="33" t="s">
        <v>93</v>
      </c>
      <c r="O5" s="33" t="s">
        <v>94</v>
      </c>
      <c r="P5" s="32"/>
      <c r="Q5" s="32"/>
      <c r="R5" s="33" t="s">
        <v>93</v>
      </c>
      <c r="S5" s="33" t="s">
        <v>93</v>
      </c>
      <c r="T5" s="33" t="s">
        <v>94</v>
      </c>
    </row>
    <row r="6" spans="1:20" ht="12">
      <c r="A6" s="32"/>
      <c r="B6" s="32"/>
      <c r="C6" s="33" t="s">
        <v>95</v>
      </c>
      <c r="D6" s="33" t="s">
        <v>95</v>
      </c>
      <c r="E6" s="33" t="s">
        <v>96</v>
      </c>
      <c r="F6" s="32"/>
      <c r="G6" s="32"/>
      <c r="H6" s="33" t="s">
        <v>95</v>
      </c>
      <c r="I6" s="33" t="s">
        <v>95</v>
      </c>
      <c r="J6" s="33" t="s">
        <v>96</v>
      </c>
      <c r="K6" s="32"/>
      <c r="L6" s="32"/>
      <c r="M6" s="33" t="s">
        <v>95</v>
      </c>
      <c r="N6" s="33" t="s">
        <v>95</v>
      </c>
      <c r="O6" s="33" t="s">
        <v>96</v>
      </c>
      <c r="P6" s="32"/>
      <c r="Q6" s="32"/>
      <c r="R6" s="33" t="s">
        <v>95</v>
      </c>
      <c r="S6" s="33" t="s">
        <v>95</v>
      </c>
      <c r="T6" s="33" t="s">
        <v>96</v>
      </c>
    </row>
    <row r="7" spans="1:20" ht="12">
      <c r="A7" s="32"/>
      <c r="B7" s="32"/>
      <c r="C7" s="33" t="s">
        <v>97</v>
      </c>
      <c r="D7" s="33" t="s">
        <v>97</v>
      </c>
      <c r="E7" s="32"/>
      <c r="F7" s="32"/>
      <c r="G7" s="32"/>
      <c r="H7" s="33" t="s">
        <v>97</v>
      </c>
      <c r="I7" s="33" t="s">
        <v>97</v>
      </c>
      <c r="J7" s="32"/>
      <c r="K7" s="32"/>
      <c r="L7" s="32"/>
      <c r="M7" s="33" t="s">
        <v>97</v>
      </c>
      <c r="N7" s="33" t="s">
        <v>97</v>
      </c>
      <c r="O7" s="32"/>
      <c r="P7" s="32"/>
      <c r="Q7" s="32"/>
      <c r="R7" s="33" t="s">
        <v>97</v>
      </c>
      <c r="S7" s="33" t="s">
        <v>97</v>
      </c>
      <c r="T7" s="32"/>
    </row>
    <row r="8" spans="1:20" ht="12.75">
      <c r="A8" s="34" t="s">
        <v>39</v>
      </c>
      <c r="B8" s="34">
        <v>1978</v>
      </c>
      <c r="C8" s="35">
        <v>9.55</v>
      </c>
      <c r="D8" s="35">
        <v>9.84</v>
      </c>
      <c r="E8" s="36">
        <v>57.5</v>
      </c>
      <c r="F8" s="34" t="s">
        <v>40</v>
      </c>
      <c r="G8" s="34">
        <v>1978</v>
      </c>
      <c r="H8" s="35">
        <v>9.47</v>
      </c>
      <c r="I8" s="35">
        <v>9.69</v>
      </c>
      <c r="J8" s="36">
        <v>67.1</v>
      </c>
      <c r="K8" s="34" t="s">
        <v>41</v>
      </c>
      <c r="L8" s="34">
        <v>1978</v>
      </c>
      <c r="M8" s="35">
        <v>9.64</v>
      </c>
      <c r="N8" s="35">
        <v>9.9</v>
      </c>
      <c r="O8" s="36">
        <v>54.3</v>
      </c>
      <c r="P8" s="34" t="s">
        <v>42</v>
      </c>
      <c r="Q8" s="34">
        <v>1978</v>
      </c>
      <c r="R8" s="35">
        <v>9.67</v>
      </c>
      <c r="S8" s="35">
        <v>9.97</v>
      </c>
      <c r="T8" s="36">
        <v>55.4</v>
      </c>
    </row>
    <row r="9" spans="1:20" ht="12.75">
      <c r="A9" s="34" t="s">
        <v>39</v>
      </c>
      <c r="B9" s="34">
        <v>1979</v>
      </c>
      <c r="C9" s="35">
        <v>10.84</v>
      </c>
      <c r="D9" s="35">
        <v>11.16</v>
      </c>
      <c r="E9" s="36">
        <v>64.6</v>
      </c>
      <c r="F9" s="34" t="s">
        <v>40</v>
      </c>
      <c r="G9" s="34">
        <v>1979</v>
      </c>
      <c r="H9" s="35">
        <v>10.63</v>
      </c>
      <c r="I9" s="35">
        <v>10.8</v>
      </c>
      <c r="J9" s="36">
        <v>73.3</v>
      </c>
      <c r="K9" s="34" t="s">
        <v>41</v>
      </c>
      <c r="L9" s="34">
        <v>1979</v>
      </c>
      <c r="M9" s="35">
        <v>10.6</v>
      </c>
      <c r="N9" s="35">
        <v>10.88</v>
      </c>
      <c r="O9" s="36">
        <v>62.7</v>
      </c>
      <c r="P9" s="34" t="s">
        <v>42</v>
      </c>
      <c r="Q9" s="34">
        <v>1979</v>
      </c>
      <c r="R9" s="35">
        <v>10.75</v>
      </c>
      <c r="S9" s="35">
        <v>11.09</v>
      </c>
      <c r="T9" s="36">
        <v>68.6</v>
      </c>
    </row>
    <row r="10" spans="1:20" ht="12.75">
      <c r="A10" s="34" t="s">
        <v>39</v>
      </c>
      <c r="B10" s="34">
        <v>1980</v>
      </c>
      <c r="C10" s="35">
        <v>12.27</v>
      </c>
      <c r="D10" s="35">
        <v>12.66</v>
      </c>
      <c r="E10" s="36">
        <v>66.9</v>
      </c>
      <c r="F10" s="34" t="s">
        <v>40</v>
      </c>
      <c r="G10" s="34">
        <v>1980</v>
      </c>
      <c r="H10" s="35">
        <v>13.02</v>
      </c>
      <c r="I10" s="35">
        <v>13.15</v>
      </c>
      <c r="J10" s="36">
        <v>85.7</v>
      </c>
      <c r="K10" s="34" t="s">
        <v>41</v>
      </c>
      <c r="L10" s="34">
        <v>1980</v>
      </c>
      <c r="M10" s="35">
        <v>12</v>
      </c>
      <c r="N10" s="35">
        <v>12.34</v>
      </c>
      <c r="O10" s="36">
        <v>68.3</v>
      </c>
      <c r="P10" s="34" t="s">
        <v>42</v>
      </c>
      <c r="Q10" s="34">
        <v>1980</v>
      </c>
      <c r="R10" s="35">
        <v>12.41</v>
      </c>
      <c r="S10" s="35">
        <v>12.85</v>
      </c>
      <c r="T10" s="36">
        <v>78.1</v>
      </c>
    </row>
    <row r="11" spans="1:20" ht="12.75">
      <c r="A11" s="34" t="s">
        <v>39</v>
      </c>
      <c r="B11" s="34">
        <v>1981</v>
      </c>
      <c r="C11" s="35">
        <v>13.38</v>
      </c>
      <c r="D11" s="35">
        <v>14.18</v>
      </c>
      <c r="E11" s="36">
        <v>81.1</v>
      </c>
      <c r="F11" s="34" t="s">
        <v>40</v>
      </c>
      <c r="G11" s="34">
        <v>1981</v>
      </c>
      <c r="H11" s="35">
        <v>15.05</v>
      </c>
      <c r="I11" s="35">
        <v>15.54</v>
      </c>
      <c r="J11" s="36">
        <v>87.1</v>
      </c>
      <c r="K11" s="34" t="s">
        <v>41</v>
      </c>
      <c r="L11" s="34">
        <v>1981</v>
      </c>
      <c r="M11" s="35">
        <v>13.81</v>
      </c>
      <c r="N11" s="35">
        <v>14.21</v>
      </c>
      <c r="O11" s="36">
        <v>76.7</v>
      </c>
      <c r="P11" s="34" t="s">
        <v>42</v>
      </c>
      <c r="Q11" s="34">
        <v>1981</v>
      </c>
      <c r="R11" s="35">
        <v>14.08</v>
      </c>
      <c r="S11" s="35">
        <v>14.73</v>
      </c>
      <c r="T11" s="36">
        <v>77.8</v>
      </c>
    </row>
    <row r="12" spans="1:20" ht="12.75">
      <c r="A12" s="34" t="s">
        <v>39</v>
      </c>
      <c r="B12" s="34">
        <v>1982</v>
      </c>
      <c r="C12" s="35">
        <v>14.72</v>
      </c>
      <c r="D12" s="35">
        <v>15.53</v>
      </c>
      <c r="E12" s="36">
        <v>90.6</v>
      </c>
      <c r="F12" s="34" t="s">
        <v>40</v>
      </c>
      <c r="G12" s="34">
        <v>1982</v>
      </c>
      <c r="H12" s="35">
        <v>15.87</v>
      </c>
      <c r="I12" s="35">
        <v>16.48</v>
      </c>
      <c r="J12" s="36">
        <v>98.6</v>
      </c>
      <c r="K12" s="34" t="s">
        <v>41</v>
      </c>
      <c r="L12" s="34">
        <v>1982</v>
      </c>
      <c r="M12" s="35">
        <v>14.55</v>
      </c>
      <c r="N12" s="35">
        <v>15.01</v>
      </c>
      <c r="O12" s="36">
        <v>88.7</v>
      </c>
      <c r="P12" s="34" t="s">
        <v>42</v>
      </c>
      <c r="Q12" s="34">
        <v>1982</v>
      </c>
      <c r="R12" s="35">
        <v>14.17</v>
      </c>
      <c r="S12" s="35">
        <v>14.89</v>
      </c>
      <c r="T12" s="36">
        <v>83.1</v>
      </c>
    </row>
    <row r="13" spans="1:20" ht="12.75">
      <c r="A13" s="34" t="s">
        <v>39</v>
      </c>
      <c r="B13" s="34">
        <v>1983</v>
      </c>
      <c r="C13" s="34">
        <v>12.92</v>
      </c>
      <c r="D13" s="34">
        <v>13.37</v>
      </c>
      <c r="E13" s="34">
        <v>76.9</v>
      </c>
      <c r="F13" s="34" t="s">
        <v>40</v>
      </c>
      <c r="G13" s="34">
        <v>1983</v>
      </c>
      <c r="H13" s="35">
        <v>13.01</v>
      </c>
      <c r="I13" s="35">
        <v>13.28</v>
      </c>
      <c r="J13" s="36">
        <v>71.4</v>
      </c>
      <c r="K13" s="34" t="s">
        <v>41</v>
      </c>
      <c r="L13" s="34">
        <v>1983</v>
      </c>
      <c r="M13" s="35">
        <v>12.17</v>
      </c>
      <c r="N13" s="35">
        <v>12.65</v>
      </c>
      <c r="O13" s="36">
        <v>73.6</v>
      </c>
      <c r="P13" s="34" t="s">
        <v>42</v>
      </c>
      <c r="Q13" s="34">
        <v>1983</v>
      </c>
      <c r="R13" s="35">
        <v>12.52</v>
      </c>
      <c r="S13" s="35">
        <v>13.01</v>
      </c>
      <c r="T13" s="36">
        <v>86.4</v>
      </c>
    </row>
    <row r="14" spans="1:20" ht="12.75">
      <c r="A14" s="34" t="s">
        <v>39</v>
      </c>
      <c r="B14" s="34">
        <v>1984</v>
      </c>
      <c r="C14" s="35">
        <v>11.2</v>
      </c>
      <c r="D14" s="35">
        <v>11.64</v>
      </c>
      <c r="E14" s="36">
        <v>73.3</v>
      </c>
      <c r="F14" s="34" t="s">
        <v>40</v>
      </c>
      <c r="G14" s="34">
        <v>1984</v>
      </c>
      <c r="H14" s="35">
        <v>13.39</v>
      </c>
      <c r="I14" s="35">
        <v>13.77</v>
      </c>
      <c r="J14" s="36">
        <v>48.5</v>
      </c>
      <c r="K14" s="34" t="s">
        <v>41</v>
      </c>
      <c r="L14" s="34">
        <v>1984</v>
      </c>
      <c r="M14" s="35">
        <v>12.15</v>
      </c>
      <c r="N14" s="35">
        <v>12.58</v>
      </c>
      <c r="O14" s="36">
        <v>75.9</v>
      </c>
      <c r="P14" s="34" t="s">
        <v>42</v>
      </c>
      <c r="Q14" s="34">
        <v>1984</v>
      </c>
      <c r="R14" s="35">
        <v>11.71</v>
      </c>
      <c r="S14" s="35">
        <v>12.18</v>
      </c>
      <c r="T14" s="36">
        <v>89.7</v>
      </c>
    </row>
    <row r="15" spans="1:20" ht="12.75">
      <c r="A15" s="34" t="s">
        <v>39</v>
      </c>
      <c r="B15" s="34">
        <v>1985</v>
      </c>
      <c r="C15" s="35">
        <v>10.39</v>
      </c>
      <c r="D15" s="35">
        <v>10.84</v>
      </c>
      <c r="E15" s="36">
        <v>76.8</v>
      </c>
      <c r="F15" s="34" t="s">
        <v>40</v>
      </c>
      <c r="G15" s="34">
        <v>1985</v>
      </c>
      <c r="H15" s="35">
        <v>9.49</v>
      </c>
      <c r="I15" s="35">
        <v>10.17</v>
      </c>
      <c r="J15" s="36">
        <v>78.4</v>
      </c>
      <c r="K15" s="34" t="s">
        <v>41</v>
      </c>
      <c r="L15" s="34">
        <v>1985</v>
      </c>
      <c r="M15" s="35">
        <v>11.11</v>
      </c>
      <c r="N15" s="35">
        <v>11.52</v>
      </c>
      <c r="O15" s="36">
        <v>79.8</v>
      </c>
      <c r="P15" s="34" t="s">
        <v>42</v>
      </c>
      <c r="Q15" s="34">
        <v>1985</v>
      </c>
      <c r="R15" s="35">
        <v>10.75</v>
      </c>
      <c r="S15" s="35">
        <v>11.16</v>
      </c>
      <c r="T15" s="36">
        <v>90.4</v>
      </c>
    </row>
    <row r="16" spans="1:20" ht="12.75">
      <c r="A16" s="34" t="s">
        <v>39</v>
      </c>
      <c r="B16" s="34">
        <v>1986</v>
      </c>
      <c r="C16" s="35">
        <v>10.02</v>
      </c>
      <c r="D16" s="35">
        <v>10.39</v>
      </c>
      <c r="E16" s="36">
        <v>89.6</v>
      </c>
      <c r="F16" s="34" t="s">
        <v>40</v>
      </c>
      <c r="G16" s="34">
        <v>1986</v>
      </c>
      <c r="H16" s="35">
        <v>9.6</v>
      </c>
      <c r="I16" s="35">
        <v>9.94</v>
      </c>
      <c r="J16" s="36">
        <v>88.1</v>
      </c>
      <c r="K16" s="34" t="s">
        <v>41</v>
      </c>
      <c r="L16" s="34">
        <v>1986</v>
      </c>
      <c r="M16" s="35">
        <v>9.9</v>
      </c>
      <c r="N16" s="35">
        <v>10.25</v>
      </c>
      <c r="O16" s="36">
        <v>96.9</v>
      </c>
      <c r="P16" s="34" t="s">
        <v>42</v>
      </c>
      <c r="Q16" s="34">
        <v>1986</v>
      </c>
      <c r="R16" s="35">
        <v>9.87</v>
      </c>
      <c r="S16" s="35">
        <v>10.24</v>
      </c>
      <c r="T16" s="36">
        <v>109.8</v>
      </c>
    </row>
    <row r="17" spans="1:20" ht="12.75">
      <c r="A17" s="34" t="s">
        <v>39</v>
      </c>
      <c r="B17" s="34">
        <v>1987</v>
      </c>
      <c r="C17" s="35">
        <v>9.22</v>
      </c>
      <c r="D17" s="35">
        <v>9.49</v>
      </c>
      <c r="E17" s="36">
        <v>106.3</v>
      </c>
      <c r="F17" s="34" t="s">
        <v>40</v>
      </c>
      <c r="G17" s="34">
        <v>1987</v>
      </c>
      <c r="H17" s="35">
        <v>9.6</v>
      </c>
      <c r="I17" s="35">
        <v>9.92</v>
      </c>
      <c r="J17" s="36">
        <v>72.4</v>
      </c>
      <c r="K17" s="34" t="s">
        <v>41</v>
      </c>
      <c r="L17" s="34">
        <v>1987</v>
      </c>
      <c r="M17" s="35">
        <v>9.2</v>
      </c>
      <c r="N17" s="35">
        <v>9.53</v>
      </c>
      <c r="O17" s="36">
        <v>96.5</v>
      </c>
      <c r="P17" s="34" t="s">
        <v>42</v>
      </c>
      <c r="Q17" s="34">
        <v>1987</v>
      </c>
      <c r="R17" s="35">
        <v>8.85</v>
      </c>
      <c r="S17" s="35">
        <v>9.17</v>
      </c>
      <c r="T17" s="36">
        <v>116.8</v>
      </c>
    </row>
    <row r="18" spans="1:20" ht="12.75">
      <c r="A18" s="34" t="s">
        <v>39</v>
      </c>
      <c r="B18" s="34">
        <v>1988</v>
      </c>
      <c r="C18" s="35">
        <v>8.42</v>
      </c>
      <c r="D18" s="35">
        <v>8.73</v>
      </c>
      <c r="E18" s="36">
        <v>100.1</v>
      </c>
      <c r="F18" s="34" t="s">
        <v>40</v>
      </c>
      <c r="G18" s="34">
        <v>1988</v>
      </c>
      <c r="H18" s="35">
        <v>9.59</v>
      </c>
      <c r="I18" s="35">
        <v>9.78</v>
      </c>
      <c r="J18" s="36">
        <v>112.8</v>
      </c>
      <c r="K18" s="34" t="s">
        <v>41</v>
      </c>
      <c r="L18" s="34">
        <v>1988</v>
      </c>
      <c r="M18" s="35">
        <v>9.16</v>
      </c>
      <c r="N18" s="35">
        <v>9.53</v>
      </c>
      <c r="O18" s="36">
        <v>86.3</v>
      </c>
      <c r="P18" s="34" t="s">
        <v>42</v>
      </c>
      <c r="Q18" s="34">
        <v>1988</v>
      </c>
      <c r="R18" s="35">
        <v>8.88</v>
      </c>
      <c r="S18" s="35">
        <v>9.17</v>
      </c>
      <c r="T18" s="36">
        <v>119</v>
      </c>
    </row>
    <row r="19" spans="1:20" ht="12.75">
      <c r="A19" s="34" t="s">
        <v>39</v>
      </c>
      <c r="B19" s="34">
        <v>1989</v>
      </c>
      <c r="C19" s="34">
        <v>9.87</v>
      </c>
      <c r="D19" s="34">
        <v>10.17</v>
      </c>
      <c r="E19" s="34">
        <v>140.4</v>
      </c>
      <c r="F19" s="34" t="s">
        <v>40</v>
      </c>
      <c r="G19" s="34">
        <v>1989</v>
      </c>
      <c r="H19" s="34">
        <v>10.42</v>
      </c>
      <c r="I19" s="34">
        <v>10.78</v>
      </c>
      <c r="J19" s="36">
        <v>93</v>
      </c>
      <c r="K19" s="34" t="s">
        <v>41</v>
      </c>
      <c r="L19" s="34">
        <v>1989</v>
      </c>
      <c r="M19" s="34">
        <v>9.85</v>
      </c>
      <c r="N19" s="34">
        <v>10.21</v>
      </c>
      <c r="O19" s="34">
        <v>93.6</v>
      </c>
      <c r="P19" s="34" t="s">
        <v>42</v>
      </c>
      <c r="Q19" s="34">
        <v>1989</v>
      </c>
      <c r="R19" s="34">
        <v>9.93</v>
      </c>
      <c r="S19" s="34">
        <v>10.22</v>
      </c>
      <c r="T19" s="34">
        <v>134.7</v>
      </c>
    </row>
    <row r="20" spans="1:20" ht="12.75">
      <c r="A20" s="34" t="s">
        <v>39</v>
      </c>
      <c r="B20" s="34">
        <v>1990</v>
      </c>
      <c r="C20" s="35">
        <v>10.09</v>
      </c>
      <c r="D20" s="35">
        <v>10.322</v>
      </c>
      <c r="E20" s="34">
        <v>133.8</v>
      </c>
      <c r="F20" s="34" t="s">
        <v>40</v>
      </c>
      <c r="G20" s="34">
        <v>1990</v>
      </c>
      <c r="H20" s="35">
        <v>9.897</v>
      </c>
      <c r="I20" s="35">
        <v>10.31</v>
      </c>
      <c r="J20" s="36">
        <v>115.2</v>
      </c>
      <c r="K20" s="34" t="s">
        <v>41</v>
      </c>
      <c r="L20" s="34">
        <v>1990</v>
      </c>
      <c r="M20" s="35">
        <v>9.969</v>
      </c>
      <c r="N20" s="35">
        <v>10.298</v>
      </c>
      <c r="O20" s="36">
        <v>106.2</v>
      </c>
      <c r="P20" s="34" t="s">
        <v>42</v>
      </c>
      <c r="Q20" s="34">
        <v>1990</v>
      </c>
      <c r="R20" s="35">
        <v>10.058</v>
      </c>
      <c r="S20" s="35">
        <v>10.37</v>
      </c>
      <c r="T20" s="36">
        <v>144.5</v>
      </c>
    </row>
    <row r="21" spans="1:20" ht="12.75">
      <c r="A21" s="34" t="s">
        <v>39</v>
      </c>
      <c r="B21" s="34">
        <v>1991</v>
      </c>
      <c r="C21" s="35">
        <v>9.26</v>
      </c>
      <c r="D21" s="35">
        <v>9.68</v>
      </c>
      <c r="E21" s="36">
        <v>100</v>
      </c>
      <c r="F21" s="34" t="s">
        <v>40</v>
      </c>
      <c r="G21" s="34">
        <v>1991</v>
      </c>
      <c r="H21" s="35">
        <v>9.4</v>
      </c>
      <c r="I21" s="35">
        <v>9.64</v>
      </c>
      <c r="J21" s="36">
        <v>134.5</v>
      </c>
      <c r="K21" s="34" t="s">
        <v>41</v>
      </c>
      <c r="L21" s="34">
        <v>1991</v>
      </c>
      <c r="M21" s="35">
        <v>9.29</v>
      </c>
      <c r="N21" s="35">
        <v>9.63</v>
      </c>
      <c r="O21" s="36">
        <v>116.3</v>
      </c>
      <c r="P21" s="34" t="s">
        <v>42</v>
      </c>
      <c r="Q21" s="34">
        <v>1991</v>
      </c>
      <c r="R21" s="35">
        <v>9.2</v>
      </c>
      <c r="S21" s="35">
        <v>9.47</v>
      </c>
      <c r="T21" s="36">
        <v>160.7</v>
      </c>
    </row>
    <row r="22" spans="1:20" ht="12.75">
      <c r="A22" s="34" t="s">
        <v>39</v>
      </c>
      <c r="B22" s="34">
        <v>1992</v>
      </c>
      <c r="C22" s="35">
        <v>8</v>
      </c>
      <c r="D22" s="35">
        <v>8.39</v>
      </c>
      <c r="E22" s="34">
        <v>103.1</v>
      </c>
      <c r="F22" s="34" t="s">
        <v>40</v>
      </c>
      <c r="G22" s="34">
        <v>1992</v>
      </c>
      <c r="H22" s="34">
        <v>8.19</v>
      </c>
      <c r="I22" s="34">
        <v>8.48</v>
      </c>
      <c r="J22" s="34">
        <v>109.3</v>
      </c>
      <c r="K22" s="34" t="s">
        <v>41</v>
      </c>
      <c r="L22" s="34">
        <v>1992</v>
      </c>
      <c r="M22" s="34">
        <v>7.84</v>
      </c>
      <c r="N22" s="34">
        <v>8.08</v>
      </c>
      <c r="O22" s="36">
        <v>124</v>
      </c>
      <c r="P22" s="34" t="s">
        <v>42</v>
      </c>
      <c r="Q22" s="34">
        <v>1992</v>
      </c>
      <c r="R22" s="34">
        <v>7.92</v>
      </c>
      <c r="S22" s="34">
        <v>8.22</v>
      </c>
      <c r="T22" s="34">
        <v>147.1</v>
      </c>
    </row>
    <row r="23" spans="1:20" ht="12.75">
      <c r="A23" s="34" t="s">
        <v>39</v>
      </c>
      <c r="B23" s="34">
        <v>1993</v>
      </c>
      <c r="C23" s="35">
        <v>7.08</v>
      </c>
      <c r="D23" s="35">
        <v>7.24</v>
      </c>
      <c r="E23" s="36">
        <v>95.8</v>
      </c>
      <c r="F23" s="34" t="s">
        <v>40</v>
      </c>
      <c r="G23" s="34">
        <v>1993</v>
      </c>
      <c r="H23" s="35">
        <v>7.29</v>
      </c>
      <c r="I23" s="35">
        <v>7.47</v>
      </c>
      <c r="J23" s="36">
        <v>123.6</v>
      </c>
      <c r="K23" s="34" t="s">
        <v>41</v>
      </c>
      <c r="L23" s="34">
        <v>1993</v>
      </c>
      <c r="M23" s="35">
        <v>6.93</v>
      </c>
      <c r="N23" s="35">
        <v>7.13</v>
      </c>
      <c r="O23" s="36">
        <v>128.2</v>
      </c>
      <c r="P23" s="34" t="s">
        <v>42</v>
      </c>
      <c r="Q23" s="34">
        <v>1993</v>
      </c>
      <c r="R23" s="35">
        <v>6.84</v>
      </c>
      <c r="S23" s="35">
        <v>7.05</v>
      </c>
      <c r="T23" s="36">
        <v>148.6</v>
      </c>
    </row>
    <row r="24" spans="1:20" ht="12.75">
      <c r="A24" s="34" t="s">
        <v>39</v>
      </c>
      <c r="B24" s="34">
        <v>1994</v>
      </c>
      <c r="C24" s="35">
        <v>7.29</v>
      </c>
      <c r="D24" s="35">
        <v>7.43</v>
      </c>
      <c r="E24" s="36">
        <v>112.2</v>
      </c>
      <c r="F24" s="34" t="s">
        <v>40</v>
      </c>
      <c r="G24" s="34">
        <v>1994</v>
      </c>
      <c r="H24" s="35">
        <v>7.91</v>
      </c>
      <c r="I24" s="35">
        <v>8.19</v>
      </c>
      <c r="J24" s="36">
        <v>130.1</v>
      </c>
      <c r="K24" s="34" t="s">
        <v>41</v>
      </c>
      <c r="L24" s="34">
        <v>1994</v>
      </c>
      <c r="M24" s="35">
        <v>6.63</v>
      </c>
      <c r="N24" s="35">
        <v>6.76</v>
      </c>
      <c r="O24" s="36">
        <v>131.2</v>
      </c>
      <c r="P24" s="34" t="s">
        <v>42</v>
      </c>
      <c r="Q24" s="34">
        <v>1994</v>
      </c>
      <c r="R24" s="35">
        <v>6.82</v>
      </c>
      <c r="S24" s="35">
        <v>6.98</v>
      </c>
      <c r="T24" s="36">
        <v>150.8</v>
      </c>
    </row>
    <row r="25" spans="1:20" ht="12.75">
      <c r="A25" s="34" t="s">
        <v>39</v>
      </c>
      <c r="B25" s="34">
        <v>1995</v>
      </c>
      <c r="C25" s="35">
        <v>7.67</v>
      </c>
      <c r="D25" s="35">
        <v>7.79</v>
      </c>
      <c r="E25" s="36">
        <v>135.1</v>
      </c>
      <c r="F25" s="34" t="s">
        <v>40</v>
      </c>
      <c r="G25" s="34">
        <v>1995</v>
      </c>
      <c r="H25" s="35">
        <v>7.89</v>
      </c>
      <c r="I25" s="35">
        <v>8.02</v>
      </c>
      <c r="J25" s="36">
        <v>140</v>
      </c>
      <c r="K25" s="34" t="s">
        <v>41</v>
      </c>
      <c r="L25" s="34">
        <v>1995</v>
      </c>
      <c r="M25" s="35">
        <v>7.36</v>
      </c>
      <c r="N25" s="35">
        <v>7.47</v>
      </c>
      <c r="O25" s="36">
        <v>139.8</v>
      </c>
      <c r="P25" s="34" t="s">
        <v>42</v>
      </c>
      <c r="Q25" s="34">
        <v>1995</v>
      </c>
      <c r="R25" s="35">
        <v>7.5</v>
      </c>
      <c r="S25" s="35">
        <v>7.66</v>
      </c>
      <c r="T25" s="36">
        <v>162</v>
      </c>
    </row>
    <row r="26" spans="1:20" ht="12.75">
      <c r="A26" s="34" t="s">
        <v>39</v>
      </c>
      <c r="B26" s="34">
        <v>1996</v>
      </c>
      <c r="C26" s="35">
        <v>7.72</v>
      </c>
      <c r="D26" s="35">
        <v>7.86</v>
      </c>
      <c r="E26" s="36">
        <v>140.8</v>
      </c>
      <c r="F26" s="34" t="s">
        <v>40</v>
      </c>
      <c r="G26" s="34">
        <v>1996</v>
      </c>
      <c r="H26" s="35">
        <v>7.93</v>
      </c>
      <c r="I26" s="35">
        <v>8.1</v>
      </c>
      <c r="J26" s="36">
        <v>134</v>
      </c>
      <c r="K26" s="34" t="s">
        <v>41</v>
      </c>
      <c r="L26" s="34">
        <v>1996</v>
      </c>
      <c r="M26" s="35">
        <v>7.48</v>
      </c>
      <c r="N26" s="35">
        <v>7.63</v>
      </c>
      <c r="O26" s="36">
        <v>167.6</v>
      </c>
      <c r="P26" s="34" t="s">
        <v>42</v>
      </c>
      <c r="Q26" s="34">
        <v>1996</v>
      </c>
      <c r="R26" s="35">
        <v>7.47</v>
      </c>
      <c r="S26" s="35">
        <v>7.64</v>
      </c>
      <c r="T26" s="36">
        <v>186.3</v>
      </c>
    </row>
    <row r="27" spans="1:20" ht="12.75">
      <c r="A27" s="34" t="s">
        <v>39</v>
      </c>
      <c r="B27" s="34">
        <v>1997</v>
      </c>
      <c r="C27" s="35">
        <v>7.69</v>
      </c>
      <c r="D27" s="35">
        <v>7.86</v>
      </c>
      <c r="E27" s="36">
        <v>143.4</v>
      </c>
      <c r="F27" s="34" t="s">
        <v>40</v>
      </c>
      <c r="G27" s="34">
        <v>1997</v>
      </c>
      <c r="H27" s="35">
        <v>7.84</v>
      </c>
      <c r="I27" s="35">
        <v>8.04</v>
      </c>
      <c r="J27" s="36">
        <v>129</v>
      </c>
      <c r="K27" s="34" t="s">
        <v>41</v>
      </c>
      <c r="L27" s="34">
        <v>1997</v>
      </c>
      <c r="M27" s="35">
        <v>7.58</v>
      </c>
      <c r="N27" s="35">
        <v>7.72</v>
      </c>
      <c r="O27" s="36">
        <v>175.2</v>
      </c>
      <c r="P27" s="34" t="s">
        <v>42</v>
      </c>
      <c r="Q27" s="34">
        <v>1997</v>
      </c>
      <c r="R27" s="35">
        <v>7.52</v>
      </c>
      <c r="S27" s="35">
        <v>7.69</v>
      </c>
      <c r="T27" s="36">
        <v>190.6</v>
      </c>
    </row>
    <row r="28" spans="1:20" ht="12.75">
      <c r="A28" s="34" t="s">
        <v>39</v>
      </c>
      <c r="B28" s="34">
        <v>1998</v>
      </c>
      <c r="C28" s="35">
        <v>7.04</v>
      </c>
      <c r="D28" s="35">
        <v>7.16</v>
      </c>
      <c r="E28" s="36">
        <v>143.8</v>
      </c>
      <c r="F28" s="34" t="s">
        <v>40</v>
      </c>
      <c r="G28" s="34">
        <v>1998</v>
      </c>
      <c r="H28" s="35">
        <v>7.1</v>
      </c>
      <c r="I28" s="35">
        <v>7.27</v>
      </c>
      <c r="J28" s="36">
        <v>135.2</v>
      </c>
      <c r="K28" s="34" t="s">
        <v>41</v>
      </c>
      <c r="L28" s="34">
        <v>1998</v>
      </c>
      <c r="M28" s="35">
        <v>6.96</v>
      </c>
      <c r="N28" s="35">
        <v>7.1</v>
      </c>
      <c r="O28" s="36">
        <v>179.8</v>
      </c>
      <c r="P28" s="34" t="s">
        <v>42</v>
      </c>
      <c r="Q28" s="34">
        <v>1998</v>
      </c>
      <c r="R28" s="35">
        <v>6.93</v>
      </c>
      <c r="S28" s="35">
        <v>7.08</v>
      </c>
      <c r="T28" s="36">
        <v>194.6</v>
      </c>
    </row>
    <row r="29" spans="1:20" ht="12.75">
      <c r="A29" s="34" t="s">
        <v>39</v>
      </c>
      <c r="B29" s="34">
        <v>1999</v>
      </c>
      <c r="C29" s="35">
        <v>7.15</v>
      </c>
      <c r="D29" s="35">
        <v>7.27</v>
      </c>
      <c r="E29" s="36">
        <v>147.3</v>
      </c>
      <c r="F29" s="34" t="s">
        <v>40</v>
      </c>
      <c r="G29" s="34">
        <v>1999</v>
      </c>
      <c r="H29" s="35">
        <v>7.4</v>
      </c>
      <c r="I29" s="35">
        <v>7.58</v>
      </c>
      <c r="J29" s="36">
        <v>133.4</v>
      </c>
      <c r="K29" s="34" t="s">
        <v>41</v>
      </c>
      <c r="L29" s="34">
        <v>1999</v>
      </c>
      <c r="M29" s="35">
        <v>6.86</v>
      </c>
      <c r="N29" s="35">
        <v>6.99</v>
      </c>
      <c r="O29" s="36">
        <v>182</v>
      </c>
      <c r="P29" s="34" t="s">
        <v>42</v>
      </c>
      <c r="Q29" s="34">
        <v>1999</v>
      </c>
      <c r="R29" s="35">
        <v>6.95</v>
      </c>
      <c r="S29" s="35">
        <v>7.08</v>
      </c>
      <c r="T29" s="36">
        <v>209.1</v>
      </c>
    </row>
    <row r="30" spans="1:20" ht="12.75">
      <c r="A30" s="34" t="s">
        <v>39</v>
      </c>
      <c r="B30" s="34">
        <v>2000</v>
      </c>
      <c r="C30" s="53">
        <v>7.77</v>
      </c>
      <c r="D30" s="53">
        <v>7.88</v>
      </c>
      <c r="E30" s="54">
        <v>160</v>
      </c>
      <c r="F30" s="34" t="s">
        <v>40</v>
      </c>
      <c r="G30" s="34">
        <v>2000</v>
      </c>
      <c r="H30" s="35">
        <v>8.1</v>
      </c>
      <c r="I30" s="35">
        <v>8.27</v>
      </c>
      <c r="J30" s="36">
        <v>144.9</v>
      </c>
      <c r="K30" s="34" t="s">
        <v>41</v>
      </c>
      <c r="L30" s="34">
        <v>2000</v>
      </c>
      <c r="M30" s="53">
        <v>7.59</v>
      </c>
      <c r="N30" s="53">
        <v>7.7</v>
      </c>
      <c r="O30" s="54">
        <v>191.2</v>
      </c>
      <c r="P30" s="34" t="s">
        <v>42</v>
      </c>
      <c r="Q30" s="34">
        <v>2000</v>
      </c>
      <c r="R30" s="53">
        <v>7.59</v>
      </c>
      <c r="S30" s="53">
        <v>7.69</v>
      </c>
      <c r="T30" s="54">
        <v>223</v>
      </c>
    </row>
    <row r="31" spans="1:20" ht="12.75">
      <c r="A31" s="34" t="s">
        <v>39</v>
      </c>
      <c r="B31" s="34">
        <v>2001</v>
      </c>
      <c r="C31" s="35">
        <v>6.93</v>
      </c>
      <c r="D31" s="35">
        <v>7.01</v>
      </c>
      <c r="E31" s="36">
        <v>162</v>
      </c>
      <c r="F31" s="34" t="s">
        <v>40</v>
      </c>
      <c r="G31" s="34">
        <v>2001</v>
      </c>
      <c r="H31" s="35">
        <v>6.92</v>
      </c>
      <c r="I31" s="35">
        <v>7.06</v>
      </c>
      <c r="J31" s="36">
        <v>155.4</v>
      </c>
      <c r="K31" s="34" t="s">
        <v>41</v>
      </c>
      <c r="L31" s="34">
        <v>2001</v>
      </c>
      <c r="M31" s="35">
        <v>6.86</v>
      </c>
      <c r="N31" s="35">
        <v>6.96</v>
      </c>
      <c r="O31" s="36">
        <v>200.7</v>
      </c>
      <c r="P31" s="34" t="s">
        <v>42</v>
      </c>
      <c r="Q31" s="34">
        <v>2001</v>
      </c>
      <c r="R31" s="35">
        <v>6.85</v>
      </c>
      <c r="S31" s="35">
        <v>6.94</v>
      </c>
      <c r="T31" s="36">
        <v>234.8</v>
      </c>
    </row>
    <row r="32" spans="16:20" ht="12">
      <c r="P32" s="38"/>
      <c r="Q32" s="38"/>
      <c r="R32" s="39"/>
      <c r="S32" s="39"/>
      <c r="T32" s="40"/>
    </row>
    <row r="33" spans="16:20" ht="12">
      <c r="P33" s="38"/>
      <c r="Q33" s="38"/>
      <c r="R33" s="39"/>
      <c r="S33" s="39"/>
      <c r="T33" s="40"/>
    </row>
    <row r="34" spans="16:20" ht="12">
      <c r="P34" s="38"/>
      <c r="Q34" s="38"/>
      <c r="R34" s="39"/>
      <c r="S34" s="39"/>
      <c r="T34" s="40"/>
    </row>
    <row r="35" spans="3:6" ht="12">
      <c r="C35" s="42" t="s">
        <v>39</v>
      </c>
      <c r="D35" s="42" t="s">
        <v>40</v>
      </c>
      <c r="E35" s="42" t="s">
        <v>41</v>
      </c>
      <c r="F35" s="42" t="s">
        <v>42</v>
      </c>
    </row>
    <row r="36" spans="2:6" ht="12.75">
      <c r="B36" s="34">
        <v>1978</v>
      </c>
      <c r="C36" s="43">
        <v>57500</v>
      </c>
      <c r="D36" s="43">
        <v>67100</v>
      </c>
      <c r="E36" s="43">
        <v>54300</v>
      </c>
      <c r="F36" s="43">
        <v>55400</v>
      </c>
    </row>
    <row r="37" spans="2:10" ht="12.75">
      <c r="B37" s="34">
        <v>1979</v>
      </c>
      <c r="C37" s="43">
        <v>64600</v>
      </c>
      <c r="D37" s="43">
        <v>73300</v>
      </c>
      <c r="E37" s="43">
        <v>62700</v>
      </c>
      <c r="F37" s="43">
        <v>68600</v>
      </c>
      <c r="G37" t="s">
        <v>99</v>
      </c>
      <c r="H37"/>
      <c r="I37"/>
      <c r="J37"/>
    </row>
    <row r="38" spans="2:11" ht="12.75">
      <c r="B38" s="34">
        <v>1980</v>
      </c>
      <c r="C38" s="43">
        <v>66900</v>
      </c>
      <c r="D38" s="43">
        <v>85700</v>
      </c>
      <c r="E38" s="43">
        <v>68300</v>
      </c>
      <c r="F38" s="43">
        <v>78100</v>
      </c>
      <c r="G38" s="19" t="s">
        <v>39</v>
      </c>
      <c r="H38" s="19" t="s">
        <v>40</v>
      </c>
      <c r="I38" s="19" t="s">
        <v>41</v>
      </c>
      <c r="J38" s="19" t="s">
        <v>42</v>
      </c>
      <c r="K38" s="42" t="s">
        <v>98</v>
      </c>
    </row>
    <row r="39" spans="2:15" ht="12.75">
      <c r="B39" s="34">
        <v>1981</v>
      </c>
      <c r="C39" s="43">
        <v>81100</v>
      </c>
      <c r="D39" s="43">
        <v>87100</v>
      </c>
      <c r="E39" s="43">
        <v>76700</v>
      </c>
      <c r="F39" s="43">
        <v>77800</v>
      </c>
      <c r="G39" s="44">
        <v>0.10899791081334198</v>
      </c>
      <c r="H39" s="44">
        <v>0.036092500540306896</v>
      </c>
      <c r="I39" s="44">
        <v>0.31647575823067503</v>
      </c>
      <c r="J39" s="44">
        <v>0.538433830415676</v>
      </c>
      <c r="K39" s="43">
        <f aca="true" t="shared" si="0" ref="K39:K56">SUMPRODUCT(C39:F39,G39:J39)</f>
        <v>78147.23002665513</v>
      </c>
      <c r="L39" s="43"/>
      <c r="M39" s="43"/>
      <c r="N39" s="43"/>
      <c r="O39" s="43"/>
    </row>
    <row r="40" spans="2:15" ht="12.75">
      <c r="B40" s="34">
        <v>1982</v>
      </c>
      <c r="C40" s="43">
        <v>90600</v>
      </c>
      <c r="D40" s="43">
        <v>98600</v>
      </c>
      <c r="E40" s="43">
        <v>88700</v>
      </c>
      <c r="F40" s="43">
        <v>83100</v>
      </c>
      <c r="G40" s="44">
        <v>0.11556483650809819</v>
      </c>
      <c r="H40" s="44">
        <v>0.05006621167362738</v>
      </c>
      <c r="I40" s="44">
        <v>0.25338698176632374</v>
      </c>
      <c r="J40" s="44">
        <v>0.5809819700519507</v>
      </c>
      <c r="K40" s="43">
        <f t="shared" si="0"/>
        <v>86161.72965264338</v>
      </c>
      <c r="L40" s="43"/>
      <c r="M40" s="43"/>
      <c r="N40" s="43"/>
      <c r="O40" s="43"/>
    </row>
    <row r="41" spans="2:15" ht="12.75">
      <c r="B41" s="34">
        <v>1983</v>
      </c>
      <c r="C41" s="43">
        <v>76900</v>
      </c>
      <c r="D41" s="43">
        <v>71400</v>
      </c>
      <c r="E41" s="43">
        <v>73600</v>
      </c>
      <c r="F41" s="43">
        <v>86400</v>
      </c>
      <c r="G41" s="44">
        <v>0.11567752100840337</v>
      </c>
      <c r="H41" s="44">
        <v>0.0545561974789916</v>
      </c>
      <c r="I41" s="44">
        <v>0.22150735294117646</v>
      </c>
      <c r="J41" s="44">
        <v>0.6082589285714286</v>
      </c>
      <c r="K41" s="43">
        <f t="shared" si="0"/>
        <v>81647.42647058824</v>
      </c>
      <c r="L41" s="43"/>
      <c r="M41" s="43"/>
      <c r="N41" s="43"/>
      <c r="O41" s="43"/>
    </row>
    <row r="42" spans="2:15" ht="12.75">
      <c r="B42" s="34">
        <v>1984</v>
      </c>
      <c r="C42" s="43">
        <v>73300</v>
      </c>
      <c r="D42" s="43">
        <v>48500</v>
      </c>
      <c r="E42" s="43">
        <v>75900</v>
      </c>
      <c r="F42" s="43">
        <v>89700</v>
      </c>
      <c r="G42" s="44">
        <v>0.12023948701597761</v>
      </c>
      <c r="H42" s="44">
        <v>0.05494739079604634</v>
      </c>
      <c r="I42" s="44">
        <v>0.21713253268147517</v>
      </c>
      <c r="J42" s="44">
        <v>0.6076805895065008</v>
      </c>
      <c r="K42" s="43">
        <f t="shared" si="0"/>
        <v>82467.8109611365</v>
      </c>
      <c r="L42" s="43"/>
      <c r="M42" s="43"/>
      <c r="N42" s="43"/>
      <c r="O42" s="43"/>
    </row>
    <row r="43" spans="2:15" ht="12.75">
      <c r="B43" s="34">
        <v>1985</v>
      </c>
      <c r="C43" s="43">
        <v>76800</v>
      </c>
      <c r="D43" s="43">
        <v>78400</v>
      </c>
      <c r="E43" s="43">
        <v>79800</v>
      </c>
      <c r="F43" s="43">
        <v>90400</v>
      </c>
      <c r="G43" s="44">
        <v>0.10117655931819895</v>
      </c>
      <c r="H43" s="44">
        <v>0.033147296176182214</v>
      </c>
      <c r="I43" s="44">
        <v>0.23621690926917566</v>
      </c>
      <c r="J43" s="44">
        <v>0.6294592352364432</v>
      </c>
      <c r="K43" s="43">
        <f t="shared" si="0"/>
        <v>86122.33200090505</v>
      </c>
      <c r="L43" s="43"/>
      <c r="M43" s="43"/>
      <c r="N43" s="43"/>
      <c r="O43" s="43"/>
    </row>
    <row r="44" spans="2:15" ht="12.75">
      <c r="B44" s="34">
        <v>1986</v>
      </c>
      <c r="C44" s="43">
        <v>89600</v>
      </c>
      <c r="D44" s="43">
        <v>88100</v>
      </c>
      <c r="E44" s="43">
        <v>96900</v>
      </c>
      <c r="F44" s="43">
        <v>109800</v>
      </c>
      <c r="G44" s="44">
        <v>0.0975854457895793</v>
      </c>
      <c r="H44" s="44">
        <v>0.024279312420573875</v>
      </c>
      <c r="I44" s="44">
        <v>0.23396428332553007</v>
      </c>
      <c r="J44" s="44">
        <v>0.6441709584643168</v>
      </c>
      <c r="K44" s="43">
        <f t="shared" si="0"/>
        <v>104283.77366062472</v>
      </c>
      <c r="L44" s="43"/>
      <c r="M44" s="43"/>
      <c r="N44" s="43"/>
      <c r="O44" s="43"/>
    </row>
    <row r="45" spans="2:15" ht="12.75">
      <c r="B45" s="34">
        <v>1987</v>
      </c>
      <c r="C45" s="43">
        <v>106300</v>
      </c>
      <c r="D45" s="43">
        <v>72400</v>
      </c>
      <c r="E45" s="43">
        <v>96500</v>
      </c>
      <c r="F45" s="43">
        <v>116800</v>
      </c>
      <c r="G45" s="44">
        <v>0.08316423486971367</v>
      </c>
      <c r="H45" s="44">
        <v>0.019840886398041678</v>
      </c>
      <c r="I45" s="44">
        <v>0.2540342062034979</v>
      </c>
      <c r="J45" s="44">
        <v>0.6429606725287468</v>
      </c>
      <c r="K45" s="43">
        <f t="shared" si="0"/>
        <v>109888.94579186395</v>
      </c>
      <c r="L45" s="43"/>
      <c r="M45" s="43"/>
      <c r="N45" s="43"/>
      <c r="O45" s="43"/>
    </row>
    <row r="46" spans="2:15" ht="12.75">
      <c r="B46" s="34">
        <v>1988</v>
      </c>
      <c r="C46" s="43">
        <v>100100</v>
      </c>
      <c r="D46" s="43">
        <v>112800</v>
      </c>
      <c r="E46" s="43">
        <v>86300</v>
      </c>
      <c r="F46" s="43">
        <v>119000</v>
      </c>
      <c r="G46" s="44">
        <v>0.08270411610894027</v>
      </c>
      <c r="H46" s="44">
        <v>0.016893380732732027</v>
      </c>
      <c r="I46" s="44">
        <v>0.2692070393983019</v>
      </c>
      <c r="J46" s="44">
        <v>0.6311954637600259</v>
      </c>
      <c r="K46" s="43">
        <f t="shared" si="0"/>
        <v>108529.08305667363</v>
      </c>
      <c r="L46" s="43"/>
      <c r="M46" s="43"/>
      <c r="N46" s="43"/>
      <c r="O46" s="43"/>
    </row>
    <row r="47" spans="2:15" ht="12.75">
      <c r="B47" s="34">
        <v>1989</v>
      </c>
      <c r="C47" s="43">
        <v>140400</v>
      </c>
      <c r="D47" s="43">
        <v>93000</v>
      </c>
      <c r="E47" s="43">
        <v>93600</v>
      </c>
      <c r="F47" s="43">
        <v>134700</v>
      </c>
      <c r="G47" s="44">
        <v>0.08590345090380815</v>
      </c>
      <c r="H47" s="44">
        <v>0.013432089356736288</v>
      </c>
      <c r="I47" s="44">
        <v>0.2714520469646812</v>
      </c>
      <c r="J47" s="44">
        <v>0.6292124127747744</v>
      </c>
      <c r="K47" s="43">
        <f t="shared" si="0"/>
        <v>123472.8524137274</v>
      </c>
      <c r="L47" s="43"/>
      <c r="M47" s="43"/>
      <c r="N47" s="43"/>
      <c r="O47" s="43"/>
    </row>
    <row r="48" spans="2:15" ht="12.75">
      <c r="B48" s="34">
        <v>1990</v>
      </c>
      <c r="C48" s="43">
        <v>133800</v>
      </c>
      <c r="D48" s="43">
        <v>115200</v>
      </c>
      <c r="E48" s="43">
        <v>106200</v>
      </c>
      <c r="F48" s="43">
        <v>144500</v>
      </c>
      <c r="G48" s="44">
        <v>0.09885867386763993</v>
      </c>
      <c r="H48" s="44">
        <v>0.01571696799645577</v>
      </c>
      <c r="I48" s="44">
        <v>0.2805426045864011</v>
      </c>
      <c r="J48" s="44">
        <v>0.6048817535495031</v>
      </c>
      <c r="K48" s="43">
        <f t="shared" si="0"/>
        <v>132236.92327166093</v>
      </c>
      <c r="L48" s="43"/>
      <c r="M48" s="43"/>
      <c r="N48" s="43"/>
      <c r="O48" s="43"/>
    </row>
    <row r="49" spans="2:15" ht="12.75">
      <c r="B49" s="34">
        <v>1991</v>
      </c>
      <c r="C49" s="43">
        <v>100000</v>
      </c>
      <c r="D49" s="43">
        <v>134500</v>
      </c>
      <c r="E49" s="43">
        <v>116300</v>
      </c>
      <c r="F49" s="43">
        <v>160700</v>
      </c>
      <c r="G49" s="44">
        <v>0.13226005603837204</v>
      </c>
      <c r="H49" s="44">
        <v>0.02490858146934511</v>
      </c>
      <c r="I49" s="44">
        <v>0.27917082205442373</v>
      </c>
      <c r="J49" s="44">
        <v>0.5636605404378592</v>
      </c>
      <c r="K49" s="43">
        <f t="shared" si="0"/>
        <v>139624.02526475757</v>
      </c>
      <c r="L49" s="43"/>
      <c r="M49" s="43"/>
      <c r="N49" s="43"/>
      <c r="O49" s="43"/>
    </row>
    <row r="50" spans="2:15" ht="12.75">
      <c r="B50" s="34">
        <v>1992</v>
      </c>
      <c r="C50" s="43">
        <v>103100</v>
      </c>
      <c r="D50" s="43">
        <v>109300</v>
      </c>
      <c r="E50" s="43">
        <v>124000</v>
      </c>
      <c r="F50" s="43">
        <v>147100</v>
      </c>
      <c r="G50" s="44">
        <v>0.1520811202317721</v>
      </c>
      <c r="H50" s="44">
        <v>0.03329792370835345</v>
      </c>
      <c r="I50" s="44">
        <v>0.2534234669241912</v>
      </c>
      <c r="J50" s="44">
        <v>0.5611974891356832</v>
      </c>
      <c r="K50" s="43">
        <f t="shared" si="0"/>
        <v>133295.68710767746</v>
      </c>
      <c r="L50" s="43"/>
      <c r="M50" s="43"/>
      <c r="N50" s="43"/>
      <c r="O50" s="43"/>
    </row>
    <row r="51" spans="2:15" ht="12.75">
      <c r="B51" s="34">
        <v>1993</v>
      </c>
      <c r="C51" s="43">
        <v>95800</v>
      </c>
      <c r="D51" s="43">
        <v>123600</v>
      </c>
      <c r="E51" s="43">
        <v>128200</v>
      </c>
      <c r="F51" s="43">
        <v>148600</v>
      </c>
      <c r="G51" s="44">
        <v>0.16051533871904536</v>
      </c>
      <c r="H51" s="44">
        <v>0.036256754140486125</v>
      </c>
      <c r="I51" s="44">
        <v>0.2677895700230565</v>
      </c>
      <c r="J51" s="44">
        <v>0.5354383371174121</v>
      </c>
      <c r="K51" s="43">
        <f t="shared" si="0"/>
        <v>133755.46403365192</v>
      </c>
      <c r="L51" s="43"/>
      <c r="M51" s="43"/>
      <c r="N51" s="43"/>
      <c r="O51" s="43"/>
    </row>
    <row r="52" spans="2:15" ht="12.75">
      <c r="B52" s="34">
        <v>1994</v>
      </c>
      <c r="C52" s="43">
        <v>112200</v>
      </c>
      <c r="D52" s="43">
        <v>130100</v>
      </c>
      <c r="E52" s="43">
        <v>131200</v>
      </c>
      <c r="F52" s="43">
        <v>150800</v>
      </c>
      <c r="G52" s="44">
        <v>0.15698493827579765</v>
      </c>
      <c r="H52" s="44">
        <v>0.03531948854663701</v>
      </c>
      <c r="I52" s="44">
        <v>0.2731826594895655</v>
      </c>
      <c r="J52" s="44">
        <v>0.5345129136879999</v>
      </c>
      <c r="K52" s="43">
        <f t="shared" si="0"/>
        <v>138654.88784364334</v>
      </c>
      <c r="L52" s="43"/>
      <c r="M52" s="43"/>
      <c r="N52" s="43"/>
      <c r="O52" s="43"/>
    </row>
    <row r="53" spans="2:15" ht="12.75">
      <c r="B53" s="34">
        <v>1995</v>
      </c>
      <c r="C53" s="43">
        <v>135100</v>
      </c>
      <c r="D53" s="43">
        <v>140000</v>
      </c>
      <c r="E53" s="43">
        <v>139800</v>
      </c>
      <c r="F53" s="43">
        <v>162000</v>
      </c>
      <c r="G53" s="44">
        <v>0.16014241687563407</v>
      </c>
      <c r="H53" s="44">
        <v>0.03269462682567332</v>
      </c>
      <c r="I53" s="44">
        <v>0.29438563580329624</v>
      </c>
      <c r="J53" s="44">
        <v>0.5127773204953964</v>
      </c>
      <c r="K53" s="43">
        <f t="shared" si="0"/>
        <v>150437.52608104746</v>
      </c>
      <c r="L53" s="43"/>
      <c r="M53" s="43"/>
      <c r="N53" s="43"/>
      <c r="O53" s="43"/>
    </row>
    <row r="54" spans="2:15" s="37" customFormat="1" ht="12.75">
      <c r="B54" s="34">
        <v>1996</v>
      </c>
      <c r="C54" s="43">
        <v>140800</v>
      </c>
      <c r="D54" s="43">
        <v>134000</v>
      </c>
      <c r="E54" s="43">
        <v>167600</v>
      </c>
      <c r="F54" s="43">
        <v>186300</v>
      </c>
      <c r="G54" s="44">
        <v>0.16711874897598805</v>
      </c>
      <c r="H54" s="44">
        <v>0.027234166499790647</v>
      </c>
      <c r="I54" s="44">
        <v>0.31370264513662593</v>
      </c>
      <c r="J54" s="44">
        <v>0.49194443938759536</v>
      </c>
      <c r="K54" s="43">
        <f t="shared" si="0"/>
        <v>171405.51054959858</v>
      </c>
      <c r="L54" s="43"/>
      <c r="M54" s="43"/>
      <c r="N54" s="43"/>
      <c r="O54" s="43"/>
    </row>
    <row r="55" spans="2:15" ht="12.75">
      <c r="B55" s="34">
        <v>1997</v>
      </c>
      <c r="C55" s="43">
        <v>143400</v>
      </c>
      <c r="D55" s="43">
        <v>129000</v>
      </c>
      <c r="E55" s="43">
        <v>175200</v>
      </c>
      <c r="F55" s="43">
        <v>190600</v>
      </c>
      <c r="G55" s="44">
        <v>0.16256483831806645</v>
      </c>
      <c r="H55" s="44">
        <v>0.027627561343486737</v>
      </c>
      <c r="I55" s="44">
        <v>0.29890004782400764</v>
      </c>
      <c r="J55" s="44">
        <v>0.5109075525144392</v>
      </c>
      <c r="K55" s="43">
        <f t="shared" si="0"/>
        <v>176622.02111613879</v>
      </c>
      <c r="L55" s="43"/>
      <c r="M55" s="43"/>
      <c r="N55" s="43"/>
      <c r="O55" s="43"/>
    </row>
    <row r="56" spans="2:15" ht="12.75">
      <c r="B56" s="34">
        <v>1998</v>
      </c>
      <c r="C56" s="43">
        <v>143800</v>
      </c>
      <c r="D56" s="43">
        <v>135200</v>
      </c>
      <c r="E56" s="43">
        <v>179800</v>
      </c>
      <c r="F56" s="43">
        <v>194600</v>
      </c>
      <c r="G56" s="44">
        <v>0.17922290816504483</v>
      </c>
      <c r="H56" s="44">
        <v>0.025897248090404938</v>
      </c>
      <c r="I56" s="44">
        <v>0.29535070280073944</v>
      </c>
      <c r="J56" s="44">
        <v>0.49952914094381085</v>
      </c>
      <c r="K56" s="43">
        <f t="shared" si="0"/>
        <v>179585.98932719475</v>
      </c>
      <c r="L56" s="43"/>
      <c r="M56" s="43"/>
      <c r="N56" s="43"/>
      <c r="O56" s="43"/>
    </row>
    <row r="57" spans="2:11" ht="12.75">
      <c r="B57" s="34">
        <v>1999</v>
      </c>
      <c r="C57" s="43">
        <f>E29*1000</f>
        <v>147300</v>
      </c>
      <c r="D57" s="43">
        <f>J29*1000</f>
        <v>133400</v>
      </c>
      <c r="E57" s="43">
        <f>O29*1000</f>
        <v>182000</v>
      </c>
      <c r="F57" s="43">
        <f>T29*1000</f>
        <v>209100</v>
      </c>
      <c r="G57" s="44">
        <f>'MHSHIPMNTS &amp; SF &amp; MF Starts'!I53</f>
        <v>0.1786237896534502</v>
      </c>
      <c r="H57" s="44">
        <f>'MHSHIPMNTS &amp; SF &amp; MF Starts'!J53</f>
        <v>0.03336609257439301</v>
      </c>
      <c r="I57" s="44">
        <f>'MHSHIPMNTS &amp; SF &amp; MF Starts'!K53</f>
        <v>0.2982326120929933</v>
      </c>
      <c r="J57" s="44">
        <f>'MHSHIPMNTS &amp; SF &amp; MF Starts'!L53</f>
        <v>0.4897775056791635</v>
      </c>
      <c r="K57" s="43">
        <f>SUMPRODUCT(C57:F57,G57:J57)</f>
        <v>187453.13280381513</v>
      </c>
    </row>
    <row r="58" spans="2:11" ht="12.75">
      <c r="B58" s="34">
        <v>2000</v>
      </c>
      <c r="C58" s="43">
        <f>E30*1000</f>
        <v>160000</v>
      </c>
      <c r="D58" s="43">
        <f>J30*1000</f>
        <v>144900</v>
      </c>
      <c r="E58" s="43">
        <f>O30*1000</f>
        <v>191200</v>
      </c>
      <c r="F58" s="43">
        <f>T30*1000</f>
        <v>223000</v>
      </c>
      <c r="G58" s="44">
        <f>'MHSHIPMNTS &amp; SF &amp; MF Starts'!I54</f>
        <v>0.18186753528773072</v>
      </c>
      <c r="H58" s="44">
        <f>'MHSHIPMNTS &amp; SF &amp; MF Starts'!J54</f>
        <v>0.03649609470771602</v>
      </c>
      <c r="I58" s="44">
        <f>'MHSHIPMNTS &amp; SF &amp; MF Starts'!K54</f>
        <v>0.29233652061223775</v>
      </c>
      <c r="J58" s="44">
        <f>'MHSHIPMNTS &amp; SF &amp; MF Starts'!L54</f>
        <v>0.4892998493923155</v>
      </c>
      <c r="K58" s="43">
        <f>SUMPRODUCT(C58:F58,G58:J58)</f>
        <v>199395.69892473117</v>
      </c>
    </row>
    <row r="59" spans="2:11" ht="12.75">
      <c r="B59" s="34">
        <v>2001</v>
      </c>
      <c r="C59" s="43">
        <f>E31*1000</f>
        <v>162000</v>
      </c>
      <c r="D59" s="43">
        <f>J31*1000</f>
        <v>155400</v>
      </c>
      <c r="E59" s="43">
        <f>O31*1000</f>
        <v>200700</v>
      </c>
      <c r="F59" s="43">
        <f>T31*1000</f>
        <v>234800</v>
      </c>
      <c r="G59" s="44">
        <f>'MHSHIPMNTS &amp; SF &amp; MF Starts'!I55</f>
        <v>0.17612682090831192</v>
      </c>
      <c r="H59" s="44">
        <f>'MHSHIPMNTS &amp; SF &amp; MF Starts'!J55</f>
        <v>0.03609254498714653</v>
      </c>
      <c r="I59" s="44">
        <f>'MHSHIPMNTS &amp; SF &amp; MF Starts'!K55</f>
        <v>0.2992459297343616</v>
      </c>
      <c r="J59" s="44">
        <f>'MHSHIPMNTS &amp; SF &amp; MF Starts'!L55</f>
        <v>0.48853470437017993</v>
      </c>
      <c r="K59" s="43">
        <f>SUMPRODUCT(C59:F59,G59:J59)</f>
        <v>208907.9331619537</v>
      </c>
    </row>
    <row r="60" spans="2:11" ht="12.75">
      <c r="B60" s="34"/>
      <c r="C60" s="43"/>
      <c r="D60" s="43"/>
      <c r="E60" s="43"/>
      <c r="F60" s="43"/>
      <c r="G60" s="44"/>
      <c r="H60" s="44"/>
      <c r="I60" s="44"/>
      <c r="J60" s="44"/>
      <c r="K60" s="43"/>
    </row>
    <row r="61" spans="2:11" ht="12.75">
      <c r="B61" s="34"/>
      <c r="C61" s="43"/>
      <c r="D61" s="43"/>
      <c r="E61" s="43"/>
      <c r="F61" s="43"/>
      <c r="G61" s="44"/>
      <c r="H61" s="44"/>
      <c r="I61" s="44"/>
      <c r="J61" s="44"/>
      <c r="K61" s="43"/>
    </row>
  </sheetData>
  <printOptions gridLines="1"/>
  <pageMargins left="0.75" right="0.75" top="1" bottom="1" header="0.5" footer="0.5"/>
  <pageSetup blackAndWhite="1"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W61"/>
  <sheetViews>
    <sheetView workbookViewId="0" topLeftCell="A1">
      <selection activeCell="I23" sqref="I23"/>
    </sheetView>
  </sheetViews>
  <sheetFormatPr defaultColWidth="9.140625" defaultRowHeight="12.75"/>
  <cols>
    <col min="1" max="1" width="14.57421875" style="0" customWidth="1"/>
    <col min="2" max="2" width="13.57421875" style="0" customWidth="1"/>
    <col min="5" max="5" width="10.7109375" style="0" customWidth="1"/>
    <col min="6" max="11" width="11.421875" style="0" bestFit="1" customWidth="1"/>
  </cols>
  <sheetData>
    <row r="1" ht="12.75">
      <c r="A1" t="s">
        <v>102</v>
      </c>
    </row>
    <row r="2" spans="2:5" ht="12.75">
      <c r="B2" s="406" t="s">
        <v>37</v>
      </c>
      <c r="C2" s="406"/>
      <c r="D2" s="406"/>
      <c r="E2" s="406"/>
    </row>
    <row r="3" spans="1:7" ht="25.5">
      <c r="A3" t="s">
        <v>38</v>
      </c>
      <c r="B3" t="s">
        <v>39</v>
      </c>
      <c r="C3" t="s">
        <v>40</v>
      </c>
      <c r="D3" t="s">
        <v>41</v>
      </c>
      <c r="E3" t="s">
        <v>42</v>
      </c>
      <c r="F3" s="3" t="s">
        <v>87</v>
      </c>
      <c r="G3" s="3" t="s">
        <v>87</v>
      </c>
    </row>
    <row r="4" spans="1:6" ht="12.75">
      <c r="A4">
        <v>1979</v>
      </c>
      <c r="B4" s="28">
        <v>7723</v>
      </c>
      <c r="C4" s="28">
        <v>8047</v>
      </c>
      <c r="D4" s="28">
        <v>9229</v>
      </c>
      <c r="E4" s="28">
        <v>9852</v>
      </c>
      <c r="F4" s="16">
        <f>SUM(SUMPRODUCT('PNW and State Population'!G5:J5,B4:E4))</f>
        <v>9248.565687422966</v>
      </c>
    </row>
    <row r="5" spans="1:6" ht="12.75">
      <c r="A5">
        <v>1980</v>
      </c>
      <c r="B5" s="28">
        <v>8735</v>
      </c>
      <c r="C5" s="28">
        <v>9143</v>
      </c>
      <c r="D5" s="28">
        <v>10196</v>
      </c>
      <c r="E5" s="28">
        <v>10913</v>
      </c>
      <c r="F5" s="16">
        <f>SUM(SUMPRODUCT('PNW and State Population'!G6:J6,B5:E5))</f>
        <v>10285.46186785764</v>
      </c>
    </row>
    <row r="6" spans="1:7" ht="12.75">
      <c r="A6">
        <v>1981</v>
      </c>
      <c r="B6" s="28">
        <v>9405</v>
      </c>
      <c r="C6" s="28">
        <v>10244</v>
      </c>
      <c r="D6" s="28">
        <v>10862</v>
      </c>
      <c r="E6" s="28">
        <v>11903</v>
      </c>
      <c r="F6" s="16">
        <f>SUM(SUMPRODUCT('PNW and State Population'!G7:J7,B6:E6))</f>
        <v>11152.483832457285</v>
      </c>
      <c r="G6" s="16">
        <f>SUMPRODUCT(B6:E6,'MHSHIPMNTS &amp; SF &amp; MF Starts'!I89:L89)</f>
        <v>11213.198782246434</v>
      </c>
    </row>
    <row r="7" spans="1:7" ht="12.75">
      <c r="A7">
        <v>1982</v>
      </c>
      <c r="B7" s="28">
        <v>9621</v>
      </c>
      <c r="C7" s="28">
        <v>10672</v>
      </c>
      <c r="D7" s="28">
        <v>11128</v>
      </c>
      <c r="E7" s="28">
        <v>12431</v>
      </c>
      <c r="F7" s="16">
        <f>SUM(SUMPRODUCT('PNW and State Population'!G8:J8,B7:E7))</f>
        <v>11556.748771930548</v>
      </c>
      <c r="G7" s="16">
        <f>SUMPRODUCT(B7:E7,'MHSHIPMNTS &amp; SF &amp; MF Starts'!I90:L90)</f>
        <v>11652.987291350531</v>
      </c>
    </row>
    <row r="8" spans="1:7" ht="12.75">
      <c r="A8">
        <v>1983</v>
      </c>
      <c r="B8" s="28">
        <v>10315</v>
      </c>
      <c r="C8" s="28">
        <v>11045</v>
      </c>
      <c r="D8" s="28">
        <v>11832</v>
      </c>
      <c r="E8" s="28">
        <v>13124</v>
      </c>
      <c r="F8" s="16">
        <f>SUM(SUMPRODUCT('PNW and State Population'!G9:J9,B8:E8))</f>
        <v>12223.55606210143</v>
      </c>
      <c r="G8" s="16">
        <f>SUMPRODUCT(B8:E8,'MHSHIPMNTS &amp; SF &amp; MF Starts'!I91:L91)</f>
        <v>12323.441478139504</v>
      </c>
    </row>
    <row r="9" spans="1:7" ht="12.75">
      <c r="A9">
        <v>1984</v>
      </c>
      <c r="B9" s="28">
        <v>11069</v>
      </c>
      <c r="C9" s="28">
        <v>11705</v>
      </c>
      <c r="D9" s="28">
        <v>12866</v>
      </c>
      <c r="E9" s="28">
        <v>14021</v>
      </c>
      <c r="F9" s="16">
        <f>SUM(SUMPRODUCT('PNW and State Population'!G10:J10,B9:E9))</f>
        <v>13124.820601154548</v>
      </c>
      <c r="G9" s="16">
        <f>SUMPRODUCT(B9:E9,'MHSHIPMNTS &amp; SF &amp; MF Starts'!I92:L92)</f>
        <v>13287.421970858895</v>
      </c>
    </row>
    <row r="10" spans="1:7" ht="12.75">
      <c r="A10">
        <v>1985</v>
      </c>
      <c r="B10" s="28">
        <v>11647</v>
      </c>
      <c r="C10" s="28">
        <v>11900</v>
      </c>
      <c r="D10" s="28">
        <v>13547</v>
      </c>
      <c r="E10" s="28">
        <v>14738</v>
      </c>
      <c r="F10" s="16">
        <f>SUM(SUMPRODUCT('PNW and State Population'!G11:J11,B10:E10))</f>
        <v>13771.707889513424</v>
      </c>
      <c r="G10" s="16">
        <f>SUMPRODUCT(B10:E10,'MHSHIPMNTS &amp; SF &amp; MF Starts'!I93:L93)</f>
        <v>14066.79996271729</v>
      </c>
    </row>
    <row r="11" spans="1:7" ht="12.75">
      <c r="A11">
        <v>1986</v>
      </c>
      <c r="B11" s="28">
        <v>11968</v>
      </c>
      <c r="C11" s="28">
        <v>12465</v>
      </c>
      <c r="D11" s="28">
        <v>14162</v>
      </c>
      <c r="E11" s="28">
        <v>15522</v>
      </c>
      <c r="F11" s="16">
        <f>SUM(SUMPRODUCT('PNW and State Population'!G12:J12,B11:E11))</f>
        <v>14441.886511166964</v>
      </c>
      <c r="G11" s="16">
        <f>SUMPRODUCT(B11:E11,'MHSHIPMNTS &amp; SF &amp; MF Starts'!I94:L94)</f>
        <v>14814.882441667181</v>
      </c>
    </row>
    <row r="12" spans="1:7" ht="12.75">
      <c r="A12">
        <v>1987</v>
      </c>
      <c r="B12" s="28">
        <v>12611</v>
      </c>
      <c r="C12" s="28">
        <v>12996</v>
      </c>
      <c r="D12" s="28">
        <v>14911</v>
      </c>
      <c r="E12" s="28">
        <v>16300</v>
      </c>
      <c r="F12" s="16">
        <f>SUM(SUMPRODUCT('PNW and State Population'!G13:J13,B12:E12))</f>
        <v>15186.699172666176</v>
      </c>
      <c r="G12" s="16">
        <f>SUMPRODUCT(B12:E12,'MHSHIPMNTS &amp; SF &amp; MF Starts'!I95:L95)</f>
        <v>15618.855226199725</v>
      </c>
    </row>
    <row r="13" spans="1:7" ht="12.75">
      <c r="A13">
        <v>1988</v>
      </c>
      <c r="B13" s="28">
        <v>13548</v>
      </c>
      <c r="C13" s="28">
        <v>13362</v>
      </c>
      <c r="D13" s="28">
        <v>16062</v>
      </c>
      <c r="E13" s="28">
        <v>17270</v>
      </c>
      <c r="F13" s="16">
        <f>SUM(SUMPRODUCT('PNW and State Population'!G14:J14,B13:E13))</f>
        <v>16167.431953260439</v>
      </c>
      <c r="G13" s="16">
        <f>SUMPRODUCT(B13:E13,'MHSHIPMNTS &amp; SF &amp; MF Starts'!I96:L96)</f>
        <v>16660.39266988794</v>
      </c>
    </row>
    <row r="14" spans="1:7" ht="12.75">
      <c r="A14">
        <v>1989</v>
      </c>
      <c r="B14" s="28">
        <v>14803</v>
      </c>
      <c r="C14" s="28">
        <v>14623</v>
      </c>
      <c r="D14" s="28">
        <v>17222</v>
      </c>
      <c r="E14" s="28">
        <v>18670</v>
      </c>
      <c r="F14" s="16">
        <f>SUM(SUMPRODUCT('PNW and State Population'!G15:J15,B14:E14))</f>
        <v>17478.019862500605</v>
      </c>
      <c r="G14" s="16">
        <f>SUMPRODUCT(B14:E14,'MHSHIPMNTS &amp; SF &amp; MF Starts'!I97:L97)</f>
        <v>17892.713496146847</v>
      </c>
    </row>
    <row r="15" spans="1:7" ht="12.75">
      <c r="A15">
        <v>1990</v>
      </c>
      <c r="B15" s="28">
        <v>15858</v>
      </c>
      <c r="C15" s="28">
        <v>15516</v>
      </c>
      <c r="D15" s="28">
        <v>18242</v>
      </c>
      <c r="E15" s="28">
        <v>20017</v>
      </c>
      <c r="F15" s="16">
        <f>SUM(SUMPRODUCT('PNW and State Population'!G16:J16,B15:E15))</f>
        <v>18671.020795147164</v>
      </c>
      <c r="G15" s="16">
        <f>SUMPRODUCT(B15:E15,'MHSHIPMNTS &amp; SF &amp; MF Starts'!I98:L98)</f>
        <v>19025.93511588667</v>
      </c>
    </row>
    <row r="16" spans="1:7" ht="12.75">
      <c r="A16">
        <v>1991</v>
      </c>
      <c r="B16" s="28">
        <v>16158</v>
      </c>
      <c r="C16" s="28">
        <v>16471</v>
      </c>
      <c r="D16" s="28">
        <v>18744</v>
      </c>
      <c r="E16" s="28">
        <v>20850</v>
      </c>
      <c r="F16" s="16">
        <f>SUM(SUMPRODUCT('PNW and State Population'!G17:J17,B16:E16))</f>
        <v>19361.55339889511</v>
      </c>
      <c r="G16" s="16">
        <f>SUMPRODUCT(B16:E16,'MHSHIPMNTS &amp; SF &amp; MF Starts'!I99:L99)</f>
        <v>19451.89567452692</v>
      </c>
    </row>
    <row r="17" spans="1:7" ht="12.75">
      <c r="A17">
        <v>1992</v>
      </c>
      <c r="B17" s="28">
        <v>17153</v>
      </c>
      <c r="C17" s="28">
        <v>17045</v>
      </c>
      <c r="D17" s="28">
        <v>19441</v>
      </c>
      <c r="E17" s="28">
        <v>21825</v>
      </c>
      <c r="F17" s="16">
        <f>SUM(SUMPRODUCT('PNW and State Population'!G18:J18,B17:E17))</f>
        <v>20225.667723952298</v>
      </c>
      <c r="G17" s="16">
        <f>SUMPRODUCT(B17:E17,'MHSHIPMNTS &amp; SF &amp; MF Starts'!I100:L100)</f>
        <v>20236.48775316692</v>
      </c>
    </row>
    <row r="18" spans="1:7" ht="12.75">
      <c r="A18">
        <v>1993</v>
      </c>
      <c r="B18" s="28">
        <v>18133</v>
      </c>
      <c r="C18" s="28">
        <v>17968</v>
      </c>
      <c r="D18" s="28">
        <v>20232</v>
      </c>
      <c r="E18" s="28">
        <v>22282</v>
      </c>
      <c r="F18" s="16">
        <f>SUM(SUMPRODUCT('PNW and State Population'!G19:J19,B18:E18))</f>
        <v>20872.49792624871</v>
      </c>
      <c r="G18" s="16">
        <f>SUMPRODUCT(B18:E18,'MHSHIPMNTS &amp; SF &amp; MF Starts'!I101:L101)</f>
        <v>20773.077447382217</v>
      </c>
    </row>
    <row r="19" spans="1:7" ht="12.75">
      <c r="A19">
        <v>1994</v>
      </c>
      <c r="B19" s="28">
        <v>18687</v>
      </c>
      <c r="C19" s="28">
        <v>17995</v>
      </c>
      <c r="D19" s="28">
        <v>21187</v>
      </c>
      <c r="E19" s="28">
        <v>22946</v>
      </c>
      <c r="F19" s="16">
        <f>SUM(SUMPRODUCT('PNW and State Population'!G20:J20,B19:E19))</f>
        <v>21554.032986284183</v>
      </c>
      <c r="G19" s="16">
        <f>SUMPRODUCT(B19:E19,'MHSHIPMNTS &amp; SF &amp; MF Starts'!I102:L102)</f>
        <v>21479.670848898622</v>
      </c>
    </row>
    <row r="20" spans="1:7" ht="12.75">
      <c r="A20">
        <v>1995</v>
      </c>
      <c r="B20" s="28">
        <v>19425</v>
      </c>
      <c r="C20" s="28">
        <v>18592</v>
      </c>
      <c r="D20" s="28">
        <v>22362</v>
      </c>
      <c r="E20" s="28">
        <v>23660</v>
      </c>
      <c r="F20" s="16">
        <f>SUM(SUMPRODUCT('PNW and State Population'!G21:J21,B20:E20))</f>
        <v>22396.002285252456</v>
      </c>
      <c r="G20" s="16">
        <f>SUMPRODUCT(B20:E20,'MHSHIPMNTS &amp; SF &amp; MF Starts'!I103:L103)</f>
        <v>22362.995430326526</v>
      </c>
    </row>
    <row r="21" spans="1:7" ht="12.75">
      <c r="A21">
        <v>1996</v>
      </c>
      <c r="B21" s="28">
        <v>20093</v>
      </c>
      <c r="C21" s="28">
        <v>19173</v>
      </c>
      <c r="D21" s="28">
        <v>23270</v>
      </c>
      <c r="E21" s="28">
        <v>25015</v>
      </c>
      <c r="F21" s="16">
        <f>SUM(SUMPRODUCT('PNW and State Population'!G22:J22,B21:E21))</f>
        <v>23480.597448702505</v>
      </c>
      <c r="G21" s="16">
        <f>SUMPRODUCT(B21:E21,'MHSHIPMNTS &amp; SF &amp; MF Starts'!I104:L104)</f>
        <v>23448.705893162314</v>
      </c>
    </row>
    <row r="22" spans="1:7" ht="12.75">
      <c r="A22">
        <v>1997</v>
      </c>
      <c r="B22" s="28">
        <v>20534</v>
      </c>
      <c r="C22" s="28">
        <v>19920</v>
      </c>
      <c r="D22" s="28">
        <v>24385</v>
      </c>
      <c r="E22" s="28">
        <v>26469</v>
      </c>
      <c r="F22" s="16">
        <f>SUM(SUMPRODUCT('PNW and State Population'!G23:J23,B22:E22))</f>
        <v>24670.154589878242</v>
      </c>
      <c r="G22" s="16">
        <f>SUMPRODUCT(B22:E22,'MHSHIPMNTS &amp; SF &amp; MF Starts'!I105:L105)</f>
        <v>24664.836186020915</v>
      </c>
    </row>
    <row r="23" spans="1:7" ht="12.75">
      <c r="A23">
        <v>1998</v>
      </c>
      <c r="B23" s="28">
        <v>21612</v>
      </c>
      <c r="C23" s="28">
        <v>21225</v>
      </c>
      <c r="D23" s="28">
        <v>25446</v>
      </c>
      <c r="E23" s="28">
        <v>28285</v>
      </c>
      <c r="F23" s="16">
        <f>SUM(SUMPRODUCT('PNW and State Population'!G24:J24,B23:E23))</f>
        <v>26143.147143950195</v>
      </c>
      <c r="G23" s="16">
        <f>SUMPRODUCT(B23:E23,'MHSHIPMNTS &amp; SF &amp; MF Starts'!I106:L106)</f>
        <v>26088.214063972744</v>
      </c>
    </row>
    <row r="24" spans="1:7" ht="12.75">
      <c r="A24">
        <v>1999</v>
      </c>
      <c r="B24" s="28">
        <v>22371</v>
      </c>
      <c r="C24" s="28">
        <v>21490</v>
      </c>
      <c r="D24" s="28">
        <v>26261</v>
      </c>
      <c r="E24" s="28">
        <v>29819</v>
      </c>
      <c r="F24" s="16">
        <f>SUM(SUMPRODUCT('PNW and State Population'!G25:J25,B24:E24))</f>
        <v>27278.2469824647</v>
      </c>
      <c r="G24" s="16">
        <f>SUMPRODUCT(B24:E24,'MHSHIPMNTS &amp; SF &amp; MF Starts'!I107:L107)</f>
        <v>27118.88798638933</v>
      </c>
    </row>
    <row r="25" spans="1:7" ht="12.75">
      <c r="A25">
        <v>2000</v>
      </c>
      <c r="B25" s="28">
        <v>23727</v>
      </c>
      <c r="C25" s="28">
        <v>22518</v>
      </c>
      <c r="D25" s="28">
        <v>27660</v>
      </c>
      <c r="E25" s="28">
        <v>31230</v>
      </c>
      <c r="F25" s="16">
        <f>SUM(SUMPRODUCT('PNW and State Population'!G26:J26,B25:E25))</f>
        <v>28642.812232858</v>
      </c>
      <c r="G25" s="16">
        <f>SUMPRODUCT(B25:E25,'MHSHIPMNTS &amp; SF &amp; MF Starts'!I108:L108)</f>
        <v>28557.330114740736</v>
      </c>
    </row>
    <row r="27" ht="12.75">
      <c r="A27" t="s">
        <v>32</v>
      </c>
    </row>
    <row r="30" spans="1:23" ht="12.75">
      <c r="A30" s="439" t="s">
        <v>277</v>
      </c>
      <c r="B30" s="440"/>
      <c r="C30" s="440"/>
      <c r="D30" s="440"/>
      <c r="E30" s="440"/>
      <c r="F30" s="440"/>
      <c r="G30" s="440"/>
      <c r="H30" s="440"/>
      <c r="I30" s="440"/>
      <c r="J30" s="440"/>
      <c r="K30" s="440"/>
      <c r="L30" s="440"/>
      <c r="M30" s="440"/>
      <c r="N30" s="440"/>
      <c r="O30" s="440"/>
      <c r="P30" s="440"/>
      <c r="Q30" s="440"/>
      <c r="R30" s="440"/>
      <c r="S30" s="440"/>
      <c r="T30" s="440"/>
      <c r="U30" s="440"/>
      <c r="V30" s="440"/>
      <c r="W30" s="440"/>
    </row>
    <row r="31" spans="1:23" ht="12.75">
      <c r="A31" s="441" t="s">
        <v>278</v>
      </c>
      <c r="B31" s="440"/>
      <c r="C31" s="440"/>
      <c r="D31" s="440"/>
      <c r="E31" s="440"/>
      <c r="F31" s="440"/>
      <c r="G31" s="440"/>
      <c r="H31" s="440"/>
      <c r="I31" s="440"/>
      <c r="J31" s="440"/>
      <c r="K31" s="440"/>
      <c r="L31" s="440"/>
      <c r="M31" s="440"/>
      <c r="N31" s="440"/>
      <c r="O31" s="440"/>
      <c r="P31" s="440"/>
      <c r="Q31" s="440"/>
      <c r="R31" s="440"/>
      <c r="S31" s="440"/>
      <c r="T31" s="440"/>
      <c r="U31" s="440"/>
      <c r="V31" s="440"/>
      <c r="W31" s="440"/>
    </row>
    <row r="32" spans="1:22" ht="12.75">
      <c r="A32" s="56" t="s">
        <v>279</v>
      </c>
      <c r="B32" s="56">
        <v>1980</v>
      </c>
      <c r="C32" s="56">
        <v>1981</v>
      </c>
      <c r="D32" s="56">
        <v>1982</v>
      </c>
      <c r="E32" s="56">
        <v>1983</v>
      </c>
      <c r="F32" s="56">
        <v>1984</v>
      </c>
      <c r="G32" s="56">
        <v>1985</v>
      </c>
      <c r="H32" s="56">
        <v>1986</v>
      </c>
      <c r="I32" s="56">
        <v>1987</v>
      </c>
      <c r="J32" s="56">
        <v>1988</v>
      </c>
      <c r="K32" s="56">
        <v>1989</v>
      </c>
      <c r="L32" s="56">
        <v>1990</v>
      </c>
      <c r="M32" s="56">
        <v>1991</v>
      </c>
      <c r="N32" s="56">
        <v>1992</v>
      </c>
      <c r="O32" s="56">
        <v>1993</v>
      </c>
      <c r="P32" s="56">
        <v>1994</v>
      </c>
      <c r="Q32" s="56">
        <v>1995</v>
      </c>
      <c r="R32" s="56">
        <v>1996</v>
      </c>
      <c r="S32" s="56">
        <v>1997</v>
      </c>
      <c r="T32" s="56">
        <v>1998</v>
      </c>
      <c r="U32" s="56">
        <v>1999</v>
      </c>
      <c r="V32" s="56">
        <v>2000</v>
      </c>
    </row>
    <row r="33" spans="1:22" ht="12.75">
      <c r="A33" s="57" t="s">
        <v>280</v>
      </c>
      <c r="B33" s="55">
        <v>10183</v>
      </c>
      <c r="C33" s="55">
        <v>11280</v>
      </c>
      <c r="D33" s="55">
        <v>11901</v>
      </c>
      <c r="E33" s="55">
        <v>12554</v>
      </c>
      <c r="F33" s="55">
        <v>13824</v>
      </c>
      <c r="G33" s="55">
        <v>14705</v>
      </c>
      <c r="H33" s="55">
        <v>15397</v>
      </c>
      <c r="I33" s="55">
        <v>16284</v>
      </c>
      <c r="J33" s="55">
        <v>17403</v>
      </c>
      <c r="K33" s="55">
        <v>18566</v>
      </c>
      <c r="L33" s="55">
        <v>19572</v>
      </c>
      <c r="M33" s="55">
        <v>20023</v>
      </c>
      <c r="N33" s="55">
        <v>20960</v>
      </c>
      <c r="O33" s="55">
        <v>21539</v>
      </c>
      <c r="P33" s="55">
        <v>22340</v>
      </c>
      <c r="Q33" s="55">
        <v>23255</v>
      </c>
      <c r="R33" s="55">
        <v>24270</v>
      </c>
      <c r="S33" s="55">
        <v>25412</v>
      </c>
      <c r="T33" s="55">
        <v>26893</v>
      </c>
      <c r="U33" s="55">
        <v>27843</v>
      </c>
      <c r="V33" s="55">
        <v>29469</v>
      </c>
    </row>
    <row r="34" spans="1:22" ht="12.75">
      <c r="A34" s="57" t="s">
        <v>39</v>
      </c>
      <c r="B34" s="55">
        <v>8735</v>
      </c>
      <c r="C34" s="55">
        <v>9405</v>
      </c>
      <c r="D34" s="55">
        <v>9621</v>
      </c>
      <c r="E34" s="55">
        <v>10315</v>
      </c>
      <c r="F34" s="55">
        <v>11069</v>
      </c>
      <c r="G34" s="55">
        <v>11647</v>
      </c>
      <c r="H34" s="55">
        <v>11968</v>
      </c>
      <c r="I34" s="55">
        <v>12611</v>
      </c>
      <c r="J34" s="55">
        <v>13548</v>
      </c>
      <c r="K34" s="55">
        <v>14803</v>
      </c>
      <c r="L34" s="55">
        <v>15858</v>
      </c>
      <c r="M34" s="55">
        <v>16158</v>
      </c>
      <c r="N34" s="55">
        <v>17153</v>
      </c>
      <c r="O34" s="55">
        <v>18133</v>
      </c>
      <c r="P34" s="55">
        <v>18687</v>
      </c>
      <c r="Q34" s="55">
        <v>19425</v>
      </c>
      <c r="R34" s="55">
        <v>20093</v>
      </c>
      <c r="S34" s="55">
        <v>20534</v>
      </c>
      <c r="T34" s="55">
        <v>21612</v>
      </c>
      <c r="U34" s="55">
        <v>22371</v>
      </c>
      <c r="V34" s="55">
        <v>23727</v>
      </c>
    </row>
    <row r="35" spans="1:22" ht="12.75">
      <c r="A35" s="57" t="s">
        <v>40</v>
      </c>
      <c r="B35" s="55">
        <v>9143</v>
      </c>
      <c r="C35" s="55">
        <v>10244</v>
      </c>
      <c r="D35" s="55">
        <v>10672</v>
      </c>
      <c r="E35" s="55">
        <v>11045</v>
      </c>
      <c r="F35" s="55">
        <v>11705</v>
      </c>
      <c r="G35" s="55">
        <v>11900</v>
      </c>
      <c r="H35" s="55">
        <v>12465</v>
      </c>
      <c r="I35" s="55">
        <v>12996</v>
      </c>
      <c r="J35" s="55">
        <v>13362</v>
      </c>
      <c r="K35" s="55">
        <v>14623</v>
      </c>
      <c r="L35" s="55">
        <v>15516</v>
      </c>
      <c r="M35" s="55">
        <v>16471</v>
      </c>
      <c r="N35" s="55">
        <v>17045</v>
      </c>
      <c r="O35" s="55">
        <v>17968</v>
      </c>
      <c r="P35" s="55">
        <v>17995</v>
      </c>
      <c r="Q35" s="55">
        <v>18592</v>
      </c>
      <c r="R35" s="55">
        <v>19173</v>
      </c>
      <c r="S35" s="55">
        <v>19920</v>
      </c>
      <c r="T35" s="55">
        <v>21225</v>
      </c>
      <c r="U35" s="55">
        <v>21490</v>
      </c>
      <c r="V35" s="55">
        <v>22518</v>
      </c>
    </row>
    <row r="36" spans="1:22" ht="12.75">
      <c r="A36" s="57" t="s">
        <v>41</v>
      </c>
      <c r="B36" s="55">
        <v>10196</v>
      </c>
      <c r="C36" s="55">
        <v>10862</v>
      </c>
      <c r="D36" s="55">
        <v>11128</v>
      </c>
      <c r="E36" s="55">
        <v>11832</v>
      </c>
      <c r="F36" s="55">
        <v>12866</v>
      </c>
      <c r="G36" s="55">
        <v>13547</v>
      </c>
      <c r="H36" s="55">
        <v>14162</v>
      </c>
      <c r="I36" s="55">
        <v>14911</v>
      </c>
      <c r="J36" s="55">
        <v>16062</v>
      </c>
      <c r="K36" s="55">
        <v>17222</v>
      </c>
      <c r="L36" s="55">
        <v>18242</v>
      </c>
      <c r="M36" s="55">
        <v>18744</v>
      </c>
      <c r="N36" s="55">
        <v>19441</v>
      </c>
      <c r="O36" s="55">
        <v>20232</v>
      </c>
      <c r="P36" s="55">
        <v>21187</v>
      </c>
      <c r="Q36" s="55">
        <v>22362</v>
      </c>
      <c r="R36" s="55">
        <v>23270</v>
      </c>
      <c r="S36" s="55">
        <v>24385</v>
      </c>
      <c r="T36" s="55">
        <v>25446</v>
      </c>
      <c r="U36" s="55">
        <v>26261</v>
      </c>
      <c r="V36" s="55">
        <v>27660</v>
      </c>
    </row>
    <row r="37" spans="1:22" ht="12.75">
      <c r="A37" s="57" t="s">
        <v>42</v>
      </c>
      <c r="B37" s="55">
        <v>10913</v>
      </c>
      <c r="C37" s="55">
        <v>11903</v>
      </c>
      <c r="D37" s="55">
        <v>12431</v>
      </c>
      <c r="E37" s="55">
        <v>13124</v>
      </c>
      <c r="F37" s="55">
        <v>14021</v>
      </c>
      <c r="G37" s="55">
        <v>14738</v>
      </c>
      <c r="H37" s="55">
        <v>15522</v>
      </c>
      <c r="I37" s="55">
        <v>16300</v>
      </c>
      <c r="J37" s="55">
        <v>17270</v>
      </c>
      <c r="K37" s="55">
        <v>18670</v>
      </c>
      <c r="L37" s="55">
        <v>20017</v>
      </c>
      <c r="M37" s="55">
        <v>20850</v>
      </c>
      <c r="N37" s="55">
        <v>21825</v>
      </c>
      <c r="O37" s="55">
        <v>22282</v>
      </c>
      <c r="P37" s="55">
        <v>22946</v>
      </c>
      <c r="Q37" s="55">
        <v>23660</v>
      </c>
      <c r="R37" s="55">
        <v>25015</v>
      </c>
      <c r="S37" s="55">
        <v>26469</v>
      </c>
      <c r="T37" s="55">
        <v>28285</v>
      </c>
      <c r="U37" s="55">
        <v>29819</v>
      </c>
      <c r="V37" s="55">
        <v>31230</v>
      </c>
    </row>
    <row r="40" spans="1:6" ht="12.75">
      <c r="A40" s="56" t="s">
        <v>279</v>
      </c>
      <c r="B40" s="57" t="s">
        <v>280</v>
      </c>
      <c r="C40" s="57" t="s">
        <v>39</v>
      </c>
      <c r="D40" s="57" t="s">
        <v>40</v>
      </c>
      <c r="E40" s="57" t="s">
        <v>41</v>
      </c>
      <c r="F40" s="57" t="s">
        <v>42</v>
      </c>
    </row>
    <row r="41" spans="1:6" ht="12.75">
      <c r="A41" s="56">
        <v>1980</v>
      </c>
      <c r="B41" s="55">
        <v>10183</v>
      </c>
      <c r="C41" s="55">
        <v>8735</v>
      </c>
      <c r="D41" s="55">
        <v>9143</v>
      </c>
      <c r="E41" s="55">
        <v>10196</v>
      </c>
      <c r="F41" s="55">
        <v>10913</v>
      </c>
    </row>
    <row r="42" spans="1:6" ht="12.75">
      <c r="A42" s="56">
        <v>1981</v>
      </c>
      <c r="B42" s="55">
        <v>11280</v>
      </c>
      <c r="C42" s="55">
        <v>9405</v>
      </c>
      <c r="D42" s="55">
        <v>10244</v>
      </c>
      <c r="E42" s="55">
        <v>10862</v>
      </c>
      <c r="F42" s="55">
        <v>11903</v>
      </c>
    </row>
    <row r="43" spans="1:6" ht="12.75">
      <c r="A43" s="56">
        <v>1982</v>
      </c>
      <c r="B43" s="55">
        <v>11901</v>
      </c>
      <c r="C43" s="55">
        <v>9621</v>
      </c>
      <c r="D43" s="55">
        <v>10672</v>
      </c>
      <c r="E43" s="55">
        <v>11128</v>
      </c>
      <c r="F43" s="55">
        <v>12431</v>
      </c>
    </row>
    <row r="44" spans="1:6" ht="12.75">
      <c r="A44" s="56">
        <v>1983</v>
      </c>
      <c r="B44" s="55">
        <v>12554</v>
      </c>
      <c r="C44" s="55">
        <v>10315</v>
      </c>
      <c r="D44" s="55">
        <v>11045</v>
      </c>
      <c r="E44" s="55">
        <v>11832</v>
      </c>
      <c r="F44" s="55">
        <v>13124</v>
      </c>
    </row>
    <row r="45" spans="1:6" ht="12.75">
      <c r="A45" s="56">
        <v>1984</v>
      </c>
      <c r="B45" s="55">
        <v>13824</v>
      </c>
      <c r="C45" s="55">
        <v>11069</v>
      </c>
      <c r="D45" s="55">
        <v>11705</v>
      </c>
      <c r="E45" s="55">
        <v>12866</v>
      </c>
      <c r="F45" s="55">
        <v>14021</v>
      </c>
    </row>
    <row r="46" spans="1:6" ht="12.75">
      <c r="A46" s="56">
        <v>1985</v>
      </c>
      <c r="B46" s="55">
        <v>14705</v>
      </c>
      <c r="C46" s="55">
        <v>11647</v>
      </c>
      <c r="D46" s="55">
        <v>11900</v>
      </c>
      <c r="E46" s="55">
        <v>13547</v>
      </c>
      <c r="F46" s="55">
        <v>14738</v>
      </c>
    </row>
    <row r="47" spans="1:6" ht="12.75">
      <c r="A47" s="56">
        <v>1986</v>
      </c>
      <c r="B47" s="55">
        <v>15397</v>
      </c>
      <c r="C47" s="55">
        <v>11968</v>
      </c>
      <c r="D47" s="55">
        <v>12465</v>
      </c>
      <c r="E47" s="55">
        <v>14162</v>
      </c>
      <c r="F47" s="55">
        <v>15522</v>
      </c>
    </row>
    <row r="48" spans="1:6" ht="12.75">
      <c r="A48" s="56">
        <v>1987</v>
      </c>
      <c r="B48" s="55">
        <v>16284</v>
      </c>
      <c r="C48" s="55">
        <v>12611</v>
      </c>
      <c r="D48" s="55">
        <v>12996</v>
      </c>
      <c r="E48" s="55">
        <v>14911</v>
      </c>
      <c r="F48" s="55">
        <v>16300</v>
      </c>
    </row>
    <row r="49" spans="1:6" ht="12.75">
      <c r="A49" s="56">
        <v>1988</v>
      </c>
      <c r="B49" s="55">
        <v>17403</v>
      </c>
      <c r="C49" s="55">
        <v>13548</v>
      </c>
      <c r="D49" s="55">
        <v>13362</v>
      </c>
      <c r="E49" s="55">
        <v>16062</v>
      </c>
      <c r="F49" s="55">
        <v>17270</v>
      </c>
    </row>
    <row r="50" spans="1:6" ht="12.75">
      <c r="A50" s="56">
        <v>1989</v>
      </c>
      <c r="B50" s="55">
        <v>18566</v>
      </c>
      <c r="C50" s="55">
        <v>14803</v>
      </c>
      <c r="D50" s="55">
        <v>14623</v>
      </c>
      <c r="E50" s="55">
        <v>17222</v>
      </c>
      <c r="F50" s="55">
        <v>18670</v>
      </c>
    </row>
    <row r="51" spans="1:6" ht="12.75">
      <c r="A51" s="56">
        <v>1990</v>
      </c>
      <c r="B51" s="55">
        <v>19572</v>
      </c>
      <c r="C51" s="55">
        <v>15858</v>
      </c>
      <c r="D51" s="55">
        <v>15516</v>
      </c>
      <c r="E51" s="55">
        <v>18242</v>
      </c>
      <c r="F51" s="55">
        <v>20017</v>
      </c>
    </row>
    <row r="52" spans="1:6" ht="12.75">
      <c r="A52" s="56">
        <v>1991</v>
      </c>
      <c r="B52" s="55">
        <v>20023</v>
      </c>
      <c r="C52" s="55">
        <v>16158</v>
      </c>
      <c r="D52" s="55">
        <v>16471</v>
      </c>
      <c r="E52" s="55">
        <v>18744</v>
      </c>
      <c r="F52" s="55">
        <v>20850</v>
      </c>
    </row>
    <row r="53" spans="1:6" ht="12.75">
      <c r="A53" s="56">
        <v>1992</v>
      </c>
      <c r="B53" s="55">
        <v>20960</v>
      </c>
      <c r="C53" s="55">
        <v>17153</v>
      </c>
      <c r="D53" s="55">
        <v>17045</v>
      </c>
      <c r="E53" s="55">
        <v>19441</v>
      </c>
      <c r="F53" s="55">
        <v>21825</v>
      </c>
    </row>
    <row r="54" spans="1:6" ht="12.75">
      <c r="A54" s="56">
        <v>1993</v>
      </c>
      <c r="B54" s="55">
        <v>21539</v>
      </c>
      <c r="C54" s="55">
        <v>18133</v>
      </c>
      <c r="D54" s="55">
        <v>17968</v>
      </c>
      <c r="E54" s="55">
        <v>20232</v>
      </c>
      <c r="F54" s="55">
        <v>22282</v>
      </c>
    </row>
    <row r="55" spans="1:6" ht="12.75">
      <c r="A55" s="56">
        <v>1994</v>
      </c>
      <c r="B55" s="55">
        <v>22340</v>
      </c>
      <c r="C55" s="55">
        <v>18687</v>
      </c>
      <c r="D55" s="55">
        <v>17995</v>
      </c>
      <c r="E55" s="55">
        <v>21187</v>
      </c>
      <c r="F55" s="55">
        <v>22946</v>
      </c>
    </row>
    <row r="56" spans="1:6" ht="12.75">
      <c r="A56" s="56">
        <v>1995</v>
      </c>
      <c r="B56" s="55">
        <v>23255</v>
      </c>
      <c r="C56" s="55">
        <v>19425</v>
      </c>
      <c r="D56" s="55">
        <v>18592</v>
      </c>
      <c r="E56" s="55">
        <v>22362</v>
      </c>
      <c r="F56" s="55">
        <v>23660</v>
      </c>
    </row>
    <row r="57" spans="1:6" ht="12.75">
      <c r="A57" s="56">
        <v>1996</v>
      </c>
      <c r="B57" s="55">
        <v>24270</v>
      </c>
      <c r="C57" s="55">
        <v>20093</v>
      </c>
      <c r="D57" s="55">
        <v>19173</v>
      </c>
      <c r="E57" s="55">
        <v>23270</v>
      </c>
      <c r="F57" s="55">
        <v>25015</v>
      </c>
    </row>
    <row r="58" spans="1:6" ht="12.75">
      <c r="A58" s="56">
        <v>1997</v>
      </c>
      <c r="B58" s="55">
        <v>25412</v>
      </c>
      <c r="C58" s="55">
        <v>20534</v>
      </c>
      <c r="D58" s="55">
        <v>19920</v>
      </c>
      <c r="E58" s="55">
        <v>24385</v>
      </c>
      <c r="F58" s="55">
        <v>26469</v>
      </c>
    </row>
    <row r="59" spans="1:6" ht="12.75">
      <c r="A59" s="56">
        <v>1998</v>
      </c>
      <c r="B59" s="55">
        <v>26893</v>
      </c>
      <c r="C59" s="55">
        <v>21612</v>
      </c>
      <c r="D59" s="55">
        <v>21225</v>
      </c>
      <c r="E59" s="55">
        <v>25446</v>
      </c>
      <c r="F59" s="55">
        <v>28285</v>
      </c>
    </row>
    <row r="60" spans="1:6" ht="12.75">
      <c r="A60" s="56">
        <v>1999</v>
      </c>
      <c r="B60" s="55">
        <v>27843</v>
      </c>
      <c r="C60" s="55">
        <v>22371</v>
      </c>
      <c r="D60" s="55">
        <v>21490</v>
      </c>
      <c r="E60" s="55">
        <v>26261</v>
      </c>
      <c r="F60" s="55">
        <v>29819</v>
      </c>
    </row>
    <row r="61" spans="1:6" ht="12.75">
      <c r="A61" s="56">
        <v>2000</v>
      </c>
      <c r="B61" s="55">
        <v>29469</v>
      </c>
      <c r="C61" s="55">
        <v>23727</v>
      </c>
      <c r="D61" s="55">
        <v>22518</v>
      </c>
      <c r="E61" s="55">
        <v>27660</v>
      </c>
      <c r="F61" s="55">
        <v>31230</v>
      </c>
    </row>
  </sheetData>
  <mergeCells count="3">
    <mergeCell ref="A30:W30"/>
    <mergeCell ref="A31:W31"/>
    <mergeCell ref="B2:E2"/>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S61"/>
  <sheetViews>
    <sheetView zoomScale="75" zoomScaleNormal="75" workbookViewId="0" topLeftCell="A4">
      <selection activeCell="C55" sqref="C55"/>
    </sheetView>
  </sheetViews>
  <sheetFormatPr defaultColWidth="9.140625" defaultRowHeight="12.75"/>
  <cols>
    <col min="1" max="1" width="9.8515625" style="0" customWidth="1"/>
    <col min="2" max="3" width="13.57421875" style="0" customWidth="1"/>
    <col min="4" max="4" width="14.8515625" style="0" customWidth="1"/>
    <col min="5" max="5" width="13.00390625" style="0" customWidth="1"/>
    <col min="6" max="6" width="1.421875" style="0" customWidth="1"/>
    <col min="7" max="7" width="7.140625" style="0" customWidth="1"/>
    <col min="8" max="8" width="14.57421875" style="0" bestFit="1" customWidth="1"/>
    <col min="9" max="9" width="12.00390625" style="0" customWidth="1"/>
    <col min="10" max="11" width="12.140625" style="0" bestFit="1" customWidth="1"/>
    <col min="12" max="12" width="13.00390625" style="0" bestFit="1" customWidth="1"/>
    <col min="13" max="13" width="1.28515625" style="0" customWidth="1"/>
    <col min="14" max="14" width="6.7109375" style="0" customWidth="1"/>
    <col min="15" max="15" width="11.7109375" style="0" customWidth="1"/>
    <col min="16" max="16" width="11.140625" style="0" customWidth="1"/>
    <col min="17" max="17" width="12.28125" style="0" customWidth="1"/>
    <col min="18" max="18" width="11.57421875" style="0" customWidth="1"/>
    <col min="19" max="19" width="11.421875" style="0" customWidth="1"/>
    <col min="20" max="20" width="1.28515625" style="0" customWidth="1"/>
    <col min="21" max="21" width="9.28125" style="0" bestFit="1" customWidth="1"/>
    <col min="22" max="22" width="10.421875" style="0" bestFit="1" customWidth="1"/>
    <col min="23" max="23" width="10.7109375" style="0" customWidth="1"/>
    <col min="24" max="24" width="11.140625" style="0" customWidth="1"/>
    <col min="25" max="25" width="12.57421875" style="0" customWidth="1"/>
    <col min="26" max="26" width="11.7109375" style="0" customWidth="1"/>
    <col min="27" max="27" width="1.57421875" style="0" customWidth="1"/>
    <col min="28" max="28" width="10.28125" style="0" bestFit="1" customWidth="1"/>
    <col min="29" max="29" width="9.7109375" style="0" bestFit="1" customWidth="1"/>
    <col min="32" max="32" width="11.421875" style="0" customWidth="1"/>
    <col min="35" max="35" width="8.7109375" style="0" customWidth="1"/>
    <col min="36" max="36" width="14.00390625" style="0" bestFit="1" customWidth="1"/>
    <col min="37" max="38" width="15.00390625" style="0" bestFit="1" customWidth="1"/>
    <col min="39" max="39" width="16.00390625" style="0" bestFit="1" customWidth="1"/>
    <col min="41" max="42" width="11.28125" style="0" bestFit="1" customWidth="1"/>
    <col min="43" max="45" width="12.8515625" style="0" bestFit="1" customWidth="1"/>
  </cols>
  <sheetData>
    <row r="1" spans="1:40" ht="13.5" thickBot="1">
      <c r="A1" s="415" t="s">
        <v>304</v>
      </c>
      <c r="B1" s="416"/>
      <c r="C1" s="416"/>
      <c r="D1" s="416"/>
      <c r="E1" s="417"/>
      <c r="F1" s="107"/>
      <c r="G1" s="415" t="s">
        <v>291</v>
      </c>
      <c r="H1" s="416"/>
      <c r="I1" s="416"/>
      <c r="J1" s="416"/>
      <c r="K1" s="416"/>
      <c r="L1" s="417"/>
      <c r="M1" s="107"/>
      <c r="N1" s="415" t="s">
        <v>290</v>
      </c>
      <c r="O1" s="416"/>
      <c r="P1" s="416"/>
      <c r="Q1" s="416"/>
      <c r="R1" s="416"/>
      <c r="S1" s="417"/>
      <c r="T1" s="107"/>
      <c r="U1" s="415" t="s">
        <v>288</v>
      </c>
      <c r="V1" s="416"/>
      <c r="W1" s="416"/>
      <c r="X1" s="416"/>
      <c r="Y1" s="416"/>
      <c r="Z1" s="417"/>
      <c r="AA1" s="107"/>
      <c r="AB1" s="415" t="s">
        <v>570</v>
      </c>
      <c r="AC1" s="416"/>
      <c r="AD1" s="416"/>
      <c r="AE1" s="416"/>
      <c r="AF1" s="416"/>
      <c r="AG1" s="417"/>
      <c r="AI1" s="415" t="s">
        <v>749</v>
      </c>
      <c r="AJ1" s="416"/>
      <c r="AK1" s="416"/>
      <c r="AL1" s="416"/>
      <c r="AM1" s="416"/>
      <c r="AN1" s="417"/>
    </row>
    <row r="2" spans="1:33" ht="41.25" customHeight="1">
      <c r="A2" s="103" t="s">
        <v>38</v>
      </c>
      <c r="B2" s="104" t="s">
        <v>296</v>
      </c>
      <c r="C2" s="104" t="s">
        <v>297</v>
      </c>
      <c r="D2" s="104" t="s">
        <v>291</v>
      </c>
      <c r="E2" s="104" t="s">
        <v>303</v>
      </c>
      <c r="F2" s="107"/>
      <c r="G2" s="105" t="s">
        <v>38</v>
      </c>
      <c r="H2" s="106" t="s">
        <v>39</v>
      </c>
      <c r="I2" s="106" t="s">
        <v>40</v>
      </c>
      <c r="J2" s="106" t="s">
        <v>41</v>
      </c>
      <c r="K2" s="106" t="s">
        <v>42</v>
      </c>
      <c r="L2" s="105" t="s">
        <v>43</v>
      </c>
      <c r="M2" s="107"/>
      <c r="N2" s="105" t="s">
        <v>38</v>
      </c>
      <c r="O2" s="106" t="s">
        <v>39</v>
      </c>
      <c r="P2" s="106" t="s">
        <v>40</v>
      </c>
      <c r="Q2" s="106" t="s">
        <v>41</v>
      </c>
      <c r="R2" s="106" t="s">
        <v>42</v>
      </c>
      <c r="S2" s="105" t="s">
        <v>43</v>
      </c>
      <c r="T2" s="107"/>
      <c r="U2" s="105" t="s">
        <v>38</v>
      </c>
      <c r="V2" s="106" t="s">
        <v>39</v>
      </c>
      <c r="W2" s="106" t="s">
        <v>40</v>
      </c>
      <c r="X2" s="106" t="s">
        <v>41</v>
      </c>
      <c r="Y2" s="106" t="s">
        <v>42</v>
      </c>
      <c r="Z2" s="105" t="s">
        <v>43</v>
      </c>
      <c r="AA2" s="107"/>
      <c r="AB2" s="105" t="s">
        <v>38</v>
      </c>
      <c r="AC2" s="105" t="s">
        <v>39</v>
      </c>
      <c r="AD2" s="105" t="s">
        <v>40</v>
      </c>
      <c r="AE2" s="105" t="s">
        <v>41</v>
      </c>
      <c r="AF2" s="105" t="s">
        <v>42</v>
      </c>
      <c r="AG2" s="105" t="s">
        <v>284</v>
      </c>
    </row>
    <row r="3" spans="1:39" ht="13.5" thickBot="1">
      <c r="A3" s="60">
        <v>1980</v>
      </c>
      <c r="B3" s="49">
        <f>S3</f>
        <v>3139952</v>
      </c>
      <c r="C3" s="49">
        <f aca="true" t="shared" si="0" ref="C3:C25">Z3</f>
        <v>3476427</v>
      </c>
      <c r="D3" s="26">
        <f>L3</f>
        <v>8532631</v>
      </c>
      <c r="E3" s="72">
        <f>AG3</f>
        <v>2.7174399481265956</v>
      </c>
      <c r="F3" s="107"/>
      <c r="G3" s="24">
        <v>1980</v>
      </c>
      <c r="H3" s="70">
        <v>947983</v>
      </c>
      <c r="I3" s="70">
        <v>788752</v>
      </c>
      <c r="J3" s="70">
        <v>2641218</v>
      </c>
      <c r="K3" s="70">
        <v>4154678</v>
      </c>
      <c r="L3" s="26">
        <f aca="true" t="shared" si="1" ref="L3:L22">SUM(H3:K3)</f>
        <v>8532631</v>
      </c>
      <c r="M3" s="107"/>
      <c r="N3" s="24">
        <v>1980</v>
      </c>
      <c r="O3" s="22">
        <v>324107</v>
      </c>
      <c r="P3" s="49">
        <v>283742</v>
      </c>
      <c r="Q3" s="49">
        <v>991593</v>
      </c>
      <c r="R3" s="49">
        <v>1540510</v>
      </c>
      <c r="S3" s="49">
        <f>SUM(O3:R3)</f>
        <v>3139952</v>
      </c>
      <c r="T3" s="107"/>
      <c r="U3" s="24">
        <v>1980</v>
      </c>
      <c r="V3" s="49">
        <v>375200</v>
      </c>
      <c r="W3" s="49">
        <v>328465</v>
      </c>
      <c r="X3" s="49">
        <v>1083284</v>
      </c>
      <c r="Y3" s="49">
        <v>1689478</v>
      </c>
      <c r="Z3" s="49">
        <v>3476427</v>
      </c>
      <c r="AA3" s="107"/>
      <c r="AB3" s="24">
        <v>1980</v>
      </c>
      <c r="AC3" s="98">
        <v>2.9249075151107506</v>
      </c>
      <c r="AD3" s="98">
        <v>2.7798211050884256</v>
      </c>
      <c r="AE3" s="98">
        <v>2.6636109774877395</v>
      </c>
      <c r="AF3" s="98">
        <v>2.696949711459192</v>
      </c>
      <c r="AG3" s="98">
        <v>2.7174399481265956</v>
      </c>
      <c r="AI3" s="53">
        <f>H3/V3</f>
        <v>2.526607142857143</v>
      </c>
      <c r="AJ3" s="53">
        <f aca="true" t="shared" si="2" ref="AJ3:AM18">I3/W3</f>
        <v>2.4013273864795335</v>
      </c>
      <c r="AK3" s="53">
        <f t="shared" si="2"/>
        <v>2.4381584145985724</v>
      </c>
      <c r="AL3" s="53">
        <f t="shared" si="2"/>
        <v>2.4591489205541595</v>
      </c>
      <c r="AM3" s="53">
        <f t="shared" si="2"/>
        <v>2.454425477652774</v>
      </c>
    </row>
    <row r="4" spans="1:39" ht="12.75">
      <c r="A4" s="89">
        <v>1981</v>
      </c>
      <c r="B4" s="49">
        <f aca="true" t="shared" si="3" ref="B4:B23">S4</f>
        <v>3218919</v>
      </c>
      <c r="C4" s="49">
        <f t="shared" si="0"/>
        <v>3571921</v>
      </c>
      <c r="D4" s="26">
        <f aca="true" t="shared" si="4" ref="D4:D23">L4</f>
        <v>8661242</v>
      </c>
      <c r="E4" s="72">
        <f aca="true" t="shared" si="5" ref="E4:E23">AG4</f>
        <v>2.6907300245827868</v>
      </c>
      <c r="F4" s="107"/>
      <c r="G4" s="24">
        <v>1981</v>
      </c>
      <c r="H4" s="70">
        <v>962204</v>
      </c>
      <c r="I4" s="70">
        <v>795325</v>
      </c>
      <c r="J4" s="70">
        <v>2667985</v>
      </c>
      <c r="K4" s="70">
        <v>4235728</v>
      </c>
      <c r="L4" s="26">
        <f t="shared" si="1"/>
        <v>8661242</v>
      </c>
      <c r="M4" s="107"/>
      <c r="N4" s="24">
        <v>1981</v>
      </c>
      <c r="O4" s="22">
        <v>331879</v>
      </c>
      <c r="P4" s="49">
        <v>289393</v>
      </c>
      <c r="Q4" s="49">
        <v>1008657</v>
      </c>
      <c r="R4" s="49">
        <v>1588990</v>
      </c>
      <c r="S4" s="49">
        <f aca="true" t="shared" si="6" ref="S4:S48">SUM(O4:R4)</f>
        <v>3218919</v>
      </c>
      <c r="T4" s="107"/>
      <c r="U4" s="24">
        <v>1981</v>
      </c>
      <c r="V4" s="49">
        <v>384230</v>
      </c>
      <c r="W4" s="49">
        <v>334098</v>
      </c>
      <c r="X4" s="49">
        <v>1110505</v>
      </c>
      <c r="Y4" s="49">
        <v>1743088</v>
      </c>
      <c r="Z4" s="49">
        <v>3571921</v>
      </c>
      <c r="AA4" s="107"/>
      <c r="AB4" s="24">
        <v>1981</v>
      </c>
      <c r="AC4" s="98">
        <v>2.8992614778277623</v>
      </c>
      <c r="AD4" s="98">
        <v>2.748252376526039</v>
      </c>
      <c r="AE4" s="98">
        <v>2.645086486288203</v>
      </c>
      <c r="AF4" s="98">
        <v>2.665673163456032</v>
      </c>
      <c r="AG4" s="98">
        <v>2.6907300245827868</v>
      </c>
      <c r="AI4" s="53">
        <f aca="true" t="shared" si="7" ref="AI4:AI22">H4/V4</f>
        <v>2.504239648127424</v>
      </c>
      <c r="AJ4" s="53">
        <f t="shared" si="2"/>
        <v>2.3805141006531017</v>
      </c>
      <c r="AK4" s="53">
        <f t="shared" si="2"/>
        <v>2.4024970621474013</v>
      </c>
      <c r="AL4" s="53">
        <f t="shared" si="2"/>
        <v>2.4300138604591393</v>
      </c>
      <c r="AM4" s="53">
        <f t="shared" si="2"/>
        <v>2.424813426724723</v>
      </c>
    </row>
    <row r="5" spans="1:39" ht="12.75">
      <c r="A5" s="60">
        <v>1982</v>
      </c>
      <c r="B5" s="49">
        <f t="shared" si="3"/>
        <v>3234601</v>
      </c>
      <c r="C5" s="49">
        <f t="shared" si="0"/>
        <v>3619608</v>
      </c>
      <c r="D5" s="26">
        <f t="shared" si="4"/>
        <v>8719173</v>
      </c>
      <c r="E5" s="72">
        <f t="shared" si="5"/>
        <v>2.6955946034765956</v>
      </c>
      <c r="F5" s="107"/>
      <c r="G5" s="24">
        <v>1982</v>
      </c>
      <c r="H5" s="70">
        <v>973719</v>
      </c>
      <c r="I5" s="70">
        <v>803984</v>
      </c>
      <c r="J5" s="70">
        <v>2664919</v>
      </c>
      <c r="K5" s="70">
        <v>4276551</v>
      </c>
      <c r="L5" s="26">
        <f t="shared" si="1"/>
        <v>8719173</v>
      </c>
      <c r="M5" s="107"/>
      <c r="N5" s="24">
        <v>1982</v>
      </c>
      <c r="O5" s="22">
        <v>334311</v>
      </c>
      <c r="P5" s="49">
        <v>292627</v>
      </c>
      <c r="Q5" s="49">
        <v>1004965</v>
      </c>
      <c r="R5" s="49">
        <v>1602698</v>
      </c>
      <c r="S5" s="49">
        <f t="shared" si="6"/>
        <v>3234601</v>
      </c>
      <c r="T5" s="107"/>
      <c r="U5" s="24">
        <v>1982</v>
      </c>
      <c r="V5" s="49">
        <v>388416</v>
      </c>
      <c r="W5" s="49">
        <v>337823</v>
      </c>
      <c r="X5" s="49">
        <v>1122637</v>
      </c>
      <c r="Y5" s="49">
        <v>1770732</v>
      </c>
      <c r="Z5" s="49">
        <v>3619608</v>
      </c>
      <c r="AA5" s="107"/>
      <c r="AB5" s="24">
        <v>1982</v>
      </c>
      <c r="AC5" s="98">
        <v>2.9126143022514963</v>
      </c>
      <c r="AD5" s="98">
        <v>2.7474703291220566</v>
      </c>
      <c r="AE5" s="98">
        <v>2.6517530461259846</v>
      </c>
      <c r="AF5" s="98">
        <v>2.668344878448716</v>
      </c>
      <c r="AG5" s="98">
        <v>2.6955946034765956</v>
      </c>
      <c r="AI5" s="53">
        <f t="shared" si="7"/>
        <v>2.5068972441917943</v>
      </c>
      <c r="AJ5" s="53">
        <f t="shared" si="2"/>
        <v>2.3798971650834906</v>
      </c>
      <c r="AK5" s="53">
        <f t="shared" si="2"/>
        <v>2.373802930065551</v>
      </c>
      <c r="AL5" s="53">
        <f t="shared" si="2"/>
        <v>2.4151317082426926</v>
      </c>
      <c r="AM5" s="53">
        <f t="shared" si="2"/>
        <v>2.4088721762135568</v>
      </c>
    </row>
    <row r="6" spans="1:39" ht="12.75">
      <c r="A6" s="60">
        <v>1983</v>
      </c>
      <c r="B6" s="49">
        <f t="shared" si="3"/>
        <v>3237915</v>
      </c>
      <c r="C6" s="49">
        <f t="shared" si="0"/>
        <v>3652666</v>
      </c>
      <c r="D6" s="26">
        <f t="shared" si="4"/>
        <v>8749235</v>
      </c>
      <c r="E6" s="72">
        <f t="shared" si="5"/>
        <v>2.7021200371226546</v>
      </c>
      <c r="F6" s="107"/>
      <c r="G6" s="24">
        <v>1983</v>
      </c>
      <c r="H6" s="70">
        <v>981866</v>
      </c>
      <c r="I6" s="70">
        <v>814029</v>
      </c>
      <c r="J6" s="70">
        <v>2653071</v>
      </c>
      <c r="K6" s="70">
        <v>4300269</v>
      </c>
      <c r="L6" s="26">
        <f t="shared" si="1"/>
        <v>8749235</v>
      </c>
      <c r="M6" s="107"/>
      <c r="N6" s="24">
        <v>1983</v>
      </c>
      <c r="O6" s="22">
        <v>336368</v>
      </c>
      <c r="P6" s="49">
        <v>296040</v>
      </c>
      <c r="Q6" s="49">
        <v>997864</v>
      </c>
      <c r="R6" s="49">
        <v>1607643</v>
      </c>
      <c r="S6" s="49">
        <f t="shared" si="6"/>
        <v>3237915</v>
      </c>
      <c r="T6" s="107"/>
      <c r="U6" s="24">
        <v>1983</v>
      </c>
      <c r="V6" s="49">
        <v>391279</v>
      </c>
      <c r="W6" s="49">
        <v>341433</v>
      </c>
      <c r="X6" s="49">
        <v>1128877</v>
      </c>
      <c r="Y6" s="49">
        <v>1791077</v>
      </c>
      <c r="Z6" s="49">
        <v>3652666</v>
      </c>
      <c r="AA6" s="107"/>
      <c r="AB6" s="24">
        <v>1983</v>
      </c>
      <c r="AC6" s="98">
        <v>2.9190232126718354</v>
      </c>
      <c r="AD6" s="98">
        <v>2.749726388325902</v>
      </c>
      <c r="AE6" s="98">
        <v>2.6587500901926515</v>
      </c>
      <c r="AF6" s="98">
        <v>2.674890507407428</v>
      </c>
      <c r="AG6" s="98">
        <v>2.7021200371226546</v>
      </c>
      <c r="AI6" s="53">
        <f t="shared" si="7"/>
        <v>2.5093756628901627</v>
      </c>
      <c r="AJ6" s="53">
        <f t="shared" si="2"/>
        <v>2.3841544314697174</v>
      </c>
      <c r="AK6" s="53">
        <f t="shared" si="2"/>
        <v>2.35018606987298</v>
      </c>
      <c r="AL6" s="53">
        <f t="shared" si="2"/>
        <v>2.400940328081931</v>
      </c>
      <c r="AM6" s="53">
        <f t="shared" si="2"/>
        <v>2.395301130735742</v>
      </c>
    </row>
    <row r="7" spans="1:39" ht="12.75">
      <c r="A7" s="60">
        <v>1984</v>
      </c>
      <c r="B7" s="49">
        <f t="shared" si="3"/>
        <v>3295060</v>
      </c>
      <c r="C7" s="49">
        <f t="shared" si="0"/>
        <v>3694908</v>
      </c>
      <c r="D7" s="26">
        <f t="shared" si="4"/>
        <v>8821991</v>
      </c>
      <c r="E7" s="72">
        <f t="shared" si="5"/>
        <v>2.6773385006646313</v>
      </c>
      <c r="F7" s="107"/>
      <c r="G7" s="24">
        <v>1984</v>
      </c>
      <c r="H7" s="70">
        <v>990841</v>
      </c>
      <c r="I7" s="70">
        <v>820904</v>
      </c>
      <c r="J7" s="70">
        <v>2666589</v>
      </c>
      <c r="K7" s="70">
        <v>4343657</v>
      </c>
      <c r="L7" s="26">
        <f t="shared" si="1"/>
        <v>8821991</v>
      </c>
      <c r="M7" s="107"/>
      <c r="N7" s="24">
        <v>1984</v>
      </c>
      <c r="O7" s="22">
        <v>342566</v>
      </c>
      <c r="P7" s="49">
        <v>300845</v>
      </c>
      <c r="Q7" s="49">
        <v>1012077</v>
      </c>
      <c r="R7" s="49">
        <v>1639572</v>
      </c>
      <c r="S7" s="49">
        <f t="shared" si="6"/>
        <v>3295060</v>
      </c>
      <c r="T7" s="107"/>
      <c r="U7" s="24">
        <v>1984</v>
      </c>
      <c r="V7" s="49">
        <v>395493</v>
      </c>
      <c r="W7" s="49">
        <v>346052</v>
      </c>
      <c r="X7" s="49">
        <v>1135262</v>
      </c>
      <c r="Y7" s="49">
        <v>1818101</v>
      </c>
      <c r="Z7" s="49">
        <v>3694908</v>
      </c>
      <c r="AA7" s="107"/>
      <c r="AB7" s="24">
        <v>1984</v>
      </c>
      <c r="AC7" s="98">
        <v>2.892409054021707</v>
      </c>
      <c r="AD7" s="98">
        <v>2.728660938356961</v>
      </c>
      <c r="AE7" s="98">
        <v>2.6347688960424946</v>
      </c>
      <c r="AF7" s="98">
        <v>2.649262734420934</v>
      </c>
      <c r="AG7" s="98">
        <v>2.6773385006646313</v>
      </c>
      <c r="AI7" s="53">
        <f t="shared" si="7"/>
        <v>2.5053313206554857</v>
      </c>
      <c r="AJ7" s="53">
        <f t="shared" si="2"/>
        <v>2.372198397928635</v>
      </c>
      <c r="AK7" s="53">
        <f t="shared" si="2"/>
        <v>2.348875413781136</v>
      </c>
      <c r="AL7" s="53">
        <f t="shared" si="2"/>
        <v>2.389117546274932</v>
      </c>
      <c r="AM7" s="53">
        <f t="shared" si="2"/>
        <v>2.387607756404219</v>
      </c>
    </row>
    <row r="8" spans="1:39" ht="12.75">
      <c r="A8" s="60">
        <v>1985</v>
      </c>
      <c r="B8" s="49">
        <f t="shared" si="3"/>
        <v>3341140</v>
      </c>
      <c r="C8" s="49">
        <f t="shared" si="0"/>
        <v>3740507</v>
      </c>
      <c r="D8" s="26">
        <f t="shared" si="4"/>
        <v>8889116</v>
      </c>
      <c r="E8" s="72">
        <f t="shared" si="5"/>
        <v>2.6605038998665127</v>
      </c>
      <c r="F8" s="107"/>
      <c r="G8" s="24">
        <v>1985</v>
      </c>
      <c r="H8" s="70">
        <v>994052</v>
      </c>
      <c r="I8" s="70">
        <v>822320</v>
      </c>
      <c r="J8" s="70">
        <v>2672648</v>
      </c>
      <c r="K8" s="70">
        <v>4400096</v>
      </c>
      <c r="L8" s="26">
        <f t="shared" si="1"/>
        <v>8889116</v>
      </c>
      <c r="M8" s="107"/>
      <c r="N8" s="24">
        <v>1985</v>
      </c>
      <c r="O8" s="22">
        <v>346679</v>
      </c>
      <c r="P8" s="49">
        <v>303142</v>
      </c>
      <c r="Q8" s="49">
        <v>1020844</v>
      </c>
      <c r="R8" s="49">
        <v>1670475</v>
      </c>
      <c r="S8" s="49">
        <f t="shared" si="6"/>
        <v>3341140</v>
      </c>
      <c r="T8" s="107"/>
      <c r="U8" s="24">
        <v>1985</v>
      </c>
      <c r="V8" s="49">
        <v>399728</v>
      </c>
      <c r="W8" s="49">
        <v>350505</v>
      </c>
      <c r="X8" s="49">
        <v>1141208</v>
      </c>
      <c r="Y8" s="49">
        <v>1849066</v>
      </c>
      <c r="Z8" s="49">
        <v>3740507</v>
      </c>
      <c r="AA8" s="107"/>
      <c r="AB8" s="24">
        <v>1985</v>
      </c>
      <c r="AC8" s="98">
        <v>2.867355680615209</v>
      </c>
      <c r="AD8" s="98">
        <v>2.7126561149560273</v>
      </c>
      <c r="AE8" s="98">
        <v>2.6180768070341798</v>
      </c>
      <c r="AF8" s="98">
        <v>2.6340388212933448</v>
      </c>
      <c r="AG8" s="98">
        <v>2.6605038998665127</v>
      </c>
      <c r="AI8" s="53">
        <f t="shared" si="7"/>
        <v>2.486821038306048</v>
      </c>
      <c r="AJ8" s="53">
        <f t="shared" si="2"/>
        <v>2.3461006262392834</v>
      </c>
      <c r="AK8" s="53">
        <f t="shared" si="2"/>
        <v>2.3419464286966094</v>
      </c>
      <c r="AL8" s="53">
        <f t="shared" si="2"/>
        <v>2.3796316626880816</v>
      </c>
      <c r="AM8" s="53">
        <f t="shared" si="2"/>
        <v>2.376446829266728</v>
      </c>
    </row>
    <row r="9" spans="1:39" ht="12.75">
      <c r="A9" s="60">
        <v>1986</v>
      </c>
      <c r="B9" s="49">
        <f t="shared" si="3"/>
        <v>3380372</v>
      </c>
      <c r="C9" s="49">
        <f t="shared" si="0"/>
        <v>3789991</v>
      </c>
      <c r="D9" s="26">
        <f t="shared" si="4"/>
        <v>8940210</v>
      </c>
      <c r="E9" s="72">
        <f t="shared" si="5"/>
        <v>2.6447414663238247</v>
      </c>
      <c r="F9" s="107"/>
      <c r="G9" s="24">
        <v>1986</v>
      </c>
      <c r="H9" s="70">
        <v>990222</v>
      </c>
      <c r="I9" s="70">
        <v>813738</v>
      </c>
      <c r="J9" s="70">
        <v>2683526</v>
      </c>
      <c r="K9" s="70">
        <v>4452724</v>
      </c>
      <c r="L9" s="26">
        <f t="shared" si="1"/>
        <v>8940210</v>
      </c>
      <c r="M9" s="107"/>
      <c r="N9" s="24">
        <v>1986</v>
      </c>
      <c r="O9" s="22">
        <v>347335</v>
      </c>
      <c r="P9" s="49">
        <v>302335</v>
      </c>
      <c r="Q9" s="49">
        <v>1031069</v>
      </c>
      <c r="R9" s="49">
        <v>1699633</v>
      </c>
      <c r="S9" s="49">
        <f t="shared" si="6"/>
        <v>3380372</v>
      </c>
      <c r="T9" s="107"/>
      <c r="U9" s="24">
        <v>1986</v>
      </c>
      <c r="V9" s="49">
        <v>403431</v>
      </c>
      <c r="W9" s="49">
        <v>354047</v>
      </c>
      <c r="X9" s="49">
        <v>1149004</v>
      </c>
      <c r="Y9" s="49">
        <v>1883509</v>
      </c>
      <c r="Z9" s="49">
        <v>3789991</v>
      </c>
      <c r="AA9" s="107"/>
      <c r="AB9" s="24">
        <v>1986</v>
      </c>
      <c r="AC9" s="98">
        <v>2.8509133833330935</v>
      </c>
      <c r="AD9" s="98">
        <v>2.69151107215506</v>
      </c>
      <c r="AE9" s="98">
        <v>2.6026638372407667</v>
      </c>
      <c r="AF9" s="98">
        <v>2.6198149835876334</v>
      </c>
      <c r="AG9" s="98">
        <v>2.6447414663238247</v>
      </c>
      <c r="AI9" s="53">
        <f t="shared" si="7"/>
        <v>2.454501513269927</v>
      </c>
      <c r="AJ9" s="53">
        <f t="shared" si="2"/>
        <v>2.298389761811285</v>
      </c>
      <c r="AK9" s="53">
        <f t="shared" si="2"/>
        <v>2.3355236361231118</v>
      </c>
      <c r="AL9" s="53">
        <f t="shared" si="2"/>
        <v>2.364057724173338</v>
      </c>
      <c r="AM9" s="53">
        <f t="shared" si="2"/>
        <v>2.3589000607125454</v>
      </c>
    </row>
    <row r="10" spans="1:39" ht="12.75">
      <c r="A10" s="60">
        <v>1987</v>
      </c>
      <c r="B10" s="49">
        <f t="shared" si="3"/>
        <v>3428400</v>
      </c>
      <c r="C10" s="49">
        <f t="shared" si="0"/>
        <v>3838913</v>
      </c>
      <c r="D10" s="26">
        <f t="shared" si="4"/>
        <v>9022960</v>
      </c>
      <c r="E10" s="72">
        <f t="shared" si="5"/>
        <v>2.6318282580795707</v>
      </c>
      <c r="F10" s="107"/>
      <c r="G10" s="24">
        <v>1987</v>
      </c>
      <c r="H10" s="70">
        <v>984997</v>
      </c>
      <c r="I10" s="70">
        <v>805064</v>
      </c>
      <c r="J10" s="70">
        <v>2700996</v>
      </c>
      <c r="K10" s="70">
        <v>4531903</v>
      </c>
      <c r="L10" s="26">
        <f t="shared" si="1"/>
        <v>9022960</v>
      </c>
      <c r="M10" s="107"/>
      <c r="N10" s="24">
        <v>1987</v>
      </c>
      <c r="O10" s="22">
        <v>347858</v>
      </c>
      <c r="P10" s="49">
        <v>301484</v>
      </c>
      <c r="Q10" s="49">
        <v>1043275</v>
      </c>
      <c r="R10" s="49">
        <v>1735783</v>
      </c>
      <c r="S10" s="49">
        <f t="shared" si="6"/>
        <v>3428400</v>
      </c>
      <c r="T10" s="107"/>
      <c r="U10" s="24">
        <v>1987</v>
      </c>
      <c r="V10" s="49">
        <v>406429</v>
      </c>
      <c r="W10" s="49">
        <v>356508</v>
      </c>
      <c r="X10" s="49">
        <v>1157061</v>
      </c>
      <c r="Y10" s="49">
        <v>1918915</v>
      </c>
      <c r="Z10" s="49">
        <v>3838913</v>
      </c>
      <c r="AA10" s="107"/>
      <c r="AB10" s="24">
        <v>1987</v>
      </c>
      <c r="AC10" s="98">
        <v>2.831606575096735</v>
      </c>
      <c r="AD10" s="98">
        <v>2.670337397672845</v>
      </c>
      <c r="AE10" s="98">
        <v>2.588958807601064</v>
      </c>
      <c r="AF10" s="98">
        <v>2.6108695614601594</v>
      </c>
      <c r="AG10" s="98">
        <v>2.6318282580795707</v>
      </c>
      <c r="AI10" s="53">
        <f t="shared" si="7"/>
        <v>2.4235401509242696</v>
      </c>
      <c r="AJ10" s="53">
        <f t="shared" si="2"/>
        <v>2.258193364524779</v>
      </c>
      <c r="AK10" s="53">
        <f t="shared" si="2"/>
        <v>2.3343592083736295</v>
      </c>
      <c r="AL10" s="53">
        <f t="shared" si="2"/>
        <v>2.361700752769143</v>
      </c>
      <c r="AM10" s="53">
        <f t="shared" si="2"/>
        <v>2.350394499693012</v>
      </c>
    </row>
    <row r="11" spans="1:39" ht="12.75">
      <c r="A11" s="60">
        <v>1988</v>
      </c>
      <c r="B11" s="49">
        <f t="shared" si="3"/>
        <v>3508666</v>
      </c>
      <c r="C11" s="49">
        <f t="shared" si="0"/>
        <v>3889464</v>
      </c>
      <c r="D11" s="26">
        <f t="shared" si="4"/>
        <v>9167052</v>
      </c>
      <c r="E11" s="72">
        <f t="shared" si="5"/>
        <v>2.6126886970717647</v>
      </c>
      <c r="F11" s="107"/>
      <c r="G11" s="24">
        <v>1988</v>
      </c>
      <c r="H11" s="70">
        <v>985661</v>
      </c>
      <c r="I11" s="70">
        <v>800200</v>
      </c>
      <c r="J11" s="70">
        <v>2741297</v>
      </c>
      <c r="K11" s="70">
        <v>4639894</v>
      </c>
      <c r="L11" s="26">
        <f t="shared" si="1"/>
        <v>9167052</v>
      </c>
      <c r="M11" s="107"/>
      <c r="N11" s="24">
        <v>1988</v>
      </c>
      <c r="O11" s="22">
        <v>351315</v>
      </c>
      <c r="P11" s="49">
        <v>303029</v>
      </c>
      <c r="Q11" s="49">
        <v>1067294</v>
      </c>
      <c r="R11" s="49">
        <v>1787028</v>
      </c>
      <c r="S11" s="49">
        <f t="shared" si="6"/>
        <v>3508666</v>
      </c>
      <c r="T11" s="107"/>
      <c r="U11" s="24">
        <v>1988</v>
      </c>
      <c r="V11" s="49">
        <v>408702</v>
      </c>
      <c r="W11" s="49">
        <v>358269</v>
      </c>
      <c r="X11" s="49">
        <v>1166888</v>
      </c>
      <c r="Y11" s="49">
        <v>1955605</v>
      </c>
      <c r="Z11" s="49">
        <v>3889464</v>
      </c>
      <c r="AA11" s="107"/>
      <c r="AB11" s="24">
        <v>1988</v>
      </c>
      <c r="AC11" s="98">
        <v>2.8056331212729315</v>
      </c>
      <c r="AD11" s="98">
        <v>2.640671354886826</v>
      </c>
      <c r="AE11" s="98">
        <v>2.5684553646886426</v>
      </c>
      <c r="AF11" s="98">
        <v>2.596430498011223</v>
      </c>
      <c r="AG11" s="98">
        <v>2.6126886970717647</v>
      </c>
      <c r="AI11" s="53">
        <f t="shared" si="7"/>
        <v>2.4116862652984326</v>
      </c>
      <c r="AJ11" s="53">
        <f t="shared" si="2"/>
        <v>2.233517273333724</v>
      </c>
      <c r="AK11" s="53">
        <f t="shared" si="2"/>
        <v>2.3492374589506446</v>
      </c>
      <c r="AL11" s="53">
        <f t="shared" si="2"/>
        <v>2.372613078817041</v>
      </c>
      <c r="AM11" s="53">
        <f t="shared" si="2"/>
        <v>2.3568933919943724</v>
      </c>
    </row>
    <row r="12" spans="1:39" ht="12.75">
      <c r="A12" s="60">
        <v>1989</v>
      </c>
      <c r="B12" s="49">
        <f t="shared" si="3"/>
        <v>3583320</v>
      </c>
      <c r="C12" s="49">
        <f t="shared" si="0"/>
        <v>3947829</v>
      </c>
      <c r="D12" s="26">
        <f t="shared" si="4"/>
        <v>9330950</v>
      </c>
      <c r="E12" s="72">
        <f t="shared" si="5"/>
        <v>2.6039957357980867</v>
      </c>
      <c r="F12" s="107"/>
      <c r="G12" s="24">
        <v>1989</v>
      </c>
      <c r="H12" s="70">
        <v>994422</v>
      </c>
      <c r="I12" s="70">
        <v>799634</v>
      </c>
      <c r="J12" s="70">
        <v>2790579</v>
      </c>
      <c r="K12" s="70">
        <v>4746315</v>
      </c>
      <c r="L12" s="26">
        <f t="shared" si="1"/>
        <v>9330950</v>
      </c>
      <c r="M12" s="107"/>
      <c r="N12" s="24">
        <v>1989</v>
      </c>
      <c r="O12" s="22">
        <v>356564</v>
      </c>
      <c r="P12" s="49">
        <v>305360</v>
      </c>
      <c r="Q12" s="49">
        <v>1088377</v>
      </c>
      <c r="R12" s="49">
        <v>1833019</v>
      </c>
      <c r="S12" s="49">
        <f t="shared" si="6"/>
        <v>3583320</v>
      </c>
      <c r="T12" s="107"/>
      <c r="U12" s="24">
        <v>1989</v>
      </c>
      <c r="V12" s="49">
        <v>410851</v>
      </c>
      <c r="W12" s="49">
        <v>359911</v>
      </c>
      <c r="X12" s="49">
        <v>1179201</v>
      </c>
      <c r="Y12" s="49">
        <v>1997866</v>
      </c>
      <c r="Z12" s="49">
        <v>3947829</v>
      </c>
      <c r="AA12" s="107"/>
      <c r="AB12" s="24">
        <v>1989</v>
      </c>
      <c r="AC12" s="98">
        <v>2.7889018521219193</v>
      </c>
      <c r="AD12" s="98">
        <v>2.6186599423631125</v>
      </c>
      <c r="AE12" s="98">
        <v>2.5639819658078036</v>
      </c>
      <c r="AF12" s="98">
        <v>2.5893430455439908</v>
      </c>
      <c r="AG12" s="98">
        <v>2.6039957357980867</v>
      </c>
      <c r="AI12" s="53">
        <f t="shared" si="7"/>
        <v>2.4203957152349633</v>
      </c>
      <c r="AJ12" s="53">
        <f t="shared" si="2"/>
        <v>2.221754822720061</v>
      </c>
      <c r="AK12" s="53">
        <f t="shared" si="2"/>
        <v>2.366499858802698</v>
      </c>
      <c r="AL12" s="53">
        <f t="shared" si="2"/>
        <v>2.3756923637521234</v>
      </c>
      <c r="AM12" s="53">
        <f t="shared" si="2"/>
        <v>2.363564885915778</v>
      </c>
    </row>
    <row r="13" spans="1:39" ht="12.75">
      <c r="A13" s="60">
        <v>1990</v>
      </c>
      <c r="B13" s="49">
        <f t="shared" si="3"/>
        <v>3642606</v>
      </c>
      <c r="C13" s="49">
        <f t="shared" si="0"/>
        <v>4000395</v>
      </c>
      <c r="D13" s="26">
        <f t="shared" si="4"/>
        <v>9570983</v>
      </c>
      <c r="E13" s="72">
        <f t="shared" si="5"/>
        <v>2.6275098102841756</v>
      </c>
      <c r="F13" s="107"/>
      <c r="G13" s="24">
        <v>1990</v>
      </c>
      <c r="H13" s="70">
        <v>1011887</v>
      </c>
      <c r="I13" s="70">
        <v>799830</v>
      </c>
      <c r="J13" s="70">
        <v>2858519</v>
      </c>
      <c r="K13" s="70">
        <v>4900747</v>
      </c>
      <c r="L13" s="26">
        <f t="shared" si="1"/>
        <v>9570983</v>
      </c>
      <c r="M13" s="107"/>
      <c r="N13" s="24">
        <v>1990</v>
      </c>
      <c r="O13" s="99">
        <v>360718</v>
      </c>
      <c r="P13" s="70">
        <v>306163</v>
      </c>
      <c r="Q13" s="70">
        <v>1103321</v>
      </c>
      <c r="R13" s="70">
        <v>1872404</v>
      </c>
      <c r="S13" s="49">
        <f t="shared" si="6"/>
        <v>3642606</v>
      </c>
      <c r="T13" s="107"/>
      <c r="U13" s="24">
        <v>1990</v>
      </c>
      <c r="V13" s="49">
        <v>413322</v>
      </c>
      <c r="W13" s="49">
        <v>361155</v>
      </c>
      <c r="X13" s="49">
        <v>1193574</v>
      </c>
      <c r="Y13" s="49">
        <v>2032344</v>
      </c>
      <c r="Z13" s="49">
        <v>4000395</v>
      </c>
      <c r="AA13" s="107"/>
      <c r="AB13" s="24">
        <v>1990</v>
      </c>
      <c r="AC13" s="98">
        <v>2.805202401876258</v>
      </c>
      <c r="AD13" s="98">
        <v>2.6124319398490345</v>
      </c>
      <c r="AE13" s="98">
        <v>2.590831679991589</v>
      </c>
      <c r="AF13" s="98">
        <v>2.6173555493365748</v>
      </c>
      <c r="AG13" s="98">
        <v>2.6275098102841756</v>
      </c>
      <c r="AI13" s="53">
        <f t="shared" si="7"/>
        <v>2.4481808372165044</v>
      </c>
      <c r="AJ13" s="53">
        <f t="shared" si="2"/>
        <v>2.2146446816463845</v>
      </c>
      <c r="AK13" s="53">
        <f t="shared" si="2"/>
        <v>2.394923984604222</v>
      </c>
      <c r="AL13" s="53">
        <f t="shared" si="2"/>
        <v>2.411376715752845</v>
      </c>
      <c r="AM13" s="53">
        <f t="shared" si="2"/>
        <v>2.3925094896878933</v>
      </c>
    </row>
    <row r="14" spans="1:39" ht="12.75">
      <c r="A14" s="60">
        <v>1991</v>
      </c>
      <c r="B14" s="49">
        <f t="shared" si="3"/>
        <v>3731120</v>
      </c>
      <c r="C14" s="49">
        <f t="shared" si="0"/>
        <v>4099672</v>
      </c>
      <c r="D14" s="26">
        <f t="shared" si="4"/>
        <v>9779987</v>
      </c>
      <c r="E14" s="72">
        <f t="shared" si="5"/>
        <v>2.621193368211154</v>
      </c>
      <c r="F14" s="107"/>
      <c r="G14" s="24">
        <v>1991</v>
      </c>
      <c r="H14" s="70">
        <v>1038505</v>
      </c>
      <c r="I14" s="70">
        <v>807871</v>
      </c>
      <c r="J14" s="70">
        <v>2918640</v>
      </c>
      <c r="K14" s="70">
        <v>5014971</v>
      </c>
      <c r="L14" s="26">
        <f t="shared" si="1"/>
        <v>9779987</v>
      </c>
      <c r="M14" s="107"/>
      <c r="N14" s="24">
        <v>1991</v>
      </c>
      <c r="O14" s="99">
        <v>372246</v>
      </c>
      <c r="P14" s="70">
        <v>308969</v>
      </c>
      <c r="Q14" s="70">
        <v>1129874</v>
      </c>
      <c r="R14" s="70">
        <v>1920031</v>
      </c>
      <c r="S14" s="49">
        <f t="shared" si="6"/>
        <v>3731120</v>
      </c>
      <c r="T14" s="107"/>
      <c r="U14" s="24">
        <v>1991</v>
      </c>
      <c r="V14" s="49">
        <v>420329</v>
      </c>
      <c r="W14" s="49">
        <v>361645</v>
      </c>
      <c r="X14" s="49">
        <v>1223311</v>
      </c>
      <c r="Y14" s="49">
        <v>2094387</v>
      </c>
      <c r="Z14" s="49">
        <v>4099672</v>
      </c>
      <c r="AA14" s="107"/>
      <c r="AB14" s="24">
        <v>1991</v>
      </c>
      <c r="AC14" s="98">
        <v>2.789835216496618</v>
      </c>
      <c r="AD14" s="98">
        <v>2.61473157501238</v>
      </c>
      <c r="AE14" s="98">
        <v>2.583155289881881</v>
      </c>
      <c r="AF14" s="98">
        <v>2.611921890844471</v>
      </c>
      <c r="AG14" s="98">
        <v>2.621193368211154</v>
      </c>
      <c r="AI14" s="53">
        <f t="shared" si="7"/>
        <v>2.470695574181177</v>
      </c>
      <c r="AJ14" s="53">
        <f t="shared" si="2"/>
        <v>2.2338785272850448</v>
      </c>
      <c r="AK14" s="53">
        <f t="shared" si="2"/>
        <v>2.3858528207463188</v>
      </c>
      <c r="AL14" s="53">
        <f t="shared" si="2"/>
        <v>2.394481535647423</v>
      </c>
      <c r="AM14" s="53">
        <f t="shared" si="2"/>
        <v>2.385553527209006</v>
      </c>
    </row>
    <row r="15" spans="1:39" ht="12.75">
      <c r="A15" s="60">
        <v>1992</v>
      </c>
      <c r="B15" s="49">
        <f t="shared" si="3"/>
        <v>3828750</v>
      </c>
      <c r="C15" s="49">
        <f t="shared" si="0"/>
        <v>4162556</v>
      </c>
      <c r="D15" s="26">
        <f t="shared" si="4"/>
        <v>10004865</v>
      </c>
      <c r="E15" s="72">
        <f t="shared" si="5"/>
        <v>2.6130891283055826</v>
      </c>
      <c r="F15" s="107"/>
      <c r="G15" s="24">
        <v>1992</v>
      </c>
      <c r="H15" s="70">
        <v>1065842</v>
      </c>
      <c r="I15" s="70">
        <v>822498</v>
      </c>
      <c r="J15" s="70">
        <v>2973972</v>
      </c>
      <c r="K15" s="70">
        <v>5142553</v>
      </c>
      <c r="L15" s="26">
        <f t="shared" si="1"/>
        <v>10004865</v>
      </c>
      <c r="M15" s="107"/>
      <c r="N15" s="24">
        <v>1992</v>
      </c>
      <c r="O15" s="99">
        <v>383250</v>
      </c>
      <c r="P15" s="70">
        <v>314860</v>
      </c>
      <c r="Q15" s="70">
        <v>1155280</v>
      </c>
      <c r="R15" s="70">
        <v>1975360</v>
      </c>
      <c r="S15" s="49">
        <f t="shared" si="6"/>
        <v>3828750</v>
      </c>
      <c r="T15" s="107"/>
      <c r="U15" s="24">
        <v>1992</v>
      </c>
      <c r="V15" s="49">
        <v>426999</v>
      </c>
      <c r="W15" s="49">
        <v>362833</v>
      </c>
      <c r="X15" s="49">
        <v>1241452</v>
      </c>
      <c r="Y15" s="49">
        <v>2131272</v>
      </c>
      <c r="Z15" s="49">
        <v>4162556</v>
      </c>
      <c r="AA15" s="107"/>
      <c r="AB15" s="24">
        <v>1992</v>
      </c>
      <c r="AC15" s="98">
        <v>2.781061969993477</v>
      </c>
      <c r="AD15" s="98">
        <v>2.6122657689131676</v>
      </c>
      <c r="AE15" s="98">
        <v>2.5742434734436674</v>
      </c>
      <c r="AF15" s="98">
        <v>2.603349769156002</v>
      </c>
      <c r="AG15" s="98">
        <v>2.6130891283055826</v>
      </c>
      <c r="AI15" s="53">
        <f t="shared" si="7"/>
        <v>2.4961229417399102</v>
      </c>
      <c r="AJ15" s="53">
        <f t="shared" si="2"/>
        <v>2.266877599336334</v>
      </c>
      <c r="AK15" s="53">
        <f t="shared" si="2"/>
        <v>2.3955593933555224</v>
      </c>
      <c r="AL15" s="53">
        <f t="shared" si="2"/>
        <v>2.412903186453911</v>
      </c>
      <c r="AM15" s="53">
        <f t="shared" si="2"/>
        <v>2.403538835273327</v>
      </c>
    </row>
    <row r="16" spans="1:39" ht="12.75">
      <c r="A16" s="60">
        <v>1993</v>
      </c>
      <c r="B16" s="49">
        <f t="shared" si="3"/>
        <v>3905889</v>
      </c>
      <c r="C16" s="49">
        <f t="shared" si="0"/>
        <v>4233470</v>
      </c>
      <c r="D16" s="26">
        <f t="shared" si="4"/>
        <v>10223984</v>
      </c>
      <c r="E16" s="72">
        <f t="shared" si="5"/>
        <v>2.6175818104405937</v>
      </c>
      <c r="F16" s="107"/>
      <c r="G16" s="24">
        <v>1993</v>
      </c>
      <c r="H16" s="70">
        <v>1100328</v>
      </c>
      <c r="I16" s="70">
        <v>840052</v>
      </c>
      <c r="J16" s="70">
        <v>3034869</v>
      </c>
      <c r="K16" s="70">
        <v>5248735</v>
      </c>
      <c r="L16" s="26">
        <f t="shared" si="1"/>
        <v>10223984</v>
      </c>
      <c r="M16" s="107"/>
      <c r="N16" s="24">
        <v>1993</v>
      </c>
      <c r="O16" s="99">
        <v>394339</v>
      </c>
      <c r="P16" s="70">
        <v>320290</v>
      </c>
      <c r="Q16" s="70">
        <v>1177933</v>
      </c>
      <c r="R16" s="70">
        <v>2013327</v>
      </c>
      <c r="S16" s="49">
        <f t="shared" si="6"/>
        <v>3905889</v>
      </c>
      <c r="T16" s="107"/>
      <c r="U16" s="24">
        <v>1993</v>
      </c>
      <c r="V16" s="49">
        <v>437695</v>
      </c>
      <c r="W16" s="49">
        <v>364965</v>
      </c>
      <c r="X16" s="49">
        <v>1259648</v>
      </c>
      <c r="Y16" s="49">
        <v>2171162</v>
      </c>
      <c r="Z16" s="49">
        <v>4233470</v>
      </c>
      <c r="AA16" s="107"/>
      <c r="AB16" s="24">
        <v>1993</v>
      </c>
      <c r="AC16" s="98">
        <v>2.7903098602978655</v>
      </c>
      <c r="AD16" s="98">
        <v>2.622785600549502</v>
      </c>
      <c r="AE16" s="98">
        <v>2.5764360112162574</v>
      </c>
      <c r="AF16" s="98">
        <v>2.606995783596008</v>
      </c>
      <c r="AG16" s="98">
        <v>2.6175818104405937</v>
      </c>
      <c r="AI16" s="53">
        <f t="shared" si="7"/>
        <v>2.513914940769257</v>
      </c>
      <c r="AJ16" s="53">
        <f t="shared" si="2"/>
        <v>2.301733042894524</v>
      </c>
      <c r="AK16" s="53">
        <f t="shared" si="2"/>
        <v>2.4092992645564477</v>
      </c>
      <c r="AL16" s="53">
        <f t="shared" si="2"/>
        <v>2.4174773692612526</v>
      </c>
      <c r="AM16" s="53">
        <f t="shared" si="2"/>
        <v>2.415036364967745</v>
      </c>
    </row>
    <row r="17" spans="1:39" ht="12.75">
      <c r="A17" s="60">
        <v>1994</v>
      </c>
      <c r="B17" s="49">
        <f t="shared" si="3"/>
        <v>3964463</v>
      </c>
      <c r="C17" s="49">
        <f t="shared" si="0"/>
        <v>4323501</v>
      </c>
      <c r="D17" s="26">
        <f t="shared" si="4"/>
        <v>10412358</v>
      </c>
      <c r="E17" s="72">
        <f t="shared" si="5"/>
        <v>2.626423301213809</v>
      </c>
      <c r="F17" s="107"/>
      <c r="G17" s="24">
        <v>1994</v>
      </c>
      <c r="H17" s="70">
        <v>1134269</v>
      </c>
      <c r="I17" s="70">
        <v>854914</v>
      </c>
      <c r="J17" s="70">
        <v>3087054</v>
      </c>
      <c r="K17" s="70">
        <v>5336121</v>
      </c>
      <c r="L17" s="26">
        <f t="shared" si="1"/>
        <v>10412358</v>
      </c>
      <c r="M17" s="107"/>
      <c r="N17" s="24">
        <v>1994</v>
      </c>
      <c r="O17" s="99">
        <v>404459</v>
      </c>
      <c r="P17" s="70">
        <v>325465</v>
      </c>
      <c r="Q17" s="70">
        <v>1193046</v>
      </c>
      <c r="R17" s="70">
        <v>2041493</v>
      </c>
      <c r="S17" s="49">
        <f t="shared" si="6"/>
        <v>3964463</v>
      </c>
      <c r="T17" s="107"/>
      <c r="U17" s="24">
        <v>1994</v>
      </c>
      <c r="V17" s="49">
        <v>451488</v>
      </c>
      <c r="W17" s="49">
        <v>368823</v>
      </c>
      <c r="X17" s="49">
        <v>1284401</v>
      </c>
      <c r="Y17" s="49">
        <v>2218789</v>
      </c>
      <c r="Z17" s="49">
        <v>4323501</v>
      </c>
      <c r="AA17" s="107"/>
      <c r="AB17" s="24">
        <v>1994</v>
      </c>
      <c r="AC17" s="98">
        <v>2.8044103357818715</v>
      </c>
      <c r="AD17" s="98">
        <v>2.626746347533529</v>
      </c>
      <c r="AE17" s="98">
        <v>2.5875397931010204</v>
      </c>
      <c r="AF17" s="98">
        <v>2.6138326215176835</v>
      </c>
      <c r="AG17" s="98">
        <v>2.626423301213809</v>
      </c>
      <c r="AI17" s="53">
        <f t="shared" si="7"/>
        <v>2.512290470621589</v>
      </c>
      <c r="AJ17" s="53">
        <f t="shared" si="2"/>
        <v>2.317951971541905</v>
      </c>
      <c r="AK17" s="53">
        <f t="shared" si="2"/>
        <v>2.403497038697416</v>
      </c>
      <c r="AL17" s="53">
        <f t="shared" si="2"/>
        <v>2.4049700084145</v>
      </c>
      <c r="AM17" s="53">
        <f t="shared" si="2"/>
        <v>2.4083163158745657</v>
      </c>
    </row>
    <row r="18" spans="1:39" ht="12.75">
      <c r="A18" s="60">
        <v>1995</v>
      </c>
      <c r="B18" s="49">
        <f t="shared" si="3"/>
        <v>4061445</v>
      </c>
      <c r="C18" s="49">
        <f t="shared" si="0"/>
        <v>4418572</v>
      </c>
      <c r="D18" s="26">
        <f t="shared" si="4"/>
        <v>10606268</v>
      </c>
      <c r="E18" s="72">
        <f t="shared" si="5"/>
        <v>2.6114518354920477</v>
      </c>
      <c r="F18" s="107"/>
      <c r="G18" s="24">
        <v>1995</v>
      </c>
      <c r="H18" s="70">
        <v>1163542</v>
      </c>
      <c r="I18" s="70">
        <v>868478</v>
      </c>
      <c r="J18" s="70">
        <v>3141180</v>
      </c>
      <c r="K18" s="70">
        <v>5433068</v>
      </c>
      <c r="L18" s="26">
        <f t="shared" si="1"/>
        <v>10606268</v>
      </c>
      <c r="M18" s="107"/>
      <c r="N18" s="24">
        <v>1995</v>
      </c>
      <c r="O18" s="99">
        <v>417783</v>
      </c>
      <c r="P18" s="70">
        <v>333999</v>
      </c>
      <c r="Q18" s="70">
        <v>1219303</v>
      </c>
      <c r="R18" s="70">
        <v>2090360</v>
      </c>
      <c r="S18" s="49">
        <f t="shared" si="6"/>
        <v>4061445</v>
      </c>
      <c r="T18" s="107"/>
      <c r="U18" s="24">
        <v>1995</v>
      </c>
      <c r="V18" s="49">
        <v>467348</v>
      </c>
      <c r="W18" s="49">
        <v>372829</v>
      </c>
      <c r="X18" s="49">
        <v>1312346</v>
      </c>
      <c r="Y18" s="49">
        <v>2266049</v>
      </c>
      <c r="Z18" s="49">
        <v>4418572</v>
      </c>
      <c r="AA18" s="107"/>
      <c r="AB18" s="24">
        <v>1995</v>
      </c>
      <c r="AC18" s="98">
        <v>2.785039123181173</v>
      </c>
      <c r="AD18" s="98">
        <v>2.600241318087779</v>
      </c>
      <c r="AE18" s="98">
        <v>2.5762095229815722</v>
      </c>
      <c r="AF18" s="98">
        <v>2.5991063740216998</v>
      </c>
      <c r="AG18" s="98">
        <v>2.6114518354920477</v>
      </c>
      <c r="AI18" s="53">
        <f t="shared" si="7"/>
        <v>2.4896693684363687</v>
      </c>
      <c r="AJ18" s="53">
        <f t="shared" si="2"/>
        <v>2.329427163659479</v>
      </c>
      <c r="AK18" s="53">
        <f t="shared" si="2"/>
        <v>2.393560844472418</v>
      </c>
      <c r="AL18" s="53">
        <f t="shared" si="2"/>
        <v>2.3975951093731864</v>
      </c>
      <c r="AM18" s="53">
        <f t="shared" si="2"/>
        <v>2.4003836533613123</v>
      </c>
    </row>
    <row r="19" spans="1:39" ht="12.75">
      <c r="A19" s="60">
        <v>1996</v>
      </c>
      <c r="B19" s="49">
        <f t="shared" si="3"/>
        <v>4149257</v>
      </c>
      <c r="C19" s="49">
        <f t="shared" si="0"/>
        <v>4507772</v>
      </c>
      <c r="D19" s="26">
        <f t="shared" si="4"/>
        <v>10777183</v>
      </c>
      <c r="E19" s="72">
        <f t="shared" si="5"/>
        <v>2.5973765905558515</v>
      </c>
      <c r="F19" s="107"/>
      <c r="G19" s="24">
        <v>1996</v>
      </c>
      <c r="H19" s="70">
        <v>1186239</v>
      </c>
      <c r="I19" s="70">
        <v>876734</v>
      </c>
      <c r="J19" s="70">
        <v>3195409</v>
      </c>
      <c r="K19" s="70">
        <v>5518801</v>
      </c>
      <c r="L19" s="26">
        <f t="shared" si="1"/>
        <v>10777183</v>
      </c>
      <c r="M19" s="107"/>
      <c r="N19" s="24">
        <v>1996</v>
      </c>
      <c r="O19" s="99">
        <v>428552</v>
      </c>
      <c r="P19" s="70">
        <v>340355</v>
      </c>
      <c r="Q19" s="70">
        <v>1247400</v>
      </c>
      <c r="R19" s="70">
        <v>2132950</v>
      </c>
      <c r="S19" s="49">
        <f t="shared" si="6"/>
        <v>4149257</v>
      </c>
      <c r="T19" s="107"/>
      <c r="U19" s="24">
        <v>1996</v>
      </c>
      <c r="V19" s="49">
        <v>480700</v>
      </c>
      <c r="W19" s="49">
        <v>377096</v>
      </c>
      <c r="X19" s="49">
        <v>1342666</v>
      </c>
      <c r="Y19" s="49">
        <v>2307310</v>
      </c>
      <c r="Z19" s="49">
        <v>4507772</v>
      </c>
      <c r="AA19" s="107"/>
      <c r="AB19" s="24">
        <v>1996</v>
      </c>
      <c r="AC19" s="98">
        <v>2.768016483413915</v>
      </c>
      <c r="AD19" s="98">
        <v>2.575939827533017</v>
      </c>
      <c r="AE19" s="98">
        <v>2.56165544332211</v>
      </c>
      <c r="AF19" s="98">
        <v>2.587402892707283</v>
      </c>
      <c r="AG19" s="98">
        <v>2.5973765905558515</v>
      </c>
      <c r="AI19" s="53">
        <f t="shared" si="7"/>
        <v>2.4677324734761807</v>
      </c>
      <c r="AJ19" s="53">
        <f aca="true" t="shared" si="8" ref="AJ19:AM22">I19/W19</f>
        <v>2.3249623438063516</v>
      </c>
      <c r="AK19" s="53">
        <f t="shared" si="8"/>
        <v>2.3798986494035</v>
      </c>
      <c r="AL19" s="53">
        <f t="shared" si="8"/>
        <v>2.391876687571241</v>
      </c>
      <c r="AM19" s="53">
        <f t="shared" si="8"/>
        <v>2.3908003776588522</v>
      </c>
    </row>
    <row r="20" spans="1:39" ht="12.75">
      <c r="A20" s="90">
        <v>1997</v>
      </c>
      <c r="B20" s="49">
        <f t="shared" si="3"/>
        <v>4220285</v>
      </c>
      <c r="C20" s="49">
        <f t="shared" si="0"/>
        <v>4587305</v>
      </c>
      <c r="D20" s="26">
        <f t="shared" si="4"/>
        <v>10945018</v>
      </c>
      <c r="E20" s="72">
        <f t="shared" si="5"/>
        <v>2.5934310123605395</v>
      </c>
      <c r="F20" s="107"/>
      <c r="G20" s="24">
        <v>1997</v>
      </c>
      <c r="H20" s="70">
        <v>1208865</v>
      </c>
      <c r="I20" s="70">
        <v>878730</v>
      </c>
      <c r="J20" s="70">
        <v>3243272</v>
      </c>
      <c r="K20" s="70">
        <v>5614151</v>
      </c>
      <c r="L20" s="26">
        <f t="shared" si="1"/>
        <v>10945018</v>
      </c>
      <c r="M20" s="107"/>
      <c r="N20" s="24">
        <v>1997</v>
      </c>
      <c r="O20" s="99">
        <v>438406</v>
      </c>
      <c r="P20" s="70">
        <v>343169</v>
      </c>
      <c r="Q20" s="70">
        <v>1266641</v>
      </c>
      <c r="R20" s="70">
        <v>2172069</v>
      </c>
      <c r="S20" s="49">
        <f t="shared" si="6"/>
        <v>4220285</v>
      </c>
      <c r="T20" s="107"/>
      <c r="U20" s="24">
        <v>1997</v>
      </c>
      <c r="V20" s="49">
        <v>491461</v>
      </c>
      <c r="W20" s="49">
        <v>380005</v>
      </c>
      <c r="X20" s="49">
        <v>1371022</v>
      </c>
      <c r="Y20" s="49">
        <v>2344817</v>
      </c>
      <c r="Z20" s="49">
        <v>4587305</v>
      </c>
      <c r="AA20" s="107"/>
      <c r="AB20" s="24">
        <v>1997</v>
      </c>
      <c r="AC20" s="98">
        <v>2.7574097982235646</v>
      </c>
      <c r="AD20" s="98">
        <v>2.5606333905451835</v>
      </c>
      <c r="AE20" s="98">
        <v>2.5605297791560515</v>
      </c>
      <c r="AF20" s="98">
        <v>2.5847019592839824</v>
      </c>
      <c r="AG20" s="98">
        <v>2.5934310123605395</v>
      </c>
      <c r="AI20" s="53">
        <f t="shared" si="7"/>
        <v>2.4597373952358375</v>
      </c>
      <c r="AJ20" s="53">
        <f t="shared" si="8"/>
        <v>2.3124169418823435</v>
      </c>
      <c r="AK20" s="53">
        <f t="shared" si="8"/>
        <v>2.3655871313516488</v>
      </c>
      <c r="AL20" s="53">
        <f t="shared" si="8"/>
        <v>2.3942810888866806</v>
      </c>
      <c r="AM20" s="53">
        <f t="shared" si="8"/>
        <v>2.3859364049262037</v>
      </c>
    </row>
    <row r="21" spans="1:39" ht="12.75">
      <c r="A21" s="60">
        <v>1998</v>
      </c>
      <c r="B21" s="49">
        <f t="shared" si="3"/>
        <v>4291245</v>
      </c>
      <c r="C21" s="49">
        <f t="shared" si="0"/>
        <v>4673585</v>
      </c>
      <c r="D21" s="26">
        <f t="shared" si="4"/>
        <v>11080374</v>
      </c>
      <c r="E21" s="72">
        <f t="shared" si="5"/>
        <v>2.582088414900571</v>
      </c>
      <c r="F21" s="107"/>
      <c r="G21" s="24">
        <v>1998</v>
      </c>
      <c r="H21" s="70">
        <v>1228684</v>
      </c>
      <c r="I21" s="70">
        <v>880453</v>
      </c>
      <c r="J21" s="70">
        <v>3281974</v>
      </c>
      <c r="K21" s="70">
        <v>5689263</v>
      </c>
      <c r="L21" s="26">
        <f t="shared" si="1"/>
        <v>11080374</v>
      </c>
      <c r="M21" s="107"/>
      <c r="N21" s="24">
        <v>1998</v>
      </c>
      <c r="O21" s="99">
        <v>448341</v>
      </c>
      <c r="P21" s="70">
        <v>346070</v>
      </c>
      <c r="Q21" s="70">
        <v>1285885</v>
      </c>
      <c r="R21" s="70">
        <v>2210949</v>
      </c>
      <c r="S21" s="49">
        <f t="shared" si="6"/>
        <v>4291245</v>
      </c>
      <c r="T21" s="107"/>
      <c r="U21" s="24">
        <v>1998</v>
      </c>
      <c r="V21" s="49">
        <v>503455</v>
      </c>
      <c r="W21" s="49">
        <v>382881</v>
      </c>
      <c r="X21" s="49">
        <v>1400764</v>
      </c>
      <c r="Y21" s="49">
        <v>2386485</v>
      </c>
      <c r="Z21" s="49">
        <v>4673585</v>
      </c>
      <c r="AA21" s="107"/>
      <c r="AB21" s="24">
        <v>1998</v>
      </c>
      <c r="AC21" s="98">
        <v>2.7405122440285408</v>
      </c>
      <c r="AD21" s="98">
        <v>2.544147137862282</v>
      </c>
      <c r="AE21" s="98">
        <v>2.5523075547191234</v>
      </c>
      <c r="AF21" s="98">
        <v>2.57322217744507</v>
      </c>
      <c r="AG21" s="98">
        <v>2.582088414900571</v>
      </c>
      <c r="AI21" s="53">
        <f>H21/V21</f>
        <v>2.4405041165546075</v>
      </c>
      <c r="AJ21" s="53">
        <f t="shared" si="8"/>
        <v>2.29954737895064</v>
      </c>
      <c r="AK21" s="53">
        <f t="shared" si="8"/>
        <v>2.342988540539306</v>
      </c>
      <c r="AL21" s="53">
        <f t="shared" si="8"/>
        <v>2.3839508733555834</v>
      </c>
      <c r="AM21" s="53">
        <f t="shared" si="8"/>
        <v>2.3708510704309433</v>
      </c>
    </row>
    <row r="22" spans="1:39" ht="12.75">
      <c r="A22" s="90">
        <v>1999</v>
      </c>
      <c r="B22" s="49">
        <f t="shared" si="3"/>
        <v>4367225.638877571</v>
      </c>
      <c r="C22" s="49">
        <f t="shared" si="0"/>
        <v>4758913</v>
      </c>
      <c r="D22" s="26">
        <f t="shared" si="4"/>
        <v>11206994</v>
      </c>
      <c r="E22" s="72">
        <f t="shared" si="5"/>
        <v>2.566158684413735</v>
      </c>
      <c r="F22" s="107"/>
      <c r="G22" s="24">
        <v>1999</v>
      </c>
      <c r="H22" s="70">
        <v>1251700</v>
      </c>
      <c r="I22" s="70">
        <v>882779</v>
      </c>
      <c r="J22" s="70">
        <v>3316154</v>
      </c>
      <c r="K22" s="70">
        <v>5756361</v>
      </c>
      <c r="L22" s="26">
        <f t="shared" si="1"/>
        <v>11206994</v>
      </c>
      <c r="M22" s="107"/>
      <c r="N22" s="24">
        <v>1999</v>
      </c>
      <c r="O22" s="49">
        <v>459376.1539540291</v>
      </c>
      <c r="P22" s="49">
        <v>352915.8134819865</v>
      </c>
      <c r="Q22" s="49">
        <v>1308264.721941948</v>
      </c>
      <c r="R22" s="49">
        <v>2246668.949499607</v>
      </c>
      <c r="S22" s="49">
        <f t="shared" si="6"/>
        <v>4367225.638877571</v>
      </c>
      <c r="T22" s="107"/>
      <c r="U22" s="24">
        <v>1999</v>
      </c>
      <c r="V22" s="49">
        <v>515639.5</v>
      </c>
      <c r="W22" s="49">
        <v>397757</v>
      </c>
      <c r="X22" s="49">
        <v>1426736.5</v>
      </c>
      <c r="Y22" s="49">
        <v>2418780</v>
      </c>
      <c r="Z22" s="49">
        <v>4758913</v>
      </c>
      <c r="AA22" s="107"/>
      <c r="AB22" s="24">
        <v>1999</v>
      </c>
      <c r="AC22" s="98">
        <v>2.7247822709692953</v>
      </c>
      <c r="AD22" s="98">
        <v>2.501386920835891</v>
      </c>
      <c r="AE22" s="98">
        <v>2.5347729281254354</v>
      </c>
      <c r="AF22" s="98">
        <v>2.5621758832257395</v>
      </c>
      <c r="AG22" s="98">
        <v>2.566158684413735</v>
      </c>
      <c r="AI22" s="53">
        <f t="shared" si="7"/>
        <v>2.4274711305088146</v>
      </c>
      <c r="AJ22" s="53">
        <f t="shared" si="8"/>
        <v>2.2193927448165587</v>
      </c>
      <c r="AK22" s="53">
        <f t="shared" si="8"/>
        <v>2.324293238450127</v>
      </c>
      <c r="AL22" s="53">
        <f t="shared" si="8"/>
        <v>2.3798613350532087</v>
      </c>
      <c r="AM22" s="53">
        <f t="shared" si="8"/>
        <v>2.3549482833579853</v>
      </c>
    </row>
    <row r="23" spans="1:45" ht="12.75">
      <c r="A23" s="60">
        <v>2000</v>
      </c>
      <c r="B23" s="49">
        <f t="shared" si="3"/>
        <v>4477755</v>
      </c>
      <c r="C23" s="49">
        <f t="shared" si="0"/>
        <v>4904137.48498361</v>
      </c>
      <c r="D23" s="26">
        <f t="shared" si="4"/>
        <v>11511668</v>
      </c>
      <c r="E23" s="72">
        <f t="shared" si="5"/>
        <v>2.57085704778399</v>
      </c>
      <c r="F23" s="107"/>
      <c r="G23" s="24">
        <v>2000</v>
      </c>
      <c r="H23" s="70">
        <v>1293953</v>
      </c>
      <c r="I23" s="70">
        <v>902195</v>
      </c>
      <c r="J23" s="70">
        <v>3421399</v>
      </c>
      <c r="K23" s="70">
        <v>5894121</v>
      </c>
      <c r="L23" s="26">
        <f>SUM(H23:K23)</f>
        <v>11511668</v>
      </c>
      <c r="M23" s="107"/>
      <c r="N23" s="24">
        <v>2000</v>
      </c>
      <c r="O23" s="291">
        <f>H23/AC23</f>
        <v>468236</v>
      </c>
      <c r="P23" s="291">
        <f>I23/AD23</f>
        <v>360066</v>
      </c>
      <c r="Q23" s="291">
        <f>J23/AE23</f>
        <v>1374153</v>
      </c>
      <c r="R23" s="291">
        <f>K23/AF23</f>
        <v>2275300</v>
      </c>
      <c r="S23" s="49">
        <f t="shared" si="6"/>
        <v>4477755</v>
      </c>
      <c r="T23" s="107"/>
      <c r="U23" s="24">
        <v>2000</v>
      </c>
      <c r="V23" s="49">
        <f>H23/AI23</f>
        <v>536568.1029504345</v>
      </c>
      <c r="W23" s="49">
        <f>I23/AJ23</f>
        <v>405753.6795327273</v>
      </c>
      <c r="X23" s="49">
        <f>J23/AK23</f>
        <v>1482002.7075198551</v>
      </c>
      <c r="Y23" s="49">
        <f>K23/AL23</f>
        <v>2480173.943232128</v>
      </c>
      <c r="Z23" s="49">
        <f>L23/AM23</f>
        <v>4904137.48498361</v>
      </c>
      <c r="AA23" s="107"/>
      <c r="AB23" s="24">
        <v>2000</v>
      </c>
      <c r="AC23" s="98">
        <v>2.763463296286488</v>
      </c>
      <c r="AD23" s="98">
        <v>2.505637855282087</v>
      </c>
      <c r="AE23" s="98">
        <v>2.4898239133488045</v>
      </c>
      <c r="AF23" s="98">
        <v>2.590480815716609</v>
      </c>
      <c r="AG23" s="98">
        <v>2.57085704778399</v>
      </c>
      <c r="AI23" s="315">
        <f>FORECAST($AB23,AI$18:AI$22,$AB$18:$AB$22)</f>
        <v>2.411535447010216</v>
      </c>
      <c r="AJ23" s="315">
        <f aca="true" t="shared" si="9" ref="AJ23:AM38">FORECAST($AB23,AJ$18:AJ$22,$AB$18:$AB$22)</f>
        <v>2.2235041738598227</v>
      </c>
      <c r="AK23" s="315">
        <f t="shared" si="9"/>
        <v>2.3086320845700357</v>
      </c>
      <c r="AL23" s="315">
        <f t="shared" si="9"/>
        <v>2.3764950099906557</v>
      </c>
      <c r="AM23" s="315">
        <f t="shared" si="9"/>
        <v>2.3473379437767683</v>
      </c>
      <c r="AO23" s="100"/>
      <c r="AP23" s="100"/>
      <c r="AQ23" s="100"/>
      <c r="AR23" s="100"/>
      <c r="AS23" s="100"/>
    </row>
    <row r="24" spans="1:45" ht="12.75">
      <c r="A24" s="95">
        <v>2001</v>
      </c>
      <c r="B24" s="96">
        <f>S24</f>
        <v>4540804.200054123</v>
      </c>
      <c r="C24" s="96">
        <f t="shared" si="0"/>
        <v>4978261.988233656</v>
      </c>
      <c r="D24" s="101">
        <f>L24</f>
        <v>11630494.136174355</v>
      </c>
      <c r="E24" s="102">
        <f>AG24</f>
        <v>2.5613291443034973</v>
      </c>
      <c r="F24" s="107"/>
      <c r="G24" s="24">
        <v>2001</v>
      </c>
      <c r="H24" s="101">
        <f>H23*H$55</f>
        <v>1307057.2999206583</v>
      </c>
      <c r="I24" s="101">
        <f>I23*I$55</f>
        <v>905604.2321879023</v>
      </c>
      <c r="J24" s="101">
        <f>J23*J$55</f>
        <v>3457530.9102015034</v>
      </c>
      <c r="K24" s="101">
        <f>K23*K$55</f>
        <v>5960301.69386429</v>
      </c>
      <c r="L24" s="101">
        <f>SUM(H24:K24)</f>
        <v>11630494.136174355</v>
      </c>
      <c r="M24" s="107"/>
      <c r="N24" s="108">
        <v>2001</v>
      </c>
      <c r="O24" s="101">
        <f>O23*O$55</f>
        <v>474849.8219100001</v>
      </c>
      <c r="P24" s="101">
        <f>P23*P$55</f>
        <v>362972.44743546005</v>
      </c>
      <c r="Q24" s="101">
        <f>Q23*Q$55</f>
        <v>1392791.3770620588</v>
      </c>
      <c r="R24" s="101">
        <f>R23*R$55</f>
        <v>2310190.553646604</v>
      </c>
      <c r="S24" s="101">
        <f t="shared" si="6"/>
        <v>4540804.200054123</v>
      </c>
      <c r="T24" s="107"/>
      <c r="U24" s="108">
        <v>2001</v>
      </c>
      <c r="V24" s="96">
        <f aca="true" t="shared" si="10" ref="V24:V48">H24/AI24</f>
        <v>545431.4998966828</v>
      </c>
      <c r="W24" s="96">
        <f aca="true" t="shared" si="11" ref="W24:W48">I24/AJ24</f>
        <v>411833.7598333771</v>
      </c>
      <c r="X24" s="96">
        <f aca="true" t="shared" si="12" ref="X24:X48">J24/AK24</f>
        <v>1509122.122574727</v>
      </c>
      <c r="Y24" s="96">
        <f aca="true" t="shared" si="13" ref="Y24:Y48">K24/AL24</f>
        <v>2512609.8425721647</v>
      </c>
      <c r="Z24" s="96">
        <f aca="true" t="shared" si="14" ref="Z24:Z48">L24/AM24</f>
        <v>4978261.988233656</v>
      </c>
      <c r="AA24" s="107"/>
      <c r="AB24" s="108">
        <v>2001</v>
      </c>
      <c r="AC24" s="315">
        <f>H24/O24</f>
        <v>2.752569843373321</v>
      </c>
      <c r="AD24" s="315">
        <f>I24/P24</f>
        <v>2.494966873068037</v>
      </c>
      <c r="AE24" s="315">
        <f>J24/Q24</f>
        <v>2.482447096631792</v>
      </c>
      <c r="AF24" s="315">
        <f>K24/R24</f>
        <v>2.5800043569808713</v>
      </c>
      <c r="AG24" s="315">
        <f>L24/S24</f>
        <v>2.5613291443034973</v>
      </c>
      <c r="AI24" s="315">
        <f aca="true" t="shared" si="15" ref="AI24:AM48">FORECAST($AB24,AI$18:AI$22,$AB$18:$AB$22)</f>
        <v>2.3963729637328335</v>
      </c>
      <c r="AJ24" s="315">
        <f t="shared" si="9"/>
        <v>2.198955793605407</v>
      </c>
      <c r="AK24" s="315">
        <f t="shared" si="9"/>
        <v>2.2910875524789063</v>
      </c>
      <c r="AL24" s="315">
        <f t="shared" si="9"/>
        <v>2.3721556737048815</v>
      </c>
      <c r="AM24" s="315">
        <f t="shared" si="9"/>
        <v>2.3362559390533377</v>
      </c>
      <c r="AO24" s="100"/>
      <c r="AP24" s="100"/>
      <c r="AQ24" s="100"/>
      <c r="AR24" s="100"/>
      <c r="AS24" s="100"/>
    </row>
    <row r="25" spans="1:45" ht="12.75">
      <c r="A25" s="97">
        <v>2002</v>
      </c>
      <c r="B25" s="96">
        <f>S25</f>
        <v>4604758.11199427</v>
      </c>
      <c r="C25" s="96">
        <f t="shared" si="0"/>
        <v>5053639.368885981</v>
      </c>
      <c r="D25" s="101">
        <f>L25</f>
        <v>11750590.534037124</v>
      </c>
      <c r="E25" s="102">
        <f>AG25</f>
        <v>2.5518366542272233</v>
      </c>
      <c r="F25" s="107"/>
      <c r="G25" s="24">
        <v>2002</v>
      </c>
      <c r="H25" s="101">
        <f aca="true" t="shared" si="16" ref="H25:K48">H24*H$55</f>
        <v>1320294.31152127</v>
      </c>
      <c r="I25" s="101">
        <f t="shared" si="16"/>
        <v>909026.3472493641</v>
      </c>
      <c r="J25" s="101">
        <f t="shared" si="16"/>
        <v>3494044.3938280325</v>
      </c>
      <c r="K25" s="101">
        <f t="shared" si="16"/>
        <v>6027225.481438457</v>
      </c>
      <c r="L25" s="101">
        <f aca="true" t="shared" si="17" ref="L25:L48">SUM(H25:K25)</f>
        <v>11750590.534037124</v>
      </c>
      <c r="M25" s="107"/>
      <c r="N25" s="108">
        <v>2002</v>
      </c>
      <c r="O25" s="101">
        <f aca="true" t="shared" si="18" ref="O25:O48">O24*O$55</f>
        <v>481557.0638907705</v>
      </c>
      <c r="P25" s="101">
        <f aca="true" t="shared" si="19" ref="P25:P48">P24*P$55</f>
        <v>365902.3556717041</v>
      </c>
      <c r="Q25" s="101">
        <f aca="true" t="shared" si="20" ref="Q25:Q48">Q24*Q$55</f>
        <v>1411682.556468185</v>
      </c>
      <c r="R25" s="101">
        <f aca="true" t="shared" si="21" ref="R25:R48">R24*R$55</f>
        <v>2345616.1359636104</v>
      </c>
      <c r="S25" s="101">
        <f t="shared" si="6"/>
        <v>4604758.11199427</v>
      </c>
      <c r="T25" s="107"/>
      <c r="U25" s="108">
        <v>2002</v>
      </c>
      <c r="V25" s="96">
        <f t="shared" si="10"/>
        <v>554463.5060016783</v>
      </c>
      <c r="W25" s="96">
        <f t="shared" si="11"/>
        <v>418057.0493219859</v>
      </c>
      <c r="X25" s="96">
        <f t="shared" si="12"/>
        <v>1536827.9212205429</v>
      </c>
      <c r="Y25" s="96">
        <f t="shared" si="13"/>
        <v>2545478.458860567</v>
      </c>
      <c r="Z25" s="96">
        <f t="shared" si="14"/>
        <v>5053639.368885981</v>
      </c>
      <c r="AA25" s="107"/>
      <c r="AB25" s="108">
        <v>2002</v>
      </c>
      <c r="AC25" s="315">
        <f aca="true" t="shared" si="22" ref="AC25:AC48">H25/O25</f>
        <v>2.7417193319808653</v>
      </c>
      <c r="AD25" s="315">
        <f aca="true" t="shared" si="23" ref="AD25:AD48">I25/P25</f>
        <v>2.484341336312585</v>
      </c>
      <c r="AE25" s="315">
        <f aca="true" t="shared" si="24" ref="AE25:AE48">J25/Q25</f>
        <v>2.475092135847878</v>
      </c>
      <c r="AF25" s="315">
        <f aca="true" t="shared" si="25" ref="AF25:AF48">K25/R25</f>
        <v>2.5695702672860374</v>
      </c>
      <c r="AG25" s="315">
        <f aca="true" t="shared" si="26" ref="AG25:AG48">L25/S25</f>
        <v>2.5518366542272233</v>
      </c>
      <c r="AI25" s="315">
        <f t="shared" si="15"/>
        <v>2.381210480455451</v>
      </c>
      <c r="AJ25" s="315">
        <f t="shared" si="9"/>
        <v>2.174407413350984</v>
      </c>
      <c r="AK25" s="315">
        <f t="shared" si="9"/>
        <v>2.273543020387784</v>
      </c>
      <c r="AL25" s="315">
        <f t="shared" si="9"/>
        <v>2.3678163374191055</v>
      </c>
      <c r="AM25" s="315">
        <f t="shared" si="9"/>
        <v>2.325173934329907</v>
      </c>
      <c r="AO25" s="100"/>
      <c r="AP25" s="100"/>
      <c r="AQ25" s="100"/>
      <c r="AR25" s="100"/>
      <c r="AS25" s="100"/>
    </row>
    <row r="26" spans="1:45" ht="12.75">
      <c r="A26" s="95">
        <v>2003</v>
      </c>
      <c r="B26" s="96">
        <f aca="true" t="shared" si="27" ref="B26:B48">S26</f>
        <v>4669629.8780352855</v>
      </c>
      <c r="C26" s="96">
        <f aca="true" t="shared" si="28" ref="C26:C48">Z26</f>
        <v>5130293.5754943825</v>
      </c>
      <c r="D26" s="101">
        <f aca="true" t="shared" si="29" ref="D26:D48">L26</f>
        <v>11871970.959563524</v>
      </c>
      <c r="E26" s="102">
        <f aca="true" t="shared" si="30" ref="E26:E48">AG26</f>
        <v>2.5423794325554927</v>
      </c>
      <c r="F26" s="107"/>
      <c r="G26" s="24">
        <v>2003</v>
      </c>
      <c r="H26" s="101">
        <f t="shared" si="16"/>
        <v>1333665.3788179292</v>
      </c>
      <c r="I26" s="101">
        <f t="shared" si="16"/>
        <v>912461.3938664411</v>
      </c>
      <c r="J26" s="101">
        <f t="shared" si="16"/>
        <v>3530943.480510954</v>
      </c>
      <c r="K26" s="101">
        <f t="shared" si="16"/>
        <v>6094900.7063682005</v>
      </c>
      <c r="L26" s="101">
        <f t="shared" si="17"/>
        <v>11871970.959563524</v>
      </c>
      <c r="M26" s="107"/>
      <c r="N26" s="108">
        <v>2003</v>
      </c>
      <c r="O26" s="101">
        <f t="shared" si="18"/>
        <v>488359.0454984984</v>
      </c>
      <c r="P26" s="101">
        <f t="shared" si="19"/>
        <v>368855.9140839697</v>
      </c>
      <c r="Q26" s="101">
        <f t="shared" si="20"/>
        <v>1430829.9671126949</v>
      </c>
      <c r="R26" s="101">
        <f t="shared" si="21"/>
        <v>2381584.9513401226</v>
      </c>
      <c r="S26" s="101">
        <f t="shared" si="6"/>
        <v>4669629.8780352855</v>
      </c>
      <c r="T26" s="107"/>
      <c r="U26" s="108">
        <v>2003</v>
      </c>
      <c r="V26" s="96">
        <f t="shared" si="10"/>
        <v>563667.9308317328</v>
      </c>
      <c r="W26" s="96">
        <f t="shared" si="11"/>
        <v>424428.4763881329</v>
      </c>
      <c r="X26" s="96">
        <f t="shared" si="12"/>
        <v>1565135.5702711083</v>
      </c>
      <c r="Y26" s="96">
        <f t="shared" si="13"/>
        <v>2578785.705740137</v>
      </c>
      <c r="Z26" s="96">
        <f t="shared" si="14"/>
        <v>5130293.5754943825</v>
      </c>
      <c r="AA26" s="107"/>
      <c r="AB26" s="108">
        <v>2003</v>
      </c>
      <c r="AC26" s="315">
        <f t="shared" si="22"/>
        <v>2.730911592835501</v>
      </c>
      <c r="AD26" s="315">
        <f t="shared" si="23"/>
        <v>2.4737610514731236</v>
      </c>
      <c r="AE26" s="315">
        <f t="shared" si="24"/>
        <v>2.4677589662425974</v>
      </c>
      <c r="AF26" s="315">
        <f t="shared" si="25"/>
        <v>2.5591783752826402</v>
      </c>
      <c r="AG26" s="315">
        <f t="shared" si="26"/>
        <v>2.5423794325554927</v>
      </c>
      <c r="AI26" s="315">
        <f t="shared" si="15"/>
        <v>2.3660479971780717</v>
      </c>
      <c r="AJ26" s="315">
        <f t="shared" si="9"/>
        <v>2.1498590330965683</v>
      </c>
      <c r="AK26" s="315">
        <f t="shared" si="9"/>
        <v>2.2559984882966617</v>
      </c>
      <c r="AL26" s="315">
        <f t="shared" si="9"/>
        <v>2.3634770011333313</v>
      </c>
      <c r="AM26" s="315">
        <f t="shared" si="9"/>
        <v>2.31409192960648</v>
      </c>
      <c r="AO26" s="100"/>
      <c r="AP26" s="100"/>
      <c r="AQ26" s="100"/>
      <c r="AR26" s="100"/>
      <c r="AS26" s="100"/>
    </row>
    <row r="27" spans="1:45" ht="12.75">
      <c r="A27" s="97">
        <v>2004</v>
      </c>
      <c r="B27" s="96">
        <f t="shared" si="27"/>
        <v>4735432.832877368</v>
      </c>
      <c r="C27" s="96">
        <f t="shared" si="28"/>
        <v>5208249.082718528</v>
      </c>
      <c r="D27" s="101">
        <f t="shared" si="29"/>
        <v>11994649.328763809</v>
      </c>
      <c r="E27" s="102">
        <f t="shared" si="30"/>
        <v>2.532957335069107</v>
      </c>
      <c r="F27" s="107"/>
      <c r="G27" s="24">
        <v>2004</v>
      </c>
      <c r="H27" s="101">
        <f t="shared" si="16"/>
        <v>1347171.8594380356</v>
      </c>
      <c r="I27" s="101">
        <f t="shared" si="16"/>
        <v>915909.4209051497</v>
      </c>
      <c r="J27" s="101">
        <f t="shared" si="16"/>
        <v>3568232.2424368225</v>
      </c>
      <c r="K27" s="101">
        <f t="shared" si="16"/>
        <v>6163335.8059838</v>
      </c>
      <c r="L27" s="101">
        <f t="shared" si="17"/>
        <v>11994649.328763809</v>
      </c>
      <c r="M27" s="107"/>
      <c r="N27" s="108">
        <v>2004</v>
      </c>
      <c r="O27" s="101">
        <f t="shared" si="18"/>
        <v>495257.10492806963</v>
      </c>
      <c r="P27" s="101">
        <f t="shared" si="19"/>
        <v>371833.3135761285</v>
      </c>
      <c r="Q27" s="101">
        <f t="shared" si="20"/>
        <v>1450237.084397844</v>
      </c>
      <c r="R27" s="101">
        <f t="shared" si="21"/>
        <v>2418105.3299753256</v>
      </c>
      <c r="S27" s="101">
        <f t="shared" si="6"/>
        <v>4735432.832877368</v>
      </c>
      <c r="T27" s="107"/>
      <c r="U27" s="108">
        <v>2004</v>
      </c>
      <c r="V27" s="96">
        <f t="shared" si="10"/>
        <v>573048.688025114</v>
      </c>
      <c r="W27" s="96">
        <f t="shared" si="11"/>
        <v>430953.1972092244</v>
      </c>
      <c r="X27" s="96">
        <f t="shared" si="12"/>
        <v>1594061.0404537532</v>
      </c>
      <c r="Y27" s="96">
        <f t="shared" si="13"/>
        <v>2612537.5800746535</v>
      </c>
      <c r="Z27" s="96">
        <f t="shared" si="14"/>
        <v>5208249.082718528</v>
      </c>
      <c r="AA27" s="107"/>
      <c r="AB27" s="108">
        <v>2004</v>
      </c>
      <c r="AC27" s="315">
        <f t="shared" si="22"/>
        <v>2.7201464573308782</v>
      </c>
      <c r="AD27" s="315">
        <f t="shared" si="23"/>
        <v>2.4632258258313047</v>
      </c>
      <c r="AE27" s="315">
        <f t="shared" si="24"/>
        <v>2.4604475232533414</v>
      </c>
      <c r="AF27" s="315">
        <f t="shared" si="25"/>
        <v>2.548828510314185</v>
      </c>
      <c r="AG27" s="315">
        <f t="shared" si="26"/>
        <v>2.532957335069107</v>
      </c>
      <c r="AI27" s="315">
        <f t="shared" si="15"/>
        <v>2.350885513900689</v>
      </c>
      <c r="AJ27" s="315">
        <f t="shared" si="9"/>
        <v>2.1253106528421526</v>
      </c>
      <c r="AK27" s="315">
        <f t="shared" si="9"/>
        <v>2.2384539562055394</v>
      </c>
      <c r="AL27" s="315">
        <f t="shared" si="9"/>
        <v>2.3591376648475553</v>
      </c>
      <c r="AM27" s="315">
        <f t="shared" si="9"/>
        <v>2.3030099248830496</v>
      </c>
      <c r="AO27" s="100"/>
      <c r="AP27" s="100"/>
      <c r="AQ27" s="100"/>
      <c r="AR27" s="100"/>
      <c r="AS27" s="100"/>
    </row>
    <row r="28" spans="1:45" ht="12.75">
      <c r="A28" s="95">
        <v>2005</v>
      </c>
      <c r="B28" s="96">
        <f t="shared" si="27"/>
        <v>4802180.506541723</v>
      </c>
      <c r="C28" s="96">
        <f t="shared" si="28"/>
        <v>5287530.904758616</v>
      </c>
      <c r="D28" s="101">
        <f t="shared" si="29"/>
        <v>12118639.709323123</v>
      </c>
      <c r="E28" s="102">
        <f t="shared" si="30"/>
        <v>2.5235702183236604</v>
      </c>
      <c r="F28" s="107"/>
      <c r="G28" s="24">
        <v>2005</v>
      </c>
      <c r="H28" s="101">
        <f t="shared" si="16"/>
        <v>1360815.1247581416</v>
      </c>
      <c r="I28" s="101">
        <f t="shared" si="16"/>
        <v>919370.477416162</v>
      </c>
      <c r="J28" s="101">
        <f t="shared" si="16"/>
        <v>3605914.7947967886</v>
      </c>
      <c r="K28" s="101">
        <f t="shared" si="16"/>
        <v>6232539.312352032</v>
      </c>
      <c r="L28" s="101">
        <f t="shared" si="17"/>
        <v>12118639.709323123</v>
      </c>
      <c r="M28" s="107"/>
      <c r="N28" s="108">
        <v>2005</v>
      </c>
      <c r="O28" s="101">
        <f t="shared" si="18"/>
        <v>502252.5992763395</v>
      </c>
      <c r="P28" s="101">
        <f t="shared" si="19"/>
        <v>374834.7465930253</v>
      </c>
      <c r="Q28" s="101">
        <f t="shared" si="20"/>
        <v>1469907.4308646405</v>
      </c>
      <c r="R28" s="101">
        <f t="shared" si="21"/>
        <v>2455185.729807718</v>
      </c>
      <c r="S28" s="101">
        <f t="shared" si="6"/>
        <v>4802180.506541723</v>
      </c>
      <c r="T28" s="107"/>
      <c r="U28" s="108">
        <v>2005</v>
      </c>
      <c r="V28" s="96">
        <f t="shared" si="10"/>
        <v>582609.7987290022</v>
      </c>
      <c r="W28" s="96">
        <f t="shared" si="11"/>
        <v>437636.6090598518</v>
      </c>
      <c r="X28" s="96">
        <f t="shared" si="12"/>
        <v>1623620.826515539</v>
      </c>
      <c r="Y28" s="96">
        <f t="shared" si="13"/>
        <v>2646740.163162348</v>
      </c>
      <c r="Z28" s="96">
        <f t="shared" si="14"/>
        <v>5287530.904758616</v>
      </c>
      <c r="AA28" s="107"/>
      <c r="AB28" s="108">
        <v>2005</v>
      </c>
      <c r="AC28" s="315">
        <f t="shared" si="22"/>
        <v>2.709423757525286</v>
      </c>
      <c r="AD28" s="315">
        <f t="shared" si="23"/>
        <v>2.4527354674895263</v>
      </c>
      <c r="AE28" s="315">
        <f t="shared" si="24"/>
        <v>2.4531577425087843</v>
      </c>
      <c r="AF28" s="315">
        <f t="shared" si="25"/>
        <v>2.5385205024143502</v>
      </c>
      <c r="AG28" s="315">
        <f t="shared" si="26"/>
        <v>2.5235702183236604</v>
      </c>
      <c r="AI28" s="315">
        <f t="shared" si="15"/>
        <v>2.33572303062331</v>
      </c>
      <c r="AJ28" s="315">
        <f t="shared" si="9"/>
        <v>2.1007622725877297</v>
      </c>
      <c r="AK28" s="315">
        <f t="shared" si="9"/>
        <v>2.22090942411441</v>
      </c>
      <c r="AL28" s="315">
        <f t="shared" si="9"/>
        <v>2.354798328561781</v>
      </c>
      <c r="AM28" s="315">
        <f t="shared" si="9"/>
        <v>2.291927920159619</v>
      </c>
      <c r="AO28" s="100"/>
      <c r="AP28" s="100"/>
      <c r="AQ28" s="100"/>
      <c r="AR28" s="100"/>
      <c r="AS28" s="100"/>
    </row>
    <row r="29" spans="1:45" ht="12.75">
      <c r="A29" s="97">
        <v>2006</v>
      </c>
      <c r="B29" s="96">
        <f t="shared" si="27"/>
        <v>4869886.627248183</v>
      </c>
      <c r="C29" s="96">
        <f t="shared" si="28"/>
        <v>5368164.609189662</v>
      </c>
      <c r="D29" s="101">
        <f t="shared" si="29"/>
        <v>12243956.322259344</v>
      </c>
      <c r="E29" s="102">
        <f t="shared" si="30"/>
        <v>2.5142179396439075</v>
      </c>
      <c r="F29" s="107"/>
      <c r="G29" s="24">
        <v>2006</v>
      </c>
      <c r="H29" s="101">
        <f t="shared" si="16"/>
        <v>1374596.5600431936</v>
      </c>
      <c r="I29" s="101">
        <f t="shared" si="16"/>
        <v>922844.6126355041</v>
      </c>
      <c r="J29" s="101">
        <f t="shared" si="16"/>
        <v>3643995.2962407502</v>
      </c>
      <c r="K29" s="101">
        <f t="shared" si="16"/>
        <v>6302519.853339895</v>
      </c>
      <c r="L29" s="101">
        <f t="shared" si="17"/>
        <v>12243956.322259344</v>
      </c>
      <c r="M29" s="107"/>
      <c r="N29" s="108">
        <v>2006</v>
      </c>
      <c r="O29" s="101">
        <f t="shared" si="18"/>
        <v>509346.9048091229</v>
      </c>
      <c r="P29" s="101">
        <f t="shared" si="19"/>
        <v>377860.4071329169</v>
      </c>
      <c r="Q29" s="101">
        <f t="shared" si="20"/>
        <v>1489844.5768322127</v>
      </c>
      <c r="R29" s="101">
        <f t="shared" si="21"/>
        <v>2492834.7384739304</v>
      </c>
      <c r="S29" s="101">
        <f t="shared" si="6"/>
        <v>4869886.627248183</v>
      </c>
      <c r="T29" s="107"/>
      <c r="U29" s="108">
        <v>2006</v>
      </c>
      <c r="V29" s="96">
        <f t="shared" si="10"/>
        <v>592355.3951718037</v>
      </c>
      <c r="W29" s="96">
        <f t="shared" si="11"/>
        <v>444484.3645653399</v>
      </c>
      <c r="X29" s="96">
        <f t="shared" si="12"/>
        <v>1653831.9682921753</v>
      </c>
      <c r="Y29" s="96">
        <f t="shared" si="13"/>
        <v>2681399.6219678842</v>
      </c>
      <c r="Z29" s="96">
        <f t="shared" si="14"/>
        <v>5368164.609189662</v>
      </c>
      <c r="AA29" s="107"/>
      <c r="AB29" s="108">
        <v>2006</v>
      </c>
      <c r="AC29" s="315">
        <f t="shared" si="22"/>
        <v>2.6987433261390326</v>
      </c>
      <c r="AD29" s="315">
        <f t="shared" si="23"/>
        <v>2.4422897853674375</v>
      </c>
      <c r="AE29" s="315">
        <f t="shared" si="24"/>
        <v>2.44588955982832</v>
      </c>
      <c r="AF29" s="315">
        <f t="shared" si="25"/>
        <v>2.5282541823041935</v>
      </c>
      <c r="AG29" s="315">
        <f t="shared" si="26"/>
        <v>2.5142179396439075</v>
      </c>
      <c r="AI29" s="315">
        <f t="shared" si="15"/>
        <v>2.320560547345927</v>
      </c>
      <c r="AJ29" s="315">
        <f t="shared" si="9"/>
        <v>2.076213892333314</v>
      </c>
      <c r="AK29" s="315">
        <f t="shared" si="9"/>
        <v>2.203364892023288</v>
      </c>
      <c r="AL29" s="315">
        <f t="shared" si="9"/>
        <v>2.350458992276005</v>
      </c>
      <c r="AM29" s="315">
        <f t="shared" si="9"/>
        <v>2.2808459154361884</v>
      </c>
      <c r="AO29" s="100"/>
      <c r="AP29" s="100"/>
      <c r="AQ29" s="100"/>
      <c r="AR29" s="100"/>
      <c r="AS29" s="100"/>
    </row>
    <row r="30" spans="1:45" ht="12.75">
      <c r="A30" s="95">
        <v>2007</v>
      </c>
      <c r="B30" s="96">
        <f t="shared" si="27"/>
        <v>4938565.124335393</v>
      </c>
      <c r="C30" s="96">
        <f t="shared" si="28"/>
        <v>5450176.331208987</v>
      </c>
      <c r="D30" s="101">
        <f t="shared" si="29"/>
        <v>12370613.54359902</v>
      </c>
      <c r="E30" s="102">
        <f t="shared" si="30"/>
        <v>2.504900357118161</v>
      </c>
      <c r="F30" s="107"/>
      <c r="G30" s="24">
        <v>2007</v>
      </c>
      <c r="H30" s="101">
        <f t="shared" si="16"/>
        <v>1388517.5645871852</v>
      </c>
      <c r="I30" s="101">
        <f t="shared" si="16"/>
        <v>926331.8759852558</v>
      </c>
      <c r="J30" s="101">
        <f t="shared" si="16"/>
        <v>3682477.949336303</v>
      </c>
      <c r="K30" s="101">
        <f t="shared" si="16"/>
        <v>6373286.153690277</v>
      </c>
      <c r="L30" s="101">
        <f t="shared" si="17"/>
        <v>12370613.54359902</v>
      </c>
      <c r="M30" s="107"/>
      <c r="N30" s="108">
        <v>2007</v>
      </c>
      <c r="O30" s="101">
        <f t="shared" si="18"/>
        <v>516541.4172319552</v>
      </c>
      <c r="P30" s="101">
        <f t="shared" si="19"/>
        <v>380910.4907600113</v>
      </c>
      <c r="Q30" s="101">
        <f t="shared" si="20"/>
        <v>1510052.14104585</v>
      </c>
      <c r="R30" s="101">
        <f t="shared" si="21"/>
        <v>2531061.075297577</v>
      </c>
      <c r="S30" s="101">
        <f t="shared" si="6"/>
        <v>4938565.124335393</v>
      </c>
      <c r="T30" s="107"/>
      <c r="U30" s="108">
        <v>2007</v>
      </c>
      <c r="V30" s="96">
        <f t="shared" si="10"/>
        <v>602289.7243770313</v>
      </c>
      <c r="W30" s="96">
        <f t="shared" si="11"/>
        <v>451502.3869785828</v>
      </c>
      <c r="X30" s="96">
        <f t="shared" si="12"/>
        <v>1684712.0727938432</v>
      </c>
      <c r="Y30" s="96">
        <f t="shared" si="13"/>
        <v>2716522.210373065</v>
      </c>
      <c r="Z30" s="96">
        <f t="shared" si="14"/>
        <v>5450176.331208987</v>
      </c>
      <c r="AA30" s="107"/>
      <c r="AB30" s="108">
        <v>2007</v>
      </c>
      <c r="AC30" s="315">
        <f t="shared" si="22"/>
        <v>2.6881049965518353</v>
      </c>
      <c r="AD30" s="315">
        <f t="shared" si="23"/>
        <v>2.431888589198457</v>
      </c>
      <c r="AE30" s="315">
        <f t="shared" si="24"/>
        <v>2.438642911221495</v>
      </c>
      <c r="AF30" s="315">
        <f t="shared" si="25"/>
        <v>2.5180293813893724</v>
      </c>
      <c r="AG30" s="315">
        <f t="shared" si="26"/>
        <v>2.504900357118161</v>
      </c>
      <c r="AI30" s="315">
        <f t="shared" si="15"/>
        <v>2.3053980640685445</v>
      </c>
      <c r="AJ30" s="315">
        <f t="shared" si="9"/>
        <v>2.051665512078891</v>
      </c>
      <c r="AK30" s="315">
        <f t="shared" si="9"/>
        <v>2.1858203599321655</v>
      </c>
      <c r="AL30" s="315">
        <f t="shared" si="9"/>
        <v>2.346119655990231</v>
      </c>
      <c r="AM30" s="315">
        <f t="shared" si="9"/>
        <v>2.269763910712758</v>
      </c>
      <c r="AO30" s="100"/>
      <c r="AP30" s="100"/>
      <c r="AQ30" s="100"/>
      <c r="AR30" s="100"/>
      <c r="AS30" s="100"/>
    </row>
    <row r="31" spans="1:45" ht="12.75">
      <c r="A31" s="97">
        <v>2008</v>
      </c>
      <c r="B31" s="96">
        <f t="shared" si="27"/>
        <v>5008230.131224227</v>
      </c>
      <c r="C31" s="96">
        <f t="shared" si="28"/>
        <v>5533592.788311285</v>
      </c>
      <c r="D31" s="101">
        <f t="shared" si="29"/>
        <v>12498625.906071728</v>
      </c>
      <c r="E31" s="102">
        <f t="shared" si="30"/>
        <v>2.495617329592745</v>
      </c>
      <c r="F31" s="107"/>
      <c r="G31" s="24">
        <v>2008</v>
      </c>
      <c r="H31" s="101">
        <f t="shared" si="16"/>
        <v>1402579.5518552333</v>
      </c>
      <c r="I31" s="101">
        <f t="shared" si="16"/>
        <v>929832.3170742542</v>
      </c>
      <c r="J31" s="101">
        <f t="shared" si="16"/>
        <v>3721367.0010325345</v>
      </c>
      <c r="K31" s="101">
        <f t="shared" si="16"/>
        <v>6444847.036109706</v>
      </c>
      <c r="L31" s="101">
        <f t="shared" si="17"/>
        <v>12498625.906071728</v>
      </c>
      <c r="M31" s="107"/>
      <c r="N31" s="108">
        <v>2008</v>
      </c>
      <c r="O31" s="101">
        <f t="shared" si="18"/>
        <v>523837.55196467804</v>
      </c>
      <c r="P31" s="101">
        <f t="shared" si="19"/>
        <v>383985.19461710774</v>
      </c>
      <c r="Q31" s="101">
        <f t="shared" si="20"/>
        <v>1530533.7913338323</v>
      </c>
      <c r="R31" s="101">
        <f t="shared" si="21"/>
        <v>2569873.593308609</v>
      </c>
      <c r="S31" s="101">
        <f t="shared" si="6"/>
        <v>5008230.131224227</v>
      </c>
      <c r="T31" s="107"/>
      <c r="U31" s="108">
        <v>2008</v>
      </c>
      <c r="V31" s="96">
        <f t="shared" si="10"/>
        <v>612417.1520253432</v>
      </c>
      <c r="W31" s="96">
        <f t="shared" si="11"/>
        <v>458696.88656687195</v>
      </c>
      <c r="X31" s="96">
        <f t="shared" si="12"/>
        <v>1716279.3373654436</v>
      </c>
      <c r="Y31" s="96">
        <f t="shared" si="13"/>
        <v>2752114.270446632</v>
      </c>
      <c r="Z31" s="96">
        <f t="shared" si="14"/>
        <v>5533592.788311285</v>
      </c>
      <c r="AA31" s="107"/>
      <c r="AB31" s="108">
        <v>2008</v>
      </c>
      <c r="AC31" s="315">
        <f t="shared" si="22"/>
        <v>2.677508602800221</v>
      </c>
      <c r="AD31" s="315">
        <f t="shared" si="23"/>
        <v>2.4215316895263106</v>
      </c>
      <c r="AE31" s="315">
        <f t="shared" si="24"/>
        <v>2.4314177328874464</v>
      </c>
      <c r="AF31" s="315">
        <f t="shared" si="25"/>
        <v>2.5078459317573767</v>
      </c>
      <c r="AG31" s="315">
        <f t="shared" si="26"/>
        <v>2.495617329592745</v>
      </c>
      <c r="AI31" s="315">
        <f t="shared" si="15"/>
        <v>2.2902355807911654</v>
      </c>
      <c r="AJ31" s="315">
        <f t="shared" si="9"/>
        <v>2.0271171318244754</v>
      </c>
      <c r="AK31" s="315">
        <f t="shared" si="9"/>
        <v>2.1682758278410432</v>
      </c>
      <c r="AL31" s="315">
        <f t="shared" si="9"/>
        <v>2.341780319704455</v>
      </c>
      <c r="AM31" s="315">
        <f t="shared" si="9"/>
        <v>2.2586819059893273</v>
      </c>
      <c r="AO31" s="100"/>
      <c r="AP31" s="100"/>
      <c r="AQ31" s="100"/>
      <c r="AR31" s="100"/>
      <c r="AS31" s="100"/>
    </row>
    <row r="32" spans="1:45" ht="12.75">
      <c r="A32" s="95">
        <v>2009</v>
      </c>
      <c r="B32" s="96">
        <f t="shared" si="27"/>
        <v>5078895.988425045</v>
      </c>
      <c r="C32" s="96">
        <f t="shared" si="28"/>
        <v>5618441.2954060715</v>
      </c>
      <c r="D32" s="101">
        <f t="shared" si="29"/>
        <v>12628008.100822924</v>
      </c>
      <c r="E32" s="102">
        <f t="shared" si="30"/>
        <v>2.486368716666482</v>
      </c>
      <c r="F32" s="107"/>
      <c r="G32" s="24">
        <v>2009</v>
      </c>
      <c r="H32" s="101">
        <f t="shared" si="16"/>
        <v>1416783.949627095</v>
      </c>
      <c r="I32" s="101">
        <f t="shared" si="16"/>
        <v>933345.9856987991</v>
      </c>
      <c r="J32" s="101">
        <f t="shared" si="16"/>
        <v>3760666.7431287193</v>
      </c>
      <c r="K32" s="101">
        <f t="shared" si="16"/>
        <v>6517211.42236831</v>
      </c>
      <c r="L32" s="101">
        <f t="shared" si="17"/>
        <v>12628008.100822924</v>
      </c>
      <c r="M32" s="107"/>
      <c r="N32" s="108">
        <v>2009</v>
      </c>
      <c r="O32" s="101">
        <f t="shared" si="18"/>
        <v>531236.7444199033</v>
      </c>
      <c r="P32" s="101">
        <f t="shared" si="19"/>
        <v>387084.7174383392</v>
      </c>
      <c r="Q32" s="101">
        <f t="shared" si="20"/>
        <v>1551293.2452731698</v>
      </c>
      <c r="R32" s="101">
        <f t="shared" si="21"/>
        <v>2609281.281293633</v>
      </c>
      <c r="S32" s="101">
        <f t="shared" si="6"/>
        <v>5078895.988425045</v>
      </c>
      <c r="T32" s="107"/>
      <c r="U32" s="108">
        <v>2009</v>
      </c>
      <c r="V32" s="96">
        <f t="shared" si="10"/>
        <v>622742.1664716476</v>
      </c>
      <c r="W32" s="96">
        <f t="shared" si="11"/>
        <v>466074.37820401153</v>
      </c>
      <c r="X32" s="96">
        <f t="shared" si="12"/>
        <v>1748552.5739827277</v>
      </c>
      <c r="Y32" s="96">
        <f t="shared" si="13"/>
        <v>2788182.2337334077</v>
      </c>
      <c r="Z32" s="96">
        <f t="shared" si="14"/>
        <v>5618441.2954060715</v>
      </c>
      <c r="AA32" s="107"/>
      <c r="AB32" s="108">
        <v>2009</v>
      </c>
      <c r="AC32" s="315">
        <f t="shared" si="22"/>
        <v>2.6669539795749375</v>
      </c>
      <c r="AD32" s="315">
        <f t="shared" si="23"/>
        <v>2.4112188977015783</v>
      </c>
      <c r="AE32" s="315">
        <f t="shared" si="24"/>
        <v>2.4242139612143396</v>
      </c>
      <c r="AF32" s="315">
        <f t="shared" si="25"/>
        <v>2.497703666174771</v>
      </c>
      <c r="AG32" s="315">
        <f t="shared" si="26"/>
        <v>2.486368716666482</v>
      </c>
      <c r="AI32" s="315">
        <f t="shared" si="15"/>
        <v>2.2750730975137827</v>
      </c>
      <c r="AJ32" s="315">
        <f t="shared" si="9"/>
        <v>2.0025687515700596</v>
      </c>
      <c r="AK32" s="315">
        <f t="shared" si="9"/>
        <v>2.150731295749914</v>
      </c>
      <c r="AL32" s="315">
        <f t="shared" si="9"/>
        <v>2.3374409834186807</v>
      </c>
      <c r="AM32" s="315">
        <f t="shared" si="9"/>
        <v>2.2475999012658967</v>
      </c>
      <c r="AO32" s="100"/>
      <c r="AP32" s="100"/>
      <c r="AQ32" s="100"/>
      <c r="AR32" s="100"/>
      <c r="AS32" s="100"/>
    </row>
    <row r="33" spans="1:45" ht="12.75">
      <c r="A33" s="97">
        <v>2010</v>
      </c>
      <c r="B33" s="96">
        <f t="shared" si="27"/>
        <v>5150577.246589467</v>
      </c>
      <c r="C33" s="96">
        <f t="shared" si="28"/>
        <v>5704749.780392973</v>
      </c>
      <c r="D33" s="101">
        <f t="shared" si="29"/>
        <v>12758774.979145586</v>
      </c>
      <c r="E33" s="102">
        <f t="shared" si="30"/>
        <v>2.4771543786852246</v>
      </c>
      <c r="F33" s="107"/>
      <c r="G33" s="24">
        <v>2010</v>
      </c>
      <c r="H33" s="101">
        <f t="shared" si="16"/>
        <v>1431132.2001421356</v>
      </c>
      <c r="I33" s="101">
        <f t="shared" si="16"/>
        <v>936872.9318433618</v>
      </c>
      <c r="J33" s="101">
        <f t="shared" si="16"/>
        <v>3800381.5127479616</v>
      </c>
      <c r="K33" s="101">
        <f t="shared" si="16"/>
        <v>6590388.334412127</v>
      </c>
      <c r="L33" s="101">
        <f t="shared" si="17"/>
        <v>12758774.979145586</v>
      </c>
      <c r="M33" s="107"/>
      <c r="N33" s="108">
        <v>2010</v>
      </c>
      <c r="O33" s="101">
        <f t="shared" si="18"/>
        <v>538740.4502854102</v>
      </c>
      <c r="P33" s="101">
        <f t="shared" si="19"/>
        <v>390209.2595620178</v>
      </c>
      <c r="Q33" s="101">
        <f t="shared" si="20"/>
        <v>1572334.2708643712</v>
      </c>
      <c r="R33" s="101">
        <f t="shared" si="21"/>
        <v>2649293.2658776683</v>
      </c>
      <c r="S33" s="101">
        <f t="shared" si="6"/>
        <v>5150577.246589467</v>
      </c>
      <c r="T33" s="107"/>
      <c r="U33" s="108">
        <v>2010</v>
      </c>
      <c r="V33" s="96">
        <f t="shared" si="10"/>
        <v>633269.3829245543</v>
      </c>
      <c r="W33" s="96">
        <f t="shared" si="11"/>
        <v>473641.7002723897</v>
      </c>
      <c r="X33" s="96">
        <f t="shared" si="12"/>
        <v>1781551.2347496648</v>
      </c>
      <c r="Y33" s="96">
        <f t="shared" si="13"/>
        <v>2824732.6225631465</v>
      </c>
      <c r="Z33" s="96">
        <f t="shared" si="14"/>
        <v>5704749.780392973</v>
      </c>
      <c r="AA33" s="107"/>
      <c r="AB33" s="108">
        <v>2010</v>
      </c>
      <c r="AC33" s="315">
        <f t="shared" si="22"/>
        <v>2.656440962218375</v>
      </c>
      <c r="AD33" s="315">
        <f t="shared" si="23"/>
        <v>2.4009500258782563</v>
      </c>
      <c r="AE33" s="315">
        <f t="shared" si="24"/>
        <v>2.4170315327788088</v>
      </c>
      <c r="AF33" s="315">
        <f t="shared" si="25"/>
        <v>2.487602418084446</v>
      </c>
      <c r="AG33" s="315">
        <f t="shared" si="26"/>
        <v>2.4771543786852246</v>
      </c>
      <c r="AI33" s="315">
        <f t="shared" si="15"/>
        <v>2.2599106142364</v>
      </c>
      <c r="AJ33" s="315">
        <f t="shared" si="9"/>
        <v>1.9780203713156368</v>
      </c>
      <c r="AK33" s="315">
        <f t="shared" si="9"/>
        <v>2.1331867636587916</v>
      </c>
      <c r="AL33" s="315">
        <f t="shared" si="9"/>
        <v>2.3331016471329047</v>
      </c>
      <c r="AM33" s="315">
        <f t="shared" si="9"/>
        <v>2.236517896542466</v>
      </c>
      <c r="AO33" s="100"/>
      <c r="AP33" s="100"/>
      <c r="AQ33" s="100"/>
      <c r="AR33" s="100"/>
      <c r="AS33" s="100"/>
    </row>
    <row r="34" spans="1:45" ht="12.75">
      <c r="A34" s="95">
        <v>2011</v>
      </c>
      <c r="B34" s="96">
        <f t="shared" si="27"/>
        <v>5223288.669607309</v>
      </c>
      <c r="C34" s="96">
        <f t="shared" si="28"/>
        <v>5792546.800210873</v>
      </c>
      <c r="D34" s="101">
        <f t="shared" si="29"/>
        <v>12890941.554230805</v>
      </c>
      <c r="E34" s="102">
        <f t="shared" si="30"/>
        <v>2.467974176736427</v>
      </c>
      <c r="F34" s="107"/>
      <c r="G34" s="24">
        <v>2011</v>
      </c>
      <c r="H34" s="101">
        <f t="shared" si="16"/>
        <v>1445625.7602457672</v>
      </c>
      <c r="I34" s="101">
        <f t="shared" si="16"/>
        <v>940413.2056812957</v>
      </c>
      <c r="J34" s="101">
        <f t="shared" si="16"/>
        <v>3840515.6928158407</v>
      </c>
      <c r="K34" s="101">
        <f t="shared" si="16"/>
        <v>6664386.895487903</v>
      </c>
      <c r="L34" s="101">
        <f t="shared" si="17"/>
        <v>12890941.554230805</v>
      </c>
      <c r="M34" s="107"/>
      <c r="N34" s="108">
        <v>2011</v>
      </c>
      <c r="O34" s="101">
        <f t="shared" si="18"/>
        <v>546350.145810532</v>
      </c>
      <c r="P34" s="101">
        <f t="shared" si="19"/>
        <v>393359.02294358343</v>
      </c>
      <c r="Q34" s="101">
        <f t="shared" si="20"/>
        <v>1593660.6872153652</v>
      </c>
      <c r="R34" s="101">
        <f t="shared" si="21"/>
        <v>2689918.813637828</v>
      </c>
      <c r="S34" s="101">
        <f t="shared" si="6"/>
        <v>5223288.669607309</v>
      </c>
      <c r="T34" s="107"/>
      <c r="U34" s="108">
        <v>2011</v>
      </c>
      <c r="V34" s="96">
        <f t="shared" si="10"/>
        <v>644003.5477958742</v>
      </c>
      <c r="W34" s="96">
        <f t="shared" si="11"/>
        <v>481406.03499025217</v>
      </c>
      <c r="X34" s="96">
        <f t="shared" si="12"/>
        <v>1815295.438666895</v>
      </c>
      <c r="Y34" s="96">
        <f t="shared" si="13"/>
        <v>2861772.0513793477</v>
      </c>
      <c r="Z34" s="96">
        <f t="shared" si="14"/>
        <v>5792546.800210873</v>
      </c>
      <c r="AA34" s="107"/>
      <c r="AB34" s="108">
        <v>2011</v>
      </c>
      <c r="AC34" s="315">
        <f t="shared" si="22"/>
        <v>2.645969386721997</v>
      </c>
      <c r="AD34" s="315">
        <f t="shared" si="23"/>
        <v>2.3907248870103386</v>
      </c>
      <c r="AE34" s="315">
        <f t="shared" si="24"/>
        <v>2.4098703843453966</v>
      </c>
      <c r="AF34" s="315">
        <f t="shared" si="25"/>
        <v>2.4775420216028867</v>
      </c>
      <c r="AG34" s="315">
        <f t="shared" si="26"/>
        <v>2.467974176736427</v>
      </c>
      <c r="AI34" s="315">
        <f t="shared" si="15"/>
        <v>2.244748130959021</v>
      </c>
      <c r="AJ34" s="315">
        <f t="shared" si="9"/>
        <v>1.953471991061221</v>
      </c>
      <c r="AK34" s="315">
        <f t="shared" si="9"/>
        <v>2.1156422315676693</v>
      </c>
      <c r="AL34" s="315">
        <f t="shared" si="9"/>
        <v>2.3287623108471305</v>
      </c>
      <c r="AM34" s="315">
        <f t="shared" si="9"/>
        <v>2.225435891819039</v>
      </c>
      <c r="AO34" s="100"/>
      <c r="AP34" s="100"/>
      <c r="AQ34" s="100"/>
      <c r="AR34" s="100"/>
      <c r="AS34" s="100"/>
    </row>
    <row r="35" spans="1:45" ht="12.75">
      <c r="A35" s="97">
        <v>2012</v>
      </c>
      <c r="B35" s="96">
        <f t="shared" si="27"/>
        <v>5297045.237749356</v>
      </c>
      <c r="C35" s="96">
        <f t="shared" si="28"/>
        <v>5881861.557377709</v>
      </c>
      <c r="D35" s="101">
        <f t="shared" si="29"/>
        <v>13024523.002937559</v>
      </c>
      <c r="E35" s="102">
        <f t="shared" si="30"/>
        <v>2.458827972643765</v>
      </c>
      <c r="F35" s="107"/>
      <c r="G35" s="24">
        <v>2012</v>
      </c>
      <c r="H35" s="101">
        <f t="shared" si="16"/>
        <v>1460266.1015373678</v>
      </c>
      <c r="I35" s="101">
        <f t="shared" si="16"/>
        <v>943966.8575755503</v>
      </c>
      <c r="J35" s="101">
        <f t="shared" si="16"/>
        <v>3881073.7125441115</v>
      </c>
      <c r="K35" s="101">
        <f t="shared" si="16"/>
        <v>6739216.331280529</v>
      </c>
      <c r="L35" s="101">
        <f t="shared" si="17"/>
        <v>13024523.002937559</v>
      </c>
      <c r="M35" s="107"/>
      <c r="N35" s="108">
        <v>2012</v>
      </c>
      <c r="O35" s="101">
        <f t="shared" si="18"/>
        <v>554067.3280965874</v>
      </c>
      <c r="P35" s="101">
        <f t="shared" si="19"/>
        <v>396534.21116865735</v>
      </c>
      <c r="Q35" s="101">
        <f t="shared" si="20"/>
        <v>1615276.3652346977</v>
      </c>
      <c r="R35" s="101">
        <f t="shared" si="21"/>
        <v>2731167.3332494134</v>
      </c>
      <c r="S35" s="101">
        <f t="shared" si="6"/>
        <v>5297045.237749356</v>
      </c>
      <c r="T35" s="107"/>
      <c r="U35" s="108">
        <v>2012</v>
      </c>
      <c r="V35" s="96">
        <f t="shared" si="10"/>
        <v>654949.5432282576</v>
      </c>
      <c r="W35" s="96">
        <f t="shared" si="11"/>
        <v>489374.9302911604</v>
      </c>
      <c r="X35" s="96">
        <f t="shared" si="12"/>
        <v>1849805.999745578</v>
      </c>
      <c r="Y35" s="96">
        <f t="shared" si="13"/>
        <v>2899307.2280884236</v>
      </c>
      <c r="Z35" s="96">
        <f t="shared" si="14"/>
        <v>5881861.557377709</v>
      </c>
      <c r="AA35" s="107"/>
      <c r="AB35" s="108">
        <v>2012</v>
      </c>
      <c r="AC35" s="315">
        <f t="shared" si="22"/>
        <v>2.6355390897237814</v>
      </c>
      <c r="AD35" s="315">
        <f t="shared" si="23"/>
        <v>2.380543294848409</v>
      </c>
      <c r="AE35" s="315">
        <f t="shared" si="24"/>
        <v>2.402730452866</v>
      </c>
      <c r="AF35" s="315">
        <f t="shared" si="25"/>
        <v>2.467522311517445</v>
      </c>
      <c r="AG35" s="315">
        <f t="shared" si="26"/>
        <v>2.458827972643765</v>
      </c>
      <c r="AI35" s="315">
        <f t="shared" si="15"/>
        <v>2.2295856476816382</v>
      </c>
      <c r="AJ35" s="315">
        <f t="shared" si="9"/>
        <v>1.9289236108067982</v>
      </c>
      <c r="AK35" s="315">
        <f t="shared" si="9"/>
        <v>2.098097699476547</v>
      </c>
      <c r="AL35" s="315">
        <f t="shared" si="9"/>
        <v>2.3244229745613545</v>
      </c>
      <c r="AM35" s="315">
        <f t="shared" si="9"/>
        <v>2.2143538870956085</v>
      </c>
      <c r="AO35" s="100"/>
      <c r="AP35" s="100"/>
      <c r="AQ35" s="100"/>
      <c r="AR35" s="100"/>
      <c r="AS35" s="100"/>
    </row>
    <row r="36" spans="1:45" ht="12.75">
      <c r="A36" s="95">
        <v>2013</v>
      </c>
      <c r="B36" s="96">
        <f t="shared" si="27"/>
        <v>5371862.150856662</v>
      </c>
      <c r="C36" s="96">
        <f t="shared" si="28"/>
        <v>5972723.917038089</v>
      </c>
      <c r="D36" s="101">
        <f t="shared" si="29"/>
        <v>13159534.667581838</v>
      </c>
      <c r="E36" s="102">
        <f t="shared" si="30"/>
        <v>2.4497156289617856</v>
      </c>
      <c r="F36" s="107"/>
      <c r="G36" s="24">
        <v>2013</v>
      </c>
      <c r="H36" s="101">
        <f t="shared" si="16"/>
        <v>1475054.7105197005</v>
      </c>
      <c r="I36" s="101">
        <f t="shared" si="16"/>
        <v>947533.9380793876</v>
      </c>
      <c r="J36" s="101">
        <f t="shared" si="16"/>
        <v>3922060.047919512</v>
      </c>
      <c r="K36" s="101">
        <f t="shared" si="16"/>
        <v>6814885.971063238</v>
      </c>
      <c r="L36" s="101">
        <f t="shared" si="17"/>
        <v>13159534.667581838</v>
      </c>
      <c r="M36" s="107"/>
      <c r="N36" s="108">
        <v>2013</v>
      </c>
      <c r="O36" s="101">
        <f t="shared" si="18"/>
        <v>561893.515391414</v>
      </c>
      <c r="P36" s="101">
        <f t="shared" si="19"/>
        <v>399735.0294662009</v>
      </c>
      <c r="Q36" s="101">
        <f t="shared" si="20"/>
        <v>1637185.2283341314</v>
      </c>
      <c r="R36" s="101">
        <f t="shared" si="21"/>
        <v>2773048.3776649153</v>
      </c>
      <c r="S36" s="101">
        <f t="shared" si="6"/>
        <v>5371862.150856662</v>
      </c>
      <c r="T36" s="107"/>
      <c r="U36" s="108">
        <v>2013</v>
      </c>
      <c r="V36" s="96">
        <f t="shared" si="10"/>
        <v>666112.3918095091</v>
      </c>
      <c r="W36" s="96">
        <f t="shared" si="11"/>
        <v>497556.3233956505</v>
      </c>
      <c r="X36" s="96">
        <f t="shared" si="12"/>
        <v>1885104.4565461755</v>
      </c>
      <c r="Y36" s="96">
        <f t="shared" si="13"/>
        <v>2937344.955429475</v>
      </c>
      <c r="Z36" s="96">
        <f t="shared" si="14"/>
        <v>5972723.917038089</v>
      </c>
      <c r="AA36" s="107"/>
      <c r="AB36" s="108">
        <v>2013</v>
      </c>
      <c r="AC36" s="315">
        <f t="shared" si="22"/>
        <v>2.625149908505671</v>
      </c>
      <c r="AD36" s="315">
        <f t="shared" si="23"/>
        <v>2.3704050639362473</v>
      </c>
      <c r="AE36" s="315">
        <f t="shared" si="24"/>
        <v>2.395611675479314</v>
      </c>
      <c r="AF36" s="315">
        <f t="shared" si="25"/>
        <v>2.4575431232836293</v>
      </c>
      <c r="AG36" s="315">
        <f t="shared" si="26"/>
        <v>2.4497156289617856</v>
      </c>
      <c r="AI36" s="315">
        <f t="shared" si="15"/>
        <v>2.2144231644042556</v>
      </c>
      <c r="AJ36" s="315">
        <f t="shared" si="9"/>
        <v>1.9043752305523824</v>
      </c>
      <c r="AK36" s="315">
        <f t="shared" si="9"/>
        <v>2.0805531673854176</v>
      </c>
      <c r="AL36" s="315">
        <f t="shared" si="9"/>
        <v>2.3200836382755803</v>
      </c>
      <c r="AM36" s="315">
        <f t="shared" si="9"/>
        <v>2.203271882372178</v>
      </c>
      <c r="AO36" s="100"/>
      <c r="AP36" s="100"/>
      <c r="AQ36" s="100"/>
      <c r="AR36" s="100"/>
      <c r="AS36" s="100"/>
    </row>
    <row r="37" spans="1:45" ht="12.75">
      <c r="A37" s="97">
        <v>2014</v>
      </c>
      <c r="B37" s="96">
        <f t="shared" si="27"/>
        <v>5447754.83157705</v>
      </c>
      <c r="C37" s="96">
        <f t="shared" si="28"/>
        <v>6065164.424537045</v>
      </c>
      <c r="D37" s="101">
        <f t="shared" si="29"/>
        <v>13295992.0577454</v>
      </c>
      <c r="E37" s="102">
        <f t="shared" si="30"/>
        <v>2.44063700897061</v>
      </c>
      <c r="F37" s="107"/>
      <c r="G37" s="24">
        <v>2014</v>
      </c>
      <c r="H37" s="101">
        <f t="shared" si="16"/>
        <v>1489993.088749845</v>
      </c>
      <c r="I37" s="101">
        <f t="shared" si="16"/>
        <v>951114.4979371014</v>
      </c>
      <c r="J37" s="101">
        <f t="shared" si="16"/>
        <v>3963479.222197733</v>
      </c>
      <c r="K37" s="101">
        <f t="shared" si="16"/>
        <v>6891405.248860721</v>
      </c>
      <c r="L37" s="101">
        <f t="shared" si="17"/>
        <v>13295992.0577454</v>
      </c>
      <c r="M37" s="107"/>
      <c r="N37" s="108">
        <v>2014</v>
      </c>
      <c r="O37" s="101">
        <f t="shared" si="18"/>
        <v>569830.2473880625</v>
      </c>
      <c r="P37" s="101">
        <f t="shared" si="19"/>
        <v>402961.6847217807</v>
      </c>
      <c r="Q37" s="101">
        <f t="shared" si="20"/>
        <v>1659391.2531407755</v>
      </c>
      <c r="R37" s="101">
        <f t="shared" si="21"/>
        <v>2815571.6463264306</v>
      </c>
      <c r="S37" s="101">
        <f t="shared" si="6"/>
        <v>5447754.83157705</v>
      </c>
      <c r="T37" s="107"/>
      <c r="U37" s="108">
        <v>2014</v>
      </c>
      <c r="V37" s="96">
        <f t="shared" si="10"/>
        <v>677497.261482613</v>
      </c>
      <c r="W37" s="96">
        <f t="shared" si="11"/>
        <v>505958.5662298326</v>
      </c>
      <c r="X37" s="96">
        <f t="shared" si="12"/>
        <v>1921213.1032269425</v>
      </c>
      <c r="Y37" s="96">
        <f t="shared" si="13"/>
        <v>2975892.132365079</v>
      </c>
      <c r="Z37" s="96">
        <f t="shared" si="14"/>
        <v>6065164.424537045</v>
      </c>
      <c r="AA37" s="107"/>
      <c r="AB37" s="108">
        <v>2014</v>
      </c>
      <c r="AC37" s="315">
        <f t="shared" si="22"/>
        <v>2.614801680991038</v>
      </c>
      <c r="AD37" s="315">
        <f t="shared" si="23"/>
        <v>2.3603100096074523</v>
      </c>
      <c r="AE37" s="315">
        <f t="shared" si="24"/>
        <v>2.388513989510278</v>
      </c>
      <c r="AF37" s="315">
        <f t="shared" si="25"/>
        <v>2.4476042930224007</v>
      </c>
      <c r="AG37" s="315">
        <f t="shared" si="26"/>
        <v>2.44063700897061</v>
      </c>
      <c r="AI37" s="315">
        <f t="shared" si="15"/>
        <v>2.1992606811268764</v>
      </c>
      <c r="AJ37" s="315">
        <f t="shared" si="9"/>
        <v>1.8798268502979667</v>
      </c>
      <c r="AK37" s="315">
        <f t="shared" si="9"/>
        <v>2.0630086352942953</v>
      </c>
      <c r="AL37" s="315">
        <f t="shared" si="9"/>
        <v>2.3157443019898043</v>
      </c>
      <c r="AM37" s="315">
        <f t="shared" si="9"/>
        <v>2.1921898776487474</v>
      </c>
      <c r="AO37" s="100"/>
      <c r="AP37" s="100"/>
      <c r="AQ37" s="100"/>
      <c r="AR37" s="100"/>
      <c r="AS37" s="100"/>
    </row>
    <row r="38" spans="1:45" ht="12.75">
      <c r="A38" s="95">
        <v>2015</v>
      </c>
      <c r="B38" s="96">
        <f t="shared" si="27"/>
        <v>5524738.92864953</v>
      </c>
      <c r="C38" s="96">
        <f t="shared" si="28"/>
        <v>6159214.323538549</v>
      </c>
      <c r="D38" s="101">
        <f t="shared" si="29"/>
        <v>13433910.85210431</v>
      </c>
      <c r="E38" s="102">
        <f t="shared" si="30"/>
        <v>2.43159197667067</v>
      </c>
      <c r="F38" s="107"/>
      <c r="G38" s="24">
        <v>2015</v>
      </c>
      <c r="H38" s="101">
        <f t="shared" si="16"/>
        <v>1505082.7529916577</v>
      </c>
      <c r="I38" s="101">
        <f t="shared" si="16"/>
        <v>954708.5880847388</v>
      </c>
      <c r="J38" s="101">
        <f t="shared" si="16"/>
        <v>4005335.806402607</v>
      </c>
      <c r="K38" s="101">
        <f t="shared" si="16"/>
        <v>6968783.704625306</v>
      </c>
      <c r="L38" s="101">
        <f t="shared" si="17"/>
        <v>13433910.85210431</v>
      </c>
      <c r="M38" s="107"/>
      <c r="N38" s="108">
        <v>2015</v>
      </c>
      <c r="O38" s="101">
        <f t="shared" si="18"/>
        <v>577879.0855277099</v>
      </c>
      <c r="P38" s="101">
        <f t="shared" si="19"/>
        <v>406214.38549094053</v>
      </c>
      <c r="Q38" s="101">
        <f t="shared" si="20"/>
        <v>1681898.4702188738</v>
      </c>
      <c r="R38" s="101">
        <f t="shared" si="21"/>
        <v>2858746.987412006</v>
      </c>
      <c r="S38" s="101">
        <f t="shared" si="6"/>
        <v>5524738.92864953</v>
      </c>
      <c r="T38" s="107"/>
      <c r="U38" s="108">
        <v>2015</v>
      </c>
      <c r="V38" s="96">
        <f t="shared" si="10"/>
        <v>689109.4706609766</v>
      </c>
      <c r="W38" s="96">
        <f t="shared" si="11"/>
        <v>514590.4528619532</v>
      </c>
      <c r="X38" s="96">
        <f t="shared" si="12"/>
        <v>1958155.0221929085</v>
      </c>
      <c r="Y38" s="96">
        <f t="shared" si="13"/>
        <v>3014955.7554933634</v>
      </c>
      <c r="Z38" s="96">
        <f t="shared" si="14"/>
        <v>6159214.323538549</v>
      </c>
      <c r="AA38" s="107"/>
      <c r="AB38" s="108">
        <v>2015</v>
      </c>
      <c r="AC38" s="315">
        <f t="shared" si="22"/>
        <v>2.6044942457421527</v>
      </c>
      <c r="AD38" s="315">
        <f t="shared" si="23"/>
        <v>2.350257947982078</v>
      </c>
      <c r="AE38" s="315">
        <f t="shared" si="24"/>
        <v>2.3814373324695235</v>
      </c>
      <c r="AF38" s="315">
        <f t="shared" si="25"/>
        <v>2.437705657517482</v>
      </c>
      <c r="AG38" s="315">
        <f t="shared" si="26"/>
        <v>2.43159197667067</v>
      </c>
      <c r="AI38" s="315">
        <f t="shared" si="15"/>
        <v>2.1840981978494938</v>
      </c>
      <c r="AJ38" s="315">
        <f t="shared" si="9"/>
        <v>1.8552784700435438</v>
      </c>
      <c r="AK38" s="315">
        <f t="shared" si="9"/>
        <v>2.045464103203173</v>
      </c>
      <c r="AL38" s="315">
        <f t="shared" si="9"/>
        <v>2.31140496570403</v>
      </c>
      <c r="AM38" s="315">
        <f t="shared" si="9"/>
        <v>2.181107872925317</v>
      </c>
      <c r="AO38" s="100"/>
      <c r="AP38" s="100"/>
      <c r="AQ38" s="100"/>
      <c r="AR38" s="100"/>
      <c r="AS38" s="100"/>
    </row>
    <row r="39" spans="1:45" ht="12.75">
      <c r="A39" s="97">
        <v>2016</v>
      </c>
      <c r="B39" s="96">
        <f t="shared" si="27"/>
        <v>5602830.320237342</v>
      </c>
      <c r="C39" s="96">
        <f t="shared" si="28"/>
        <v>6254905.574708441</v>
      </c>
      <c r="D39" s="101">
        <f t="shared" si="29"/>
        <v>13573306.900277503</v>
      </c>
      <c r="E39" s="102">
        <f t="shared" si="30"/>
        <v>2.4225803967774846</v>
      </c>
      <c r="F39" s="107"/>
      <c r="G39" s="24">
        <v>2016</v>
      </c>
      <c r="H39" s="101">
        <f t="shared" si="16"/>
        <v>1520325.2353697757</v>
      </c>
      <c r="I39" s="101">
        <f t="shared" si="16"/>
        <v>958316.2596508252</v>
      </c>
      <c r="J39" s="101">
        <f t="shared" si="16"/>
        <v>4047634.419830566</v>
      </c>
      <c r="K39" s="101">
        <f t="shared" si="16"/>
        <v>7047030.985426337</v>
      </c>
      <c r="L39" s="101">
        <f t="shared" si="17"/>
        <v>13573306.900277503</v>
      </c>
      <c r="M39" s="107"/>
      <c r="N39" s="108">
        <v>2016</v>
      </c>
      <c r="O39" s="101">
        <f t="shared" si="18"/>
        <v>586041.6133068512</v>
      </c>
      <c r="P39" s="101">
        <f t="shared" si="19"/>
        <v>409493.34201268136</v>
      </c>
      <c r="Q39" s="101">
        <f t="shared" si="20"/>
        <v>1704710.9648013832</v>
      </c>
      <c r="R39" s="101">
        <f t="shared" si="21"/>
        <v>2902584.400116426</v>
      </c>
      <c r="S39" s="101">
        <f t="shared" si="6"/>
        <v>5602830.320237342</v>
      </c>
      <c r="T39" s="107"/>
      <c r="U39" s="108">
        <v>2016</v>
      </c>
      <c r="V39" s="96">
        <f t="shared" si="10"/>
        <v>700954.4935589326</v>
      </c>
      <c r="W39" s="96">
        <f t="shared" si="11"/>
        <v>523461.24914634926</v>
      </c>
      <c r="X39" s="96">
        <f t="shared" si="12"/>
        <v>1995954.1184421645</v>
      </c>
      <c r="Y39" s="96">
        <f t="shared" si="13"/>
        <v>3054542.920481766</v>
      </c>
      <c r="Z39" s="96">
        <f t="shared" si="14"/>
        <v>6254905.574708441</v>
      </c>
      <c r="AA39" s="107"/>
      <c r="AB39" s="108">
        <v>2016</v>
      </c>
      <c r="AC39" s="315">
        <f t="shared" si="22"/>
        <v>2.5942274419576647</v>
      </c>
      <c r="AD39" s="315">
        <f t="shared" si="23"/>
        <v>2.3402486959632856</v>
      </c>
      <c r="AE39" s="315">
        <f t="shared" si="24"/>
        <v>2.374381642052826</v>
      </c>
      <c r="AF39" s="315">
        <f t="shared" si="25"/>
        <v>2.4278470542126778</v>
      </c>
      <c r="AG39" s="315">
        <f t="shared" si="26"/>
        <v>2.4225803967774846</v>
      </c>
      <c r="AI39" s="315">
        <f t="shared" si="15"/>
        <v>2.168935714572111</v>
      </c>
      <c r="AJ39" s="315">
        <f t="shared" si="15"/>
        <v>1.830730089789128</v>
      </c>
      <c r="AK39" s="315">
        <f t="shared" si="15"/>
        <v>2.027919571112051</v>
      </c>
      <c r="AL39" s="315">
        <f t="shared" si="15"/>
        <v>2.307065629418254</v>
      </c>
      <c r="AM39" s="315">
        <f t="shared" si="15"/>
        <v>2.1700258682018863</v>
      </c>
      <c r="AO39" s="100"/>
      <c r="AP39" s="100"/>
      <c r="AQ39" s="100"/>
      <c r="AR39" s="100"/>
      <c r="AS39" s="100"/>
    </row>
    <row r="40" spans="1:45" ht="12.75">
      <c r="A40" s="95">
        <v>2017</v>
      </c>
      <c r="B40" s="96">
        <f t="shared" si="27"/>
        <v>5682045.117310332</v>
      </c>
      <c r="C40" s="96">
        <f t="shared" si="28"/>
        <v>6352270.874982142</v>
      </c>
      <c r="D40" s="101">
        <f t="shared" si="29"/>
        <v>13714196.224695615</v>
      </c>
      <c r="E40" s="102">
        <f t="shared" si="30"/>
        <v>2.413602134716488</v>
      </c>
      <c r="F40" s="107"/>
      <c r="G40" s="24">
        <v>2017</v>
      </c>
      <c r="H40" s="101">
        <f t="shared" si="16"/>
        <v>1535722.083525181</v>
      </c>
      <c r="I40" s="101">
        <f t="shared" si="16"/>
        <v>961937.5639570913</v>
      </c>
      <c r="J40" s="101">
        <f t="shared" si="16"/>
        <v>4090379.7305604257</v>
      </c>
      <c r="K40" s="101">
        <f t="shared" si="16"/>
        <v>7126156.846652917</v>
      </c>
      <c r="L40" s="101">
        <f t="shared" si="17"/>
        <v>13714196.224695615</v>
      </c>
      <c r="M40" s="107"/>
      <c r="N40" s="108">
        <v>2017</v>
      </c>
      <c r="O40" s="101">
        <f t="shared" si="18"/>
        <v>594319.4365888301</v>
      </c>
      <c r="P40" s="101">
        <f t="shared" si="19"/>
        <v>412798.76622305036</v>
      </c>
      <c r="Q40" s="101">
        <f t="shared" si="20"/>
        <v>1727832.8775314752</v>
      </c>
      <c r="R40" s="101">
        <f t="shared" si="21"/>
        <v>2947094.0369669767</v>
      </c>
      <c r="S40" s="101">
        <f t="shared" si="6"/>
        <v>5682045.117310332</v>
      </c>
      <c r="T40" s="107"/>
      <c r="U40" s="108">
        <v>2017</v>
      </c>
      <c r="V40" s="96">
        <f t="shared" si="10"/>
        <v>713037.9657481341</v>
      </c>
      <c r="W40" s="96">
        <f t="shared" si="11"/>
        <v>532580.7247848271</v>
      </c>
      <c r="X40" s="96">
        <f t="shared" si="12"/>
        <v>2034635.155713281</v>
      </c>
      <c r="Y40" s="96">
        <f t="shared" si="13"/>
        <v>3094660.823522779</v>
      </c>
      <c r="Z40" s="96">
        <f t="shared" si="14"/>
        <v>6352270.874982142</v>
      </c>
      <c r="AA40" s="107"/>
      <c r="AB40" s="108">
        <v>2017</v>
      </c>
      <c r="AC40" s="315">
        <f t="shared" si="22"/>
        <v>2.584001109470099</v>
      </c>
      <c r="AD40" s="315">
        <f t="shared" si="23"/>
        <v>2.3302820712340044</v>
      </c>
      <c r="AE40" s="315">
        <f t="shared" si="24"/>
        <v>2.367346856140555</v>
      </c>
      <c r="AF40" s="315">
        <f t="shared" si="25"/>
        <v>2.4180283212092046</v>
      </c>
      <c r="AG40" s="315">
        <f t="shared" si="26"/>
        <v>2.413602134716488</v>
      </c>
      <c r="AI40" s="315">
        <f t="shared" si="15"/>
        <v>2.153773231294732</v>
      </c>
      <c r="AJ40" s="315">
        <f t="shared" si="15"/>
        <v>1.8061817095347052</v>
      </c>
      <c r="AK40" s="315">
        <f t="shared" si="15"/>
        <v>2.0103750390209214</v>
      </c>
      <c r="AL40" s="315">
        <f t="shared" si="15"/>
        <v>2.30272629313248</v>
      </c>
      <c r="AM40" s="315">
        <f t="shared" si="15"/>
        <v>2.1589438634784557</v>
      </c>
      <c r="AO40" s="100"/>
      <c r="AP40" s="100"/>
      <c r="AQ40" s="100"/>
      <c r="AR40" s="100"/>
      <c r="AS40" s="100"/>
    </row>
    <row r="41" spans="1:45" ht="12.75">
      <c r="A41" s="97">
        <v>2018</v>
      </c>
      <c r="B41" s="96">
        <f t="shared" si="27"/>
        <v>5762399.667077426</v>
      </c>
      <c r="C41" s="96">
        <f t="shared" si="28"/>
        <v>6451343.6774383625</v>
      </c>
      <c r="D41" s="101">
        <f t="shared" si="29"/>
        <v>13856595.02249024</v>
      </c>
      <c r="E41" s="102">
        <f t="shared" si="30"/>
        <v>2.4046570566178778</v>
      </c>
      <c r="F41" s="107"/>
      <c r="G41" s="24">
        <v>2018</v>
      </c>
      <c r="H41" s="101">
        <f t="shared" si="16"/>
        <v>1551274.8607723396</v>
      </c>
      <c r="I41" s="101">
        <f t="shared" si="16"/>
        <v>965572.5525192035</v>
      </c>
      <c r="J41" s="101">
        <f t="shared" si="16"/>
        <v>4133576.455968558</v>
      </c>
      <c r="K41" s="101">
        <f t="shared" si="16"/>
        <v>7206171.15323014</v>
      </c>
      <c r="L41" s="101">
        <f t="shared" si="17"/>
        <v>13856595.02249024</v>
      </c>
      <c r="M41" s="107"/>
      <c r="N41" s="108">
        <v>2018</v>
      </c>
      <c r="O41" s="101">
        <f t="shared" si="18"/>
        <v>602714.1839197703</v>
      </c>
      <c r="P41" s="101">
        <f t="shared" si="19"/>
        <v>416130.87176883937</v>
      </c>
      <c r="Q41" s="101">
        <f t="shared" si="20"/>
        <v>1751268.4052140939</v>
      </c>
      <c r="R41" s="101">
        <f t="shared" si="21"/>
        <v>2992286.206174722</v>
      </c>
      <c r="S41" s="101">
        <f t="shared" si="6"/>
        <v>5762399.667077426</v>
      </c>
      <c r="T41" s="107"/>
      <c r="U41" s="108">
        <v>2018</v>
      </c>
      <c r="V41" s="96">
        <f t="shared" si="10"/>
        <v>725365.6899510518</v>
      </c>
      <c r="W41" s="96">
        <f t="shared" si="11"/>
        <v>541959.188038572</v>
      </c>
      <c r="X41" s="96">
        <f t="shared" si="12"/>
        <v>2074223.7945447962</v>
      </c>
      <c r="Y41" s="96">
        <f t="shared" si="13"/>
        <v>3135316.7628120906</v>
      </c>
      <c r="Z41" s="96">
        <f t="shared" si="14"/>
        <v>6451343.6774383625</v>
      </c>
      <c r="AA41" s="107"/>
      <c r="AB41" s="108">
        <v>2018</v>
      </c>
      <c r="AC41" s="315">
        <f t="shared" si="22"/>
        <v>2.5738150887433506</v>
      </c>
      <c r="AD41" s="315">
        <f t="shared" si="23"/>
        <v>2.320357892253615</v>
      </c>
      <c r="AE41" s="315">
        <f t="shared" si="24"/>
        <v>2.360332912797125</v>
      </c>
      <c r="AF41" s="315">
        <f t="shared" si="25"/>
        <v>2.4082492972630325</v>
      </c>
      <c r="AG41" s="315">
        <f t="shared" si="26"/>
        <v>2.4046570566178778</v>
      </c>
      <c r="AI41" s="315">
        <f t="shared" si="15"/>
        <v>2.1386107480173493</v>
      </c>
      <c r="AJ41" s="315">
        <f t="shared" si="15"/>
        <v>1.7816333292802895</v>
      </c>
      <c r="AK41" s="315">
        <f t="shared" si="15"/>
        <v>1.9928305069297991</v>
      </c>
      <c r="AL41" s="315">
        <f t="shared" si="15"/>
        <v>2.298386956846704</v>
      </c>
      <c r="AM41" s="315">
        <f t="shared" si="15"/>
        <v>2.147861858755025</v>
      </c>
      <c r="AO41" s="100"/>
      <c r="AP41" s="100"/>
      <c r="AQ41" s="100"/>
      <c r="AR41" s="100"/>
      <c r="AS41" s="100"/>
    </row>
    <row r="42" spans="1:45" ht="12.75">
      <c r="A42" s="95">
        <v>2019</v>
      </c>
      <c r="B42" s="96">
        <f t="shared" si="27"/>
        <v>5843910.556469906</v>
      </c>
      <c r="C42" s="96">
        <f t="shared" si="28"/>
        <v>6552158.211800929</v>
      </c>
      <c r="D42" s="101">
        <f t="shared" si="29"/>
        <v>14000519.667403925</v>
      </c>
      <c r="E42" s="102">
        <f t="shared" si="30"/>
        <v>2.395745029311525</v>
      </c>
      <c r="F42" s="107"/>
      <c r="G42" s="24">
        <v>2019</v>
      </c>
      <c r="H42" s="101">
        <f t="shared" si="16"/>
        <v>1566985.1462579318</v>
      </c>
      <c r="I42" s="101">
        <f t="shared" si="16"/>
        <v>969221.2770474966</v>
      </c>
      <c r="J42" s="101">
        <f t="shared" si="16"/>
        <v>4177229.363249499</v>
      </c>
      <c r="K42" s="101">
        <f t="shared" si="16"/>
        <v>7287083.880848999</v>
      </c>
      <c r="L42" s="101">
        <f t="shared" si="17"/>
        <v>14000519.667403925</v>
      </c>
      <c r="M42" s="107"/>
      <c r="N42" s="108">
        <v>2019</v>
      </c>
      <c r="O42" s="101">
        <f t="shared" si="18"/>
        <v>611227.5068489693</v>
      </c>
      <c r="P42" s="101">
        <f t="shared" si="19"/>
        <v>419489.87402139395</v>
      </c>
      <c r="Q42" s="101">
        <f t="shared" si="20"/>
        <v>1775021.801577709</v>
      </c>
      <c r="R42" s="101">
        <f t="shared" si="21"/>
        <v>3038171.3740218333</v>
      </c>
      <c r="S42" s="101">
        <f t="shared" si="6"/>
        <v>5843910.556469906</v>
      </c>
      <c r="T42" s="107"/>
      <c r="U42" s="108">
        <v>2019</v>
      </c>
      <c r="V42" s="96">
        <f t="shared" si="10"/>
        <v>737943.64208342</v>
      </c>
      <c r="W42" s="96">
        <f t="shared" si="11"/>
        <v>551607.523349871</v>
      </c>
      <c r="X42" s="96">
        <f t="shared" si="12"/>
        <v>2114746.6323658056</v>
      </c>
      <c r="Y42" s="96">
        <f t="shared" si="13"/>
        <v>3176518.140049419</v>
      </c>
      <c r="Z42" s="96">
        <f t="shared" si="14"/>
        <v>6552158.211800929</v>
      </c>
      <c r="AA42" s="107"/>
      <c r="AB42" s="108">
        <v>2019</v>
      </c>
      <c r="AC42" s="315">
        <f t="shared" si="22"/>
        <v>2.5636692208702</v>
      </c>
      <c r="AD42" s="315">
        <f t="shared" si="23"/>
        <v>2.310475978254642</v>
      </c>
      <c r="AE42" s="315">
        <f t="shared" si="24"/>
        <v>2.353339750270455</v>
      </c>
      <c r="AF42" s="315">
        <f t="shared" si="25"/>
        <v>2.3985098217822363</v>
      </c>
      <c r="AG42" s="315">
        <f t="shared" si="26"/>
        <v>2.395745029311525</v>
      </c>
      <c r="AI42" s="315">
        <f t="shared" si="15"/>
        <v>2.12344826473997</v>
      </c>
      <c r="AJ42" s="315">
        <f t="shared" si="15"/>
        <v>1.7570849490258738</v>
      </c>
      <c r="AK42" s="315">
        <f t="shared" si="15"/>
        <v>1.9752859748386769</v>
      </c>
      <c r="AL42" s="315">
        <f t="shared" si="15"/>
        <v>2.2940476205609297</v>
      </c>
      <c r="AM42" s="315">
        <f t="shared" si="15"/>
        <v>2.136779854031598</v>
      </c>
      <c r="AO42" s="100"/>
      <c r="AP42" s="100"/>
      <c r="AQ42" s="100"/>
      <c r="AR42" s="100"/>
      <c r="AS42" s="100"/>
    </row>
    <row r="43" spans="1:45" ht="12.75">
      <c r="A43" s="97">
        <v>2020</v>
      </c>
      <c r="B43" s="96">
        <f t="shared" si="27"/>
        <v>5926594.615676278</v>
      </c>
      <c r="C43" s="96">
        <f t="shared" si="28"/>
        <v>6654749.505591785</v>
      </c>
      <c r="D43" s="101">
        <f t="shared" si="29"/>
        <v>14145986.711721048</v>
      </c>
      <c r="E43" s="102">
        <f t="shared" si="30"/>
        <v>2.386865920321912</v>
      </c>
      <c r="F43" s="107"/>
      <c r="G43" s="24">
        <v>2020</v>
      </c>
      <c r="H43" s="101">
        <f t="shared" si="16"/>
        <v>1582854.535121191</v>
      </c>
      <c r="I43" s="101">
        <f t="shared" si="16"/>
        <v>972883.7894477096</v>
      </c>
      <c r="J43" s="101">
        <f t="shared" si="16"/>
        <v>4221343.269942057</v>
      </c>
      <c r="K43" s="101">
        <f t="shared" si="16"/>
        <v>7368905.11721009</v>
      </c>
      <c r="L43" s="101">
        <f t="shared" si="17"/>
        <v>14145986.711721048</v>
      </c>
      <c r="M43" s="107"/>
      <c r="N43" s="108">
        <v>2020</v>
      </c>
      <c r="O43" s="101">
        <f t="shared" si="18"/>
        <v>619861.0802538174</v>
      </c>
      <c r="P43" s="101">
        <f t="shared" si="19"/>
        <v>422875.9900905339</v>
      </c>
      <c r="Q43" s="101">
        <f t="shared" si="20"/>
        <v>1799097.3780463992</v>
      </c>
      <c r="R43" s="101">
        <f t="shared" si="21"/>
        <v>3084760.1672855285</v>
      </c>
      <c r="S43" s="101">
        <f t="shared" si="6"/>
        <v>5926594.615676278</v>
      </c>
      <c r="T43" s="107"/>
      <c r="U43" s="108">
        <v>2020</v>
      </c>
      <c r="V43" s="96">
        <f t="shared" si="10"/>
        <v>750777.9775582001</v>
      </c>
      <c r="W43" s="96">
        <f t="shared" si="11"/>
        <v>561537.2321621965</v>
      </c>
      <c r="X43" s="96">
        <f t="shared" si="12"/>
        <v>2156231.245744941</v>
      </c>
      <c r="Y43" s="96">
        <f t="shared" si="13"/>
        <v>3218272.4619624824</v>
      </c>
      <c r="Z43" s="96">
        <f t="shared" si="14"/>
        <v>6654749.505591785</v>
      </c>
      <c r="AA43" s="107"/>
      <c r="AB43" s="108">
        <v>2020</v>
      </c>
      <c r="AC43" s="315">
        <f t="shared" si="22"/>
        <v>2.5535633475698334</v>
      </c>
      <c r="AD43" s="315">
        <f t="shared" si="23"/>
        <v>2.300636149239459</v>
      </c>
      <c r="AE43" s="315">
        <f t="shared" si="24"/>
        <v>2.3463673069914215</v>
      </c>
      <c r="AF43" s="315">
        <f t="shared" si="25"/>
        <v>2.3888097348243593</v>
      </c>
      <c r="AG43" s="315">
        <f t="shared" si="26"/>
        <v>2.386865920321912</v>
      </c>
      <c r="AI43" s="315">
        <f t="shared" si="15"/>
        <v>2.1082857814625875</v>
      </c>
      <c r="AJ43" s="315">
        <f t="shared" si="15"/>
        <v>1.732536568771451</v>
      </c>
      <c r="AK43" s="315">
        <f t="shared" si="15"/>
        <v>1.9577414427475546</v>
      </c>
      <c r="AL43" s="315">
        <f t="shared" si="15"/>
        <v>2.2897082842751537</v>
      </c>
      <c r="AM43" s="315">
        <f t="shared" si="15"/>
        <v>2.1256978493081675</v>
      </c>
      <c r="AO43" s="100"/>
      <c r="AP43" s="100"/>
      <c r="AQ43" s="100"/>
      <c r="AR43" s="100"/>
      <c r="AS43" s="100"/>
    </row>
    <row r="44" spans="1:45" ht="12.75">
      <c r="A44" s="95">
        <v>2021</v>
      </c>
      <c r="B44" s="96">
        <f t="shared" si="27"/>
        <v>6010468.921729485</v>
      </c>
      <c r="C44" s="96">
        <f t="shared" si="28"/>
        <v>6759153.405959028</v>
      </c>
      <c r="D44" s="101">
        <f t="shared" si="29"/>
        <v>14293012.88821985</v>
      </c>
      <c r="E44" s="102">
        <f t="shared" si="30"/>
        <v>2.3780195978631067</v>
      </c>
      <c r="F44" s="107"/>
      <c r="G44" s="24">
        <v>2021</v>
      </c>
      <c r="H44" s="101">
        <f t="shared" si="16"/>
        <v>1598884.6386558653</v>
      </c>
      <c r="I44" s="101">
        <f t="shared" si="16"/>
        <v>976560.1418217235</v>
      </c>
      <c r="J44" s="101">
        <f t="shared" si="16"/>
        <v>4265923.044460979</v>
      </c>
      <c r="K44" s="101">
        <f t="shared" si="16"/>
        <v>7451645.063281282</v>
      </c>
      <c r="L44" s="101">
        <f t="shared" si="17"/>
        <v>14293012.88821985</v>
      </c>
      <c r="M44" s="107"/>
      <c r="N44" s="108">
        <v>2021</v>
      </c>
      <c r="O44" s="101">
        <f t="shared" si="18"/>
        <v>628616.6026693067</v>
      </c>
      <c r="P44" s="101">
        <f t="shared" si="19"/>
        <v>426289.43883858644</v>
      </c>
      <c r="Q44" s="101">
        <f t="shared" si="20"/>
        <v>1823499.5045224102</v>
      </c>
      <c r="R44" s="101">
        <f t="shared" si="21"/>
        <v>3132063.3756991806</v>
      </c>
      <c r="S44" s="101">
        <f t="shared" si="6"/>
        <v>6010468.921729485</v>
      </c>
      <c r="T44" s="107"/>
      <c r="U44" s="108">
        <v>2021</v>
      </c>
      <c r="V44" s="96">
        <f t="shared" si="10"/>
        <v>763875.0378642969</v>
      </c>
      <c r="W44" s="96">
        <f t="shared" si="11"/>
        <v>571760.4772604571</v>
      </c>
      <c r="X44" s="96">
        <f t="shared" si="12"/>
        <v>2198706.234934522</v>
      </c>
      <c r="Y44" s="96">
        <f t="shared" si="13"/>
        <v>3260587.341854402</v>
      </c>
      <c r="Z44" s="96">
        <f t="shared" si="14"/>
        <v>6759153.405959028</v>
      </c>
      <c r="AA44" s="107"/>
      <c r="AB44" s="108">
        <v>2021</v>
      </c>
      <c r="AC44" s="315">
        <f t="shared" si="22"/>
        <v>2.543497311185373</v>
      </c>
      <c r="AD44" s="315">
        <f t="shared" si="23"/>
        <v>2.2908382259770126</v>
      </c>
      <c r="AE44" s="315">
        <f t="shared" si="24"/>
        <v>2.339415521573317</v>
      </c>
      <c r="AF44" s="315">
        <f t="shared" si="25"/>
        <v>2.379148877093787</v>
      </c>
      <c r="AG44" s="315">
        <f t="shared" si="26"/>
        <v>2.3780195978631067</v>
      </c>
      <c r="AI44" s="315">
        <f t="shared" si="15"/>
        <v>2.093123298185205</v>
      </c>
      <c r="AJ44" s="315">
        <f t="shared" si="15"/>
        <v>1.7079881885170352</v>
      </c>
      <c r="AK44" s="315">
        <f t="shared" si="15"/>
        <v>1.9401969106564252</v>
      </c>
      <c r="AL44" s="315">
        <f t="shared" si="15"/>
        <v>2.2853689479893795</v>
      </c>
      <c r="AM44" s="315">
        <f t="shared" si="15"/>
        <v>2.114615844584737</v>
      </c>
      <c r="AO44" s="100"/>
      <c r="AP44" s="100"/>
      <c r="AQ44" s="100"/>
      <c r="AR44" s="100"/>
      <c r="AS44" s="100"/>
    </row>
    <row r="45" spans="1:45" ht="12.75">
      <c r="A45" s="97">
        <v>2022</v>
      </c>
      <c r="B45" s="96">
        <f t="shared" si="27"/>
        <v>6095550.802147218</v>
      </c>
      <c r="C45" s="96">
        <f t="shared" si="28"/>
        <v>6865406.602205197</v>
      </c>
      <c r="D45" s="101">
        <f t="shared" si="29"/>
        <v>14441615.112145863</v>
      </c>
      <c r="E45" s="102">
        <f t="shared" si="30"/>
        <v>2.3692059308337914</v>
      </c>
      <c r="F45" s="107"/>
      <c r="G45" s="24">
        <v>2022</v>
      </c>
      <c r="H45" s="101">
        <f t="shared" si="16"/>
        <v>1615077.0844738202</v>
      </c>
      <c r="I45" s="101">
        <f t="shared" si="16"/>
        <v>980250.3864683034</v>
      </c>
      <c r="J45" s="101">
        <f t="shared" si="16"/>
        <v>4310973.606634227</v>
      </c>
      <c r="K45" s="101">
        <f t="shared" si="16"/>
        <v>7535314.034569514</v>
      </c>
      <c r="L45" s="101">
        <f t="shared" si="17"/>
        <v>14441615.112145863</v>
      </c>
      <c r="M45" s="107"/>
      <c r="N45" s="108">
        <v>2022</v>
      </c>
      <c r="O45" s="101">
        <f t="shared" si="18"/>
        <v>637495.7966221939</v>
      </c>
      <c r="P45" s="101">
        <f t="shared" si="19"/>
        <v>429730.4408945321</v>
      </c>
      <c r="Q45" s="101">
        <f t="shared" si="20"/>
        <v>1848232.6101793246</v>
      </c>
      <c r="R45" s="101">
        <f t="shared" si="21"/>
        <v>3180091.9544511675</v>
      </c>
      <c r="S45" s="101">
        <f t="shared" si="6"/>
        <v>6095550.802147218</v>
      </c>
      <c r="T45" s="107"/>
      <c r="U45" s="108">
        <v>2022</v>
      </c>
      <c r="V45" s="96">
        <f t="shared" si="10"/>
        <v>777241.3574340966</v>
      </c>
      <c r="W45" s="96">
        <f t="shared" si="11"/>
        <v>582290.1309907641</v>
      </c>
      <c r="X45" s="96">
        <f t="shared" si="12"/>
        <v>2242201.2708564126</v>
      </c>
      <c r="Y45" s="96">
        <f t="shared" si="13"/>
        <v>3303470.501174998</v>
      </c>
      <c r="Z45" s="96">
        <f t="shared" si="14"/>
        <v>6865406.602205197</v>
      </c>
      <c r="AA45" s="107"/>
      <c r="AB45" s="108">
        <v>2022</v>
      </c>
      <c r="AC45" s="315">
        <f t="shared" si="22"/>
        <v>2.5334709546814174</v>
      </c>
      <c r="AD45" s="315">
        <f t="shared" si="23"/>
        <v>2.281082029999556</v>
      </c>
      <c r="AE45" s="315">
        <f t="shared" si="24"/>
        <v>2.332484332811309</v>
      </c>
      <c r="AF45" s="315">
        <f t="shared" si="25"/>
        <v>2.3695270899391296</v>
      </c>
      <c r="AG45" s="315">
        <f t="shared" si="26"/>
        <v>2.3692059308337914</v>
      </c>
      <c r="AI45" s="315">
        <f t="shared" si="15"/>
        <v>2.0779608149078257</v>
      </c>
      <c r="AJ45" s="315">
        <f t="shared" si="15"/>
        <v>1.6834398082626123</v>
      </c>
      <c r="AK45" s="315">
        <f t="shared" si="15"/>
        <v>1.922652378565303</v>
      </c>
      <c r="AL45" s="315">
        <f t="shared" si="15"/>
        <v>2.2810296117036035</v>
      </c>
      <c r="AM45" s="315">
        <f t="shared" si="15"/>
        <v>2.1035338398613064</v>
      </c>
      <c r="AO45" s="100"/>
      <c r="AP45" s="100"/>
      <c r="AQ45" s="100"/>
      <c r="AR45" s="100"/>
      <c r="AS45" s="100"/>
    </row>
    <row r="46" spans="1:45" ht="12.75">
      <c r="A46" s="95">
        <v>2023</v>
      </c>
      <c r="B46" s="96">
        <f t="shared" si="27"/>
        <v>6181857.838626178</v>
      </c>
      <c r="C46" s="96">
        <f t="shared" si="28"/>
        <v>6973546.649041722</v>
      </c>
      <c r="D46" s="101">
        <f t="shared" si="29"/>
        <v>14591810.483206935</v>
      </c>
      <c r="E46" s="102">
        <f t="shared" si="30"/>
        <v>2.3604247888123124</v>
      </c>
      <c r="F46" s="107"/>
      <c r="G46" s="24">
        <v>2023</v>
      </c>
      <c r="H46" s="101">
        <f t="shared" si="16"/>
        <v>1631433.516670297</v>
      </c>
      <c r="I46" s="101">
        <f t="shared" si="16"/>
        <v>983954.5758838415</v>
      </c>
      <c r="J46" s="101">
        <f t="shared" si="16"/>
        <v>4356499.928245929</v>
      </c>
      <c r="K46" s="101">
        <f t="shared" si="16"/>
        <v>7619922.462406868</v>
      </c>
      <c r="L46" s="101">
        <f t="shared" si="17"/>
        <v>14591810.483206935</v>
      </c>
      <c r="M46" s="107"/>
      <c r="N46" s="108">
        <v>2023</v>
      </c>
      <c r="O46" s="101">
        <f t="shared" si="18"/>
        <v>646500.4089698836</v>
      </c>
      <c r="P46" s="101">
        <f t="shared" si="19"/>
        <v>433199.2186682653</v>
      </c>
      <c r="Q46" s="101">
        <f t="shared" si="20"/>
        <v>1873301.1842659914</v>
      </c>
      <c r="R46" s="101">
        <f t="shared" si="21"/>
        <v>3228857.026722038</v>
      </c>
      <c r="S46" s="101">
        <f t="shared" si="6"/>
        <v>6181857.838626178</v>
      </c>
      <c r="T46" s="107"/>
      <c r="U46" s="108">
        <v>2023</v>
      </c>
      <c r="V46" s="96">
        <f t="shared" si="10"/>
        <v>790883.670814687</v>
      </c>
      <c r="W46" s="96">
        <f t="shared" si="11"/>
        <v>593139.8277615187</v>
      </c>
      <c r="X46" s="96">
        <f t="shared" si="12"/>
        <v>2286747.1446871557</v>
      </c>
      <c r="Y46" s="96">
        <f t="shared" si="13"/>
        <v>3346929.771116285</v>
      </c>
      <c r="Z46" s="96">
        <f t="shared" si="14"/>
        <v>6973546.649041722</v>
      </c>
      <c r="AA46" s="107"/>
      <c r="AB46" s="108">
        <v>2023</v>
      </c>
      <c r="AC46" s="315">
        <f t="shared" si="22"/>
        <v>2.523484121641592</v>
      </c>
      <c r="AD46" s="315">
        <f t="shared" si="23"/>
        <v>2.2713673835993986</v>
      </c>
      <c r="AE46" s="315">
        <f t="shared" si="24"/>
        <v>2.3255736796819035</v>
      </c>
      <c r="AF46" s="315">
        <f t="shared" si="25"/>
        <v>2.3599442153506174</v>
      </c>
      <c r="AG46" s="315">
        <f t="shared" si="26"/>
        <v>2.3604247888123124</v>
      </c>
      <c r="AI46" s="315">
        <f t="shared" si="15"/>
        <v>2.062798331630443</v>
      </c>
      <c r="AJ46" s="315">
        <f t="shared" si="15"/>
        <v>1.6588914280081966</v>
      </c>
      <c r="AK46" s="315">
        <f t="shared" si="15"/>
        <v>1.9051078464741806</v>
      </c>
      <c r="AL46" s="315">
        <f t="shared" si="15"/>
        <v>2.2766902754178293</v>
      </c>
      <c r="AM46" s="315">
        <f t="shared" si="15"/>
        <v>2.092451835137876</v>
      </c>
      <c r="AO46" s="100"/>
      <c r="AP46" s="100"/>
      <c r="AQ46" s="100"/>
      <c r="AR46" s="100"/>
      <c r="AS46" s="100"/>
    </row>
    <row r="47" spans="1:45" ht="12.75">
      <c r="A47" s="97">
        <v>2024</v>
      </c>
      <c r="B47" s="96">
        <f t="shared" si="27"/>
        <v>6269407.870791013</v>
      </c>
      <c r="C47" s="96">
        <f t="shared" si="28"/>
        <v>7083611.990596758</v>
      </c>
      <c r="D47" s="101">
        <f t="shared" si="29"/>
        <v>14743616.287590105</v>
      </c>
      <c r="E47" s="102">
        <f t="shared" si="30"/>
        <v>2.351676042051783</v>
      </c>
      <c r="F47" s="107"/>
      <c r="G47" s="24">
        <v>2024</v>
      </c>
      <c r="H47" s="101">
        <f t="shared" si="16"/>
        <v>1647955.5959908457</v>
      </c>
      <c r="I47" s="101">
        <f t="shared" si="16"/>
        <v>987672.7627631048</v>
      </c>
      <c r="J47" s="101">
        <f t="shared" si="16"/>
        <v>4402507.033585072</v>
      </c>
      <c r="K47" s="101">
        <f t="shared" si="16"/>
        <v>7705480.895251082</v>
      </c>
      <c r="L47" s="101">
        <f t="shared" si="17"/>
        <v>14743616.287590105</v>
      </c>
      <c r="M47" s="107"/>
      <c r="N47" s="108">
        <v>2024</v>
      </c>
      <c r="O47" s="101">
        <f t="shared" si="18"/>
        <v>655632.2112440979</v>
      </c>
      <c r="P47" s="101">
        <f t="shared" si="19"/>
        <v>436695.99636497005</v>
      </c>
      <c r="Q47" s="101">
        <f t="shared" si="20"/>
        <v>1898709.7769213587</v>
      </c>
      <c r="R47" s="101">
        <f t="shared" si="21"/>
        <v>3278369.886260587</v>
      </c>
      <c r="S47" s="101">
        <f t="shared" si="6"/>
        <v>6269407.870791013</v>
      </c>
      <c r="T47" s="107"/>
      <c r="U47" s="108">
        <v>2024</v>
      </c>
      <c r="V47" s="96">
        <f t="shared" si="10"/>
        <v>804808.9201584928</v>
      </c>
      <c r="W47" s="96">
        <f t="shared" si="11"/>
        <v>604324.0212760405</v>
      </c>
      <c r="X47" s="96">
        <f t="shared" si="12"/>
        <v>2332375.8202113668</v>
      </c>
      <c r="Y47" s="96">
        <f t="shared" si="13"/>
        <v>3390973.0942326454</v>
      </c>
      <c r="Z47" s="96">
        <f t="shared" si="14"/>
        <v>7083611.990596758</v>
      </c>
      <c r="AA47" s="107"/>
      <c r="AB47" s="108">
        <v>2024</v>
      </c>
      <c r="AC47" s="315">
        <f t="shared" si="22"/>
        <v>2.51353665626611</v>
      </c>
      <c r="AD47" s="315">
        <f t="shared" si="23"/>
        <v>2.2616941098256693</v>
      </c>
      <c r="AE47" s="315">
        <f t="shared" si="24"/>
        <v>2.3186835013424045</v>
      </c>
      <c r="AF47" s="315">
        <f t="shared" si="25"/>
        <v>2.3504000959575064</v>
      </c>
      <c r="AG47" s="315">
        <f t="shared" si="26"/>
        <v>2.351676042051783</v>
      </c>
      <c r="AI47" s="315">
        <f t="shared" si="15"/>
        <v>2.0476358483530603</v>
      </c>
      <c r="AJ47" s="315">
        <f t="shared" si="15"/>
        <v>1.6343430477537808</v>
      </c>
      <c r="AK47" s="315">
        <f t="shared" si="15"/>
        <v>1.8875633143830584</v>
      </c>
      <c r="AL47" s="315">
        <f t="shared" si="15"/>
        <v>2.272350939132055</v>
      </c>
      <c r="AM47" s="315">
        <f t="shared" si="15"/>
        <v>2.0813698304144452</v>
      </c>
      <c r="AO47" s="100"/>
      <c r="AP47" s="100"/>
      <c r="AQ47" s="100"/>
      <c r="AR47" s="100"/>
      <c r="AS47" s="100"/>
    </row>
    <row r="48" spans="1:45" ht="12.75">
      <c r="A48" s="108">
        <v>2025</v>
      </c>
      <c r="B48" s="96">
        <f t="shared" si="27"/>
        <v>6358218.999998799</v>
      </c>
      <c r="C48" s="96">
        <f t="shared" si="28"/>
        <v>7195641.985204779</v>
      </c>
      <c r="D48" s="101">
        <f t="shared" si="29"/>
        <v>14897050.000000577</v>
      </c>
      <c r="E48" s="102">
        <f t="shared" si="30"/>
        <v>2.342959561475217</v>
      </c>
      <c r="F48" s="107"/>
      <c r="G48" s="24">
        <v>2025</v>
      </c>
      <c r="H48" s="101">
        <f t="shared" si="16"/>
        <v>1664644.9999999492</v>
      </c>
      <c r="I48" s="101">
        <f t="shared" si="16"/>
        <v>991404.999999984</v>
      </c>
      <c r="J48" s="101">
        <f t="shared" si="16"/>
        <v>4448999.999999974</v>
      </c>
      <c r="K48" s="101">
        <f t="shared" si="16"/>
        <v>7792000.00000067</v>
      </c>
      <c r="L48" s="101">
        <f t="shared" si="17"/>
        <v>14897050.000000577</v>
      </c>
      <c r="M48" s="107"/>
      <c r="N48" s="108">
        <v>2025</v>
      </c>
      <c r="O48" s="101">
        <f t="shared" si="18"/>
        <v>664892.9999994008</v>
      </c>
      <c r="P48" s="101">
        <f t="shared" si="19"/>
        <v>440220.99999961106</v>
      </c>
      <c r="Q48" s="101">
        <f t="shared" si="20"/>
        <v>1924463.000000359</v>
      </c>
      <c r="R48" s="101">
        <f t="shared" si="21"/>
        <v>3328641.999999428</v>
      </c>
      <c r="S48" s="101">
        <f t="shared" si="6"/>
        <v>6358218.999998799</v>
      </c>
      <c r="T48" s="107"/>
      <c r="U48" s="108">
        <v>2025</v>
      </c>
      <c r="V48" s="96">
        <f t="shared" si="10"/>
        <v>819024.2630500422</v>
      </c>
      <c r="W48" s="96">
        <f t="shared" si="11"/>
        <v>615858.0470017487</v>
      </c>
      <c r="X48" s="96">
        <f t="shared" si="12"/>
        <v>2379120.4891253454</v>
      </c>
      <c r="Y48" s="96">
        <f t="shared" si="13"/>
        <v>3435608.526086008</v>
      </c>
      <c r="Z48" s="96">
        <f t="shared" si="14"/>
        <v>7195641.985204779</v>
      </c>
      <c r="AA48" s="107"/>
      <c r="AB48" s="108">
        <v>2025</v>
      </c>
      <c r="AC48" s="315">
        <f t="shared" si="22"/>
        <v>2.5036284033693383</v>
      </c>
      <c r="AD48" s="315">
        <f t="shared" si="23"/>
        <v>2.2520620324810947</v>
      </c>
      <c r="AE48" s="315">
        <f t="shared" si="24"/>
        <v>2.3118137371303806</v>
      </c>
      <c r="AF48" s="315">
        <f t="shared" si="25"/>
        <v>2.3408945750254935</v>
      </c>
      <c r="AG48" s="315">
        <f t="shared" si="26"/>
        <v>2.342959561475217</v>
      </c>
      <c r="AI48" s="315">
        <f t="shared" si="15"/>
        <v>2.032473365075681</v>
      </c>
      <c r="AJ48" s="315">
        <f t="shared" si="15"/>
        <v>1.609794667499358</v>
      </c>
      <c r="AK48" s="315">
        <f t="shared" si="15"/>
        <v>1.870018782291936</v>
      </c>
      <c r="AL48" s="315">
        <f t="shared" si="15"/>
        <v>2.268011602846279</v>
      </c>
      <c r="AM48" s="315">
        <f t="shared" si="15"/>
        <v>2.0702878256910147</v>
      </c>
      <c r="AO48" s="100"/>
      <c r="AP48" s="100"/>
      <c r="AQ48" s="100"/>
      <c r="AR48" s="100"/>
      <c r="AS48" s="100"/>
    </row>
    <row r="49" spans="35:39" ht="12.75">
      <c r="AI49" s="11"/>
      <c r="AJ49" s="11"/>
      <c r="AK49" s="11"/>
      <c r="AL49" s="11"/>
      <c r="AM49" s="11"/>
    </row>
    <row r="50" spans="1:26" ht="12.75">
      <c r="A50" t="s">
        <v>344</v>
      </c>
      <c r="V50" s="2">
        <f>V48/$Z48</f>
        <v>0.11382226418908387</v>
      </c>
      <c r="W50" s="2">
        <f>W48/$Z48</f>
        <v>0.08558764433639651</v>
      </c>
      <c r="X50" s="2">
        <f>X48/$Z48</f>
        <v>0.33063352707335103</v>
      </c>
      <c r="Y50" s="2">
        <f>Y48/$Z48</f>
        <v>0.47745684584503895</v>
      </c>
      <c r="Z50" s="2">
        <f>Z48/$Z48</f>
        <v>1</v>
      </c>
    </row>
    <row r="51" spans="1:29" ht="12.75">
      <c r="A51" t="s">
        <v>318</v>
      </c>
      <c r="B51" s="100">
        <f>B48-B23</f>
        <v>1880463.9999987986</v>
      </c>
      <c r="C51" s="100">
        <f>C48-C23</f>
        <v>2291504.5002211686</v>
      </c>
      <c r="D51" s="100">
        <f>D48-D23</f>
        <v>3385382.0000005774</v>
      </c>
      <c r="H51" s="100">
        <f>H48-H23</f>
        <v>370691.99999994924</v>
      </c>
      <c r="I51" s="100">
        <f>I48-I23</f>
        <v>89209.99999998405</v>
      </c>
      <c r="J51" s="100">
        <f>J48-J23</f>
        <v>1027600.9999999739</v>
      </c>
      <c r="K51" s="100">
        <f>K48-K23</f>
        <v>1897879.0000006696</v>
      </c>
      <c r="L51" s="100">
        <f>L48-L23</f>
        <v>3385382.0000005774</v>
      </c>
      <c r="O51" s="100">
        <f>O48-O23</f>
        <v>196656.9999994008</v>
      </c>
      <c r="P51" s="100">
        <f>P48-P23</f>
        <v>80154.99999961106</v>
      </c>
      <c r="Q51" s="100">
        <f>Q48-Q23</f>
        <v>550310.000000359</v>
      </c>
      <c r="R51" s="100">
        <f>R48-R23</f>
        <v>1053341.9999994282</v>
      </c>
      <c r="S51" s="100">
        <f>S48-S23</f>
        <v>1880463.9999987986</v>
      </c>
      <c r="V51" s="100">
        <f>V48-V23</f>
        <v>282456.16009960766</v>
      </c>
      <c r="W51" s="100">
        <f>W48-W23</f>
        <v>210104.3674690214</v>
      </c>
      <c r="X51" s="100">
        <f>X48-X23</f>
        <v>897117.7816054903</v>
      </c>
      <c r="Y51" s="100">
        <f>Y48-Y23</f>
        <v>955434.5828538802</v>
      </c>
      <c r="Z51" s="100">
        <f>Z48-Z23</f>
        <v>2291504.5002211686</v>
      </c>
      <c r="AB51" s="100"/>
      <c r="AC51" s="100"/>
    </row>
    <row r="52" spans="1:26" ht="12.75">
      <c r="A52" t="s">
        <v>88</v>
      </c>
      <c r="B52" s="2">
        <f>B51/B23</f>
        <v>0.4199568757108861</v>
      </c>
      <c r="C52" s="2">
        <f>C51/C23</f>
        <v>0.4672594329253041</v>
      </c>
      <c r="D52" s="2">
        <f>D51/D23</f>
        <v>0.2940826646495171</v>
      </c>
      <c r="H52" s="2">
        <f>H51/H23</f>
        <v>0.28648026628474854</v>
      </c>
      <c r="I52" s="2">
        <f>I51/I23</f>
        <v>0.09888106229804428</v>
      </c>
      <c r="J52" s="2">
        <f>J51/J23</f>
        <v>0.3003452681198463</v>
      </c>
      <c r="K52" s="2">
        <f>K51/K23</f>
        <v>0.3219952559509161</v>
      </c>
      <c r="L52" s="2">
        <f>L51/L23</f>
        <v>0.2940826646495171</v>
      </c>
      <c r="O52" s="2">
        <f>O51/O23</f>
        <v>0.41999547236735496</v>
      </c>
      <c r="P52" s="2">
        <f>P51/P23</f>
        <v>0.22261196558300717</v>
      </c>
      <c r="Q52" s="2">
        <f>Q51/Q23</f>
        <v>0.4004721453872742</v>
      </c>
      <c r="R52" s="2">
        <f>R51/R23</f>
        <v>0.46294642464704794</v>
      </c>
      <c r="S52" s="2">
        <f>S51/S23</f>
        <v>0.4199568757108861</v>
      </c>
      <c r="V52" s="2">
        <f>V51/$Z51</f>
        <v>0.12326231961244061</v>
      </c>
      <c r="W52" s="2">
        <f>W51/$Z51</f>
        <v>0.09168839399998682</v>
      </c>
      <c r="X52" s="2">
        <f>X51/$Z51</f>
        <v>0.3914972811613084</v>
      </c>
      <c r="Y52" s="2">
        <f>Y51/$Z51</f>
        <v>0.41694641348584077</v>
      </c>
      <c r="Z52" s="2">
        <f>Z51/$Z51</f>
        <v>1</v>
      </c>
    </row>
    <row r="54" spans="8:19" ht="12.75">
      <c r="H54" s="402"/>
      <c r="I54" s="318"/>
      <c r="J54" s="318"/>
      <c r="K54" s="318"/>
      <c r="L54" s="318"/>
      <c r="O54" s="2">
        <f>O51/$S51</f>
        <v>0.10457897625241773</v>
      </c>
      <c r="P54" s="2">
        <f>P51/$S51</f>
        <v>0.042625118055789564</v>
      </c>
      <c r="Q54" s="2">
        <f>Q51/$S51</f>
        <v>0.29264585761849765</v>
      </c>
      <c r="R54" s="2">
        <f>R51/$S51</f>
        <v>0.5601500480732953</v>
      </c>
      <c r="S54" s="2">
        <f>S51/$S51</f>
        <v>1</v>
      </c>
    </row>
    <row r="55" spans="8:18" ht="12.75">
      <c r="H55" s="403">
        <v>1.0101273384123368</v>
      </c>
      <c r="I55" s="404">
        <v>1.0037788196430952</v>
      </c>
      <c r="J55" s="404">
        <v>1.0105605660729728</v>
      </c>
      <c r="K55" s="404">
        <v>1.0112282550467304</v>
      </c>
      <c r="L55" s="404">
        <v>1.0101273384123368</v>
      </c>
      <c r="O55" s="403">
        <v>1.014124975247525</v>
      </c>
      <c r="P55" s="404">
        <v>1.0080719852345406</v>
      </c>
      <c r="Q55" s="404">
        <v>1.0135635384575508</v>
      </c>
      <c r="R55" s="404">
        <v>1.0153344849675225</v>
      </c>
    </row>
    <row r="56" spans="8:19" ht="12.75">
      <c r="H56" s="11">
        <v>1664645</v>
      </c>
      <c r="I56" s="11">
        <v>991405</v>
      </c>
      <c r="J56" s="11">
        <v>4449000</v>
      </c>
      <c r="K56" s="11">
        <v>7792000</v>
      </c>
      <c r="L56" s="11">
        <f>SUM(H56:K56)</f>
        <v>14897050</v>
      </c>
      <c r="O56" s="405">
        <f>ROUND(664.892726431138*1000,0)</f>
        <v>664893</v>
      </c>
      <c r="P56" s="11">
        <f>ROUND(440220.616797607,0)</f>
        <v>440221</v>
      </c>
      <c r="Q56" s="405">
        <f>ROUND(1924.4634310131*1000,0)</f>
        <v>1924463</v>
      </c>
      <c r="R56" s="405">
        <f>ROUND(3328.64249124212*1000,0)</f>
        <v>3328642</v>
      </c>
      <c r="S56" s="100">
        <f>SUM(O56:R56)</f>
        <v>6358219</v>
      </c>
    </row>
    <row r="61" spans="15:19" ht="12.75">
      <c r="O61" s="100"/>
      <c r="P61" s="100"/>
      <c r="Q61" s="100"/>
      <c r="R61" s="100"/>
      <c r="S61" s="100"/>
    </row>
  </sheetData>
  <mergeCells count="6">
    <mergeCell ref="AI1:AN1"/>
    <mergeCell ref="AB1:AG1"/>
    <mergeCell ref="A1:E1"/>
    <mergeCell ref="G1:L1"/>
    <mergeCell ref="N1:S1"/>
    <mergeCell ref="U1:Z1"/>
  </mergeCells>
  <printOptions/>
  <pageMargins left="0.75" right="0.75" top="1" bottom="1" header="0.5" footer="0.5"/>
  <pageSetup horizontalDpi="720" verticalDpi="720" orientation="portrait" r:id="rId1"/>
</worksheet>
</file>

<file path=xl/worksheets/sheet20.xml><?xml version="1.0" encoding="utf-8"?>
<worksheet xmlns="http://schemas.openxmlformats.org/spreadsheetml/2006/main" xmlns:r="http://schemas.openxmlformats.org/officeDocument/2006/relationships">
  <dimension ref="A1:J26"/>
  <sheetViews>
    <sheetView workbookViewId="0" topLeftCell="A2">
      <selection activeCell="E27" sqref="E27"/>
    </sheetView>
  </sheetViews>
  <sheetFormatPr defaultColWidth="9.140625" defaultRowHeight="12.75"/>
  <cols>
    <col min="1" max="1" width="13.8515625" style="0" customWidth="1"/>
    <col min="2" max="2" width="10.421875" style="0" customWidth="1"/>
    <col min="4" max="5" width="10.421875" style="0" customWidth="1"/>
    <col min="6" max="6" width="12.421875" style="0" customWidth="1"/>
  </cols>
  <sheetData>
    <row r="1" ht="12.75">
      <c r="A1" t="s">
        <v>83</v>
      </c>
    </row>
    <row r="2" ht="12.75">
      <c r="A2" t="s">
        <v>84</v>
      </c>
    </row>
    <row r="3" spans="1:10" ht="12.75">
      <c r="A3" s="19"/>
      <c r="B3" s="407" t="s">
        <v>85</v>
      </c>
      <c r="C3" s="407"/>
      <c r="D3" s="407"/>
      <c r="E3" s="407"/>
      <c r="F3" s="19"/>
      <c r="G3" s="19" t="s">
        <v>86</v>
      </c>
      <c r="H3" s="19"/>
      <c r="I3" s="19"/>
      <c r="J3" s="19"/>
    </row>
    <row r="4" spans="1:10" ht="12.75">
      <c r="A4" s="19" t="s">
        <v>38</v>
      </c>
      <c r="B4" s="19" t="s">
        <v>39</v>
      </c>
      <c r="C4" s="19" t="s">
        <v>40</v>
      </c>
      <c r="D4" s="19" t="s">
        <v>41</v>
      </c>
      <c r="E4" s="19" t="s">
        <v>42</v>
      </c>
      <c r="F4" s="19" t="s">
        <v>43</v>
      </c>
      <c r="G4" s="19" t="s">
        <v>39</v>
      </c>
      <c r="H4" s="19" t="s">
        <v>40</v>
      </c>
      <c r="I4" s="19" t="s">
        <v>41</v>
      </c>
      <c r="J4" s="19" t="s">
        <v>42</v>
      </c>
    </row>
    <row r="5" spans="1:10" ht="12.75">
      <c r="A5" s="19">
        <v>1979</v>
      </c>
      <c r="B5" s="70">
        <v>932636</v>
      </c>
      <c r="C5" s="70">
        <v>789167</v>
      </c>
      <c r="D5" s="70">
        <v>2578312</v>
      </c>
      <c r="E5" s="70">
        <v>4012831</v>
      </c>
      <c r="F5" s="26">
        <f>SUM(B5:E5)</f>
        <v>8312946</v>
      </c>
      <c r="G5" s="71">
        <f>B5/$F5</f>
        <v>0.11219079253010907</v>
      </c>
      <c r="H5" s="71">
        <f>C5/$F5</f>
        <v>0.09493228994871374</v>
      </c>
      <c r="I5" s="71">
        <f>D5/$F5</f>
        <v>0.31015623101605616</v>
      </c>
      <c r="J5" s="71">
        <f>E5/$F5</f>
        <v>0.48272068650512107</v>
      </c>
    </row>
    <row r="6" spans="1:10" ht="12.75">
      <c r="A6" s="19">
        <v>1980</v>
      </c>
      <c r="B6" s="70">
        <v>947983</v>
      </c>
      <c r="C6" s="70">
        <v>788752</v>
      </c>
      <c r="D6" s="70">
        <v>2641218</v>
      </c>
      <c r="E6" s="70">
        <v>4154678</v>
      </c>
      <c r="F6" s="26">
        <f aca="true" t="shared" si="0" ref="F6:F26">SUM(B6:E6)</f>
        <v>8532631</v>
      </c>
      <c r="G6" s="71">
        <f aca="true" t="shared" si="1" ref="G6:G24">B6/$F6</f>
        <v>0.11110090193751493</v>
      </c>
      <c r="H6" s="71">
        <f aca="true" t="shared" si="2" ref="H6:H24">C6/$F6</f>
        <v>0.09243948320277767</v>
      </c>
      <c r="I6" s="71">
        <f aca="true" t="shared" si="3" ref="I6:I24">D6/$F6</f>
        <v>0.30954321123226824</v>
      </c>
      <c r="J6" s="71">
        <f aca="true" t="shared" si="4" ref="J6:J24">E6/$F6</f>
        <v>0.48691640362743915</v>
      </c>
    </row>
    <row r="7" spans="1:10" ht="12.75">
      <c r="A7" s="19">
        <v>1981</v>
      </c>
      <c r="B7" s="70">
        <v>962204</v>
      </c>
      <c r="C7" s="70">
        <v>795325</v>
      </c>
      <c r="D7" s="70">
        <v>2667985</v>
      </c>
      <c r="E7" s="70">
        <v>4235728</v>
      </c>
      <c r="F7" s="26">
        <f t="shared" si="0"/>
        <v>8661242</v>
      </c>
      <c r="G7" s="71">
        <f t="shared" si="1"/>
        <v>0.11109307418035427</v>
      </c>
      <c r="H7" s="71">
        <f t="shared" si="2"/>
        <v>0.09182574508367276</v>
      </c>
      <c r="I7" s="71">
        <f t="shared" si="3"/>
        <v>0.3080372306881623</v>
      </c>
      <c r="J7" s="71">
        <f t="shared" si="4"/>
        <v>0.4890439500478107</v>
      </c>
    </row>
    <row r="8" spans="1:10" ht="12.75">
      <c r="A8" s="19">
        <v>1982</v>
      </c>
      <c r="B8" s="70">
        <v>973719</v>
      </c>
      <c r="C8" s="70">
        <v>803984</v>
      </c>
      <c r="D8" s="70">
        <v>2664919</v>
      </c>
      <c r="E8" s="70">
        <v>4276551</v>
      </c>
      <c r="F8" s="26">
        <f t="shared" si="0"/>
        <v>8719173</v>
      </c>
      <c r="G8" s="71">
        <f t="shared" si="1"/>
        <v>0.11167561418955674</v>
      </c>
      <c r="H8" s="71">
        <f t="shared" si="2"/>
        <v>0.09220874502662121</v>
      </c>
      <c r="I8" s="71">
        <f t="shared" si="3"/>
        <v>0.3056389636952954</v>
      </c>
      <c r="J8" s="71">
        <f t="shared" si="4"/>
        <v>0.4904766770885266</v>
      </c>
    </row>
    <row r="9" spans="1:10" ht="12.75">
      <c r="A9" s="19">
        <v>1983</v>
      </c>
      <c r="B9" s="70">
        <v>981866</v>
      </c>
      <c r="C9" s="70">
        <v>814029</v>
      </c>
      <c r="D9" s="70">
        <v>2653071</v>
      </c>
      <c r="E9" s="70">
        <v>4300269</v>
      </c>
      <c r="F9" s="26">
        <f t="shared" si="0"/>
        <v>8749235</v>
      </c>
      <c r="G9" s="71">
        <f t="shared" si="1"/>
        <v>0.11222306864543015</v>
      </c>
      <c r="H9" s="71">
        <f t="shared" si="2"/>
        <v>0.09304002007032615</v>
      </c>
      <c r="I9" s="71">
        <f t="shared" si="3"/>
        <v>0.303234625655843</v>
      </c>
      <c r="J9" s="71">
        <f t="shared" si="4"/>
        <v>0.49150228562840065</v>
      </c>
    </row>
    <row r="10" spans="1:10" ht="12.75">
      <c r="A10" s="19">
        <v>1984</v>
      </c>
      <c r="B10" s="70">
        <v>990841</v>
      </c>
      <c r="C10" s="70">
        <v>820904</v>
      </c>
      <c r="D10" s="70">
        <v>2666589</v>
      </c>
      <c r="E10" s="70">
        <v>4343657</v>
      </c>
      <c r="F10" s="26">
        <f t="shared" si="0"/>
        <v>8821991</v>
      </c>
      <c r="G10" s="71">
        <f t="shared" si="1"/>
        <v>0.11231489580980075</v>
      </c>
      <c r="H10" s="71">
        <f t="shared" si="2"/>
        <v>0.09305201059488726</v>
      </c>
      <c r="I10" s="71">
        <f t="shared" si="3"/>
        <v>0.3022661211057685</v>
      </c>
      <c r="J10" s="71">
        <f t="shared" si="4"/>
        <v>0.4923669724895435</v>
      </c>
    </row>
    <row r="11" spans="1:10" ht="12.75">
      <c r="A11" s="19">
        <v>1985</v>
      </c>
      <c r="B11" s="70">
        <v>994052</v>
      </c>
      <c r="C11" s="70">
        <v>822320</v>
      </c>
      <c r="D11" s="70">
        <v>2672648</v>
      </c>
      <c r="E11" s="70">
        <v>4400096</v>
      </c>
      <c r="F11" s="26">
        <f t="shared" si="0"/>
        <v>8889116</v>
      </c>
      <c r="G11" s="71">
        <f t="shared" si="1"/>
        <v>0.11182799279478409</v>
      </c>
      <c r="H11" s="71">
        <f t="shared" si="2"/>
        <v>0.09250863640433987</v>
      </c>
      <c r="I11" s="71">
        <f t="shared" si="3"/>
        <v>0.30066521800368</v>
      </c>
      <c r="J11" s="71">
        <f t="shared" si="4"/>
        <v>0.49499815279719606</v>
      </c>
    </row>
    <row r="12" spans="1:10" ht="12.75">
      <c r="A12" s="19">
        <v>1986</v>
      </c>
      <c r="B12" s="70">
        <v>990222</v>
      </c>
      <c r="C12" s="70">
        <v>813738</v>
      </c>
      <c r="D12" s="70">
        <v>2683526</v>
      </c>
      <c r="E12" s="70">
        <v>4452724</v>
      </c>
      <c r="F12" s="26">
        <f t="shared" si="0"/>
        <v>8940210</v>
      </c>
      <c r="G12" s="71">
        <f t="shared" si="1"/>
        <v>0.11076048549195153</v>
      </c>
      <c r="H12" s="71">
        <f t="shared" si="2"/>
        <v>0.09102000959709</v>
      </c>
      <c r="I12" s="71">
        <f t="shared" si="3"/>
        <v>0.3001636426884827</v>
      </c>
      <c r="J12" s="71">
        <f t="shared" si="4"/>
        <v>0.4980558622224758</v>
      </c>
    </row>
    <row r="13" spans="1:10" ht="12.75">
      <c r="A13" s="19">
        <v>1987</v>
      </c>
      <c r="B13" s="70">
        <v>984997</v>
      </c>
      <c r="C13" s="70">
        <v>805064</v>
      </c>
      <c r="D13" s="70">
        <v>2700996</v>
      </c>
      <c r="E13" s="70">
        <v>4531903</v>
      </c>
      <c r="F13" s="26">
        <f t="shared" si="0"/>
        <v>9022960</v>
      </c>
      <c r="G13" s="71">
        <f t="shared" si="1"/>
        <v>0.10916561749137756</v>
      </c>
      <c r="H13" s="71">
        <f t="shared" si="2"/>
        <v>0.08922393538262388</v>
      </c>
      <c r="I13" s="71">
        <f t="shared" si="3"/>
        <v>0.29934699921090197</v>
      </c>
      <c r="J13" s="71">
        <f t="shared" si="4"/>
        <v>0.5022634479150966</v>
      </c>
    </row>
    <row r="14" spans="1:10" ht="12.75">
      <c r="A14" s="19">
        <v>1988</v>
      </c>
      <c r="B14" s="70">
        <v>985661</v>
      </c>
      <c r="C14" s="70">
        <v>800200</v>
      </c>
      <c r="D14" s="70">
        <v>2741297</v>
      </c>
      <c r="E14" s="70">
        <v>4639894</v>
      </c>
      <c r="F14" s="26">
        <f t="shared" si="0"/>
        <v>9167052</v>
      </c>
      <c r="G14" s="71">
        <f t="shared" si="1"/>
        <v>0.10752213470590109</v>
      </c>
      <c r="H14" s="71">
        <f t="shared" si="2"/>
        <v>0.08729087606353711</v>
      </c>
      <c r="I14" s="71">
        <f t="shared" si="3"/>
        <v>0.2990380113475957</v>
      </c>
      <c r="J14" s="71">
        <f t="shared" si="4"/>
        <v>0.5061489778829661</v>
      </c>
    </row>
    <row r="15" spans="1:10" ht="12.75">
      <c r="A15" s="19">
        <v>1989</v>
      </c>
      <c r="B15" s="70">
        <v>994422</v>
      </c>
      <c r="C15" s="70">
        <v>799634</v>
      </c>
      <c r="D15" s="70">
        <v>2790579</v>
      </c>
      <c r="E15" s="70">
        <v>4746315</v>
      </c>
      <c r="F15" s="26">
        <f t="shared" si="0"/>
        <v>9330950</v>
      </c>
      <c r="G15" s="71">
        <f t="shared" si="1"/>
        <v>0.10657242831651655</v>
      </c>
      <c r="H15" s="71">
        <f t="shared" si="2"/>
        <v>0.08569695475809001</v>
      </c>
      <c r="I15" s="71">
        <f t="shared" si="3"/>
        <v>0.29906697603137944</v>
      </c>
      <c r="J15" s="71">
        <f t="shared" si="4"/>
        <v>0.5086636408940141</v>
      </c>
    </row>
    <row r="16" spans="1:10" ht="12.75">
      <c r="A16" s="19">
        <v>1990</v>
      </c>
      <c r="B16" s="70">
        <v>1011887</v>
      </c>
      <c r="C16" s="70">
        <v>799830</v>
      </c>
      <c r="D16" s="70">
        <v>2858519</v>
      </c>
      <c r="E16" s="70">
        <v>4900747</v>
      </c>
      <c r="F16" s="26">
        <f t="shared" si="0"/>
        <v>9570983</v>
      </c>
      <c r="G16" s="71">
        <f t="shared" si="1"/>
        <v>0.10572445902369694</v>
      </c>
      <c r="H16" s="71">
        <f t="shared" si="2"/>
        <v>0.08356821864587995</v>
      </c>
      <c r="I16" s="71">
        <f t="shared" si="3"/>
        <v>0.29866514233699926</v>
      </c>
      <c r="J16" s="71">
        <f t="shared" si="4"/>
        <v>0.5120421799934238</v>
      </c>
    </row>
    <row r="17" spans="1:10" ht="12.75">
      <c r="A17" s="19">
        <v>1991</v>
      </c>
      <c r="B17" s="70">
        <v>1038505</v>
      </c>
      <c r="C17" s="70">
        <v>807871</v>
      </c>
      <c r="D17" s="70">
        <v>2918640</v>
      </c>
      <c r="E17" s="70">
        <v>5014971</v>
      </c>
      <c r="F17" s="26">
        <f t="shared" si="0"/>
        <v>9779987</v>
      </c>
      <c r="G17" s="71">
        <f t="shared" si="1"/>
        <v>0.10618674646500041</v>
      </c>
      <c r="H17" s="71">
        <f t="shared" si="2"/>
        <v>0.08260450652950765</v>
      </c>
      <c r="I17" s="71">
        <f t="shared" si="3"/>
        <v>0.2984298445386482</v>
      </c>
      <c r="J17" s="71">
        <f t="shared" si="4"/>
        <v>0.5127789024668438</v>
      </c>
    </row>
    <row r="18" spans="1:10" ht="12.75">
      <c r="A18" s="19">
        <v>1992</v>
      </c>
      <c r="B18" s="70">
        <v>1065842</v>
      </c>
      <c r="C18" s="70">
        <v>822498</v>
      </c>
      <c r="D18" s="70">
        <v>2973972</v>
      </c>
      <c r="E18" s="70">
        <v>5142553</v>
      </c>
      <c r="F18" s="26">
        <f t="shared" si="0"/>
        <v>10004865</v>
      </c>
      <c r="G18" s="71">
        <f t="shared" si="1"/>
        <v>0.1065323720010215</v>
      </c>
      <c r="H18" s="71">
        <f t="shared" si="2"/>
        <v>0.0822098049299016</v>
      </c>
      <c r="I18" s="71">
        <f t="shared" si="3"/>
        <v>0.297252586616611</v>
      </c>
      <c r="J18" s="71">
        <f t="shared" si="4"/>
        <v>0.5140052364524659</v>
      </c>
    </row>
    <row r="19" spans="1:10" ht="12.75">
      <c r="A19" s="19">
        <v>1993</v>
      </c>
      <c r="B19" s="70">
        <v>1100328</v>
      </c>
      <c r="C19" s="70">
        <v>840052</v>
      </c>
      <c r="D19" s="70">
        <v>3034869</v>
      </c>
      <c r="E19" s="70">
        <v>5248735</v>
      </c>
      <c r="F19" s="26">
        <f t="shared" si="0"/>
        <v>10223984</v>
      </c>
      <c r="G19" s="71">
        <f t="shared" si="1"/>
        <v>0.10762223415060118</v>
      </c>
      <c r="H19" s="71">
        <f t="shared" si="2"/>
        <v>0.08216483906860574</v>
      </c>
      <c r="I19" s="71">
        <f t="shared" si="3"/>
        <v>0.29683819927730715</v>
      </c>
      <c r="J19" s="71">
        <f t="shared" si="4"/>
        <v>0.5133747275034859</v>
      </c>
    </row>
    <row r="20" spans="1:10" ht="12.75">
      <c r="A20" s="19">
        <v>1994</v>
      </c>
      <c r="B20" s="70">
        <v>1134269</v>
      </c>
      <c r="C20" s="70">
        <v>854914</v>
      </c>
      <c r="D20" s="70">
        <v>3087054</v>
      </c>
      <c r="E20" s="70">
        <v>5336121</v>
      </c>
      <c r="F20" s="26">
        <f t="shared" si="0"/>
        <v>10412358</v>
      </c>
      <c r="G20" s="71">
        <f t="shared" si="1"/>
        <v>0.10893488295350583</v>
      </c>
      <c r="H20" s="71">
        <f t="shared" si="2"/>
        <v>0.0821057055471969</v>
      </c>
      <c r="I20" s="71">
        <f t="shared" si="3"/>
        <v>0.29647981753988867</v>
      </c>
      <c r="J20" s="71">
        <f t="shared" si="4"/>
        <v>0.5124795939594086</v>
      </c>
    </row>
    <row r="21" spans="1:10" ht="12.75">
      <c r="A21" s="19">
        <v>1995</v>
      </c>
      <c r="B21" s="70">
        <v>1163542</v>
      </c>
      <c r="C21" s="70">
        <v>868478</v>
      </c>
      <c r="D21" s="70">
        <v>3141180</v>
      </c>
      <c r="E21" s="70">
        <v>5433068</v>
      </c>
      <c r="F21" s="26">
        <f t="shared" si="0"/>
        <v>10606268</v>
      </c>
      <c r="G21" s="71">
        <f t="shared" si="1"/>
        <v>0.10970324340286329</v>
      </c>
      <c r="H21" s="71">
        <f t="shared" si="2"/>
        <v>0.08188346739871179</v>
      </c>
      <c r="I21" s="71">
        <f t="shared" si="3"/>
        <v>0.29616260875173056</v>
      </c>
      <c r="J21" s="71">
        <f t="shared" si="4"/>
        <v>0.5122506804466943</v>
      </c>
    </row>
    <row r="22" spans="1:10" ht="12.75">
      <c r="A22" s="19">
        <v>1996</v>
      </c>
      <c r="B22" s="70">
        <v>1186239</v>
      </c>
      <c r="C22" s="70">
        <v>876734</v>
      </c>
      <c r="D22" s="70">
        <v>3195409</v>
      </c>
      <c r="E22" s="70">
        <v>5518801</v>
      </c>
      <c r="F22" s="26">
        <f t="shared" si="0"/>
        <v>10777183</v>
      </c>
      <c r="G22" s="71">
        <f t="shared" si="1"/>
        <v>0.11006948661816358</v>
      </c>
      <c r="H22" s="71">
        <f t="shared" si="2"/>
        <v>0.08135094300616404</v>
      </c>
      <c r="I22" s="71">
        <f t="shared" si="3"/>
        <v>0.29649760981139506</v>
      </c>
      <c r="J22" s="71">
        <f t="shared" si="4"/>
        <v>0.5120819605642773</v>
      </c>
    </row>
    <row r="23" spans="1:10" ht="12.75">
      <c r="A23" s="19">
        <v>1997</v>
      </c>
      <c r="B23" s="70">
        <v>1208865</v>
      </c>
      <c r="C23" s="70">
        <v>878730</v>
      </c>
      <c r="D23" s="70">
        <v>3243272</v>
      </c>
      <c r="E23" s="70">
        <v>5614151</v>
      </c>
      <c r="F23" s="26">
        <f t="shared" si="0"/>
        <v>10945018</v>
      </c>
      <c r="G23" s="71">
        <f t="shared" si="1"/>
        <v>0.11044888185656707</v>
      </c>
      <c r="H23" s="71">
        <f t="shared" si="2"/>
        <v>0.08028584329418188</v>
      </c>
      <c r="I23" s="71">
        <f t="shared" si="3"/>
        <v>0.2963240444191138</v>
      </c>
      <c r="J23" s="71">
        <f t="shared" si="4"/>
        <v>0.5129412304301373</v>
      </c>
    </row>
    <row r="24" spans="1:10" ht="12.75">
      <c r="A24" s="19">
        <v>1998</v>
      </c>
      <c r="B24" s="70">
        <v>1228684</v>
      </c>
      <c r="C24" s="70">
        <v>880453</v>
      </c>
      <c r="D24" s="70">
        <v>3281974</v>
      </c>
      <c r="E24" s="70">
        <v>5689263</v>
      </c>
      <c r="F24" s="26">
        <f t="shared" si="0"/>
        <v>11080374</v>
      </c>
      <c r="G24" s="71">
        <f t="shared" si="1"/>
        <v>0.11088831478071047</v>
      </c>
      <c r="H24" s="71">
        <f t="shared" si="2"/>
        <v>0.07946058499469422</v>
      </c>
      <c r="I24" s="71">
        <f t="shared" si="3"/>
        <v>0.29619704172440386</v>
      </c>
      <c r="J24" s="71">
        <f t="shared" si="4"/>
        <v>0.5134540585001914</v>
      </c>
    </row>
    <row r="25" spans="1:10" ht="12.75">
      <c r="A25" s="19">
        <v>1999</v>
      </c>
      <c r="B25" s="70">
        <v>1251700</v>
      </c>
      <c r="C25" s="70">
        <v>882779</v>
      </c>
      <c r="D25" s="70">
        <v>3316154</v>
      </c>
      <c r="E25" s="70">
        <v>5756361</v>
      </c>
      <c r="F25" s="26">
        <f t="shared" si="0"/>
        <v>11206994</v>
      </c>
      <c r="G25" s="71">
        <f aca="true" t="shared" si="5" ref="G25:J26">B25/$F25</f>
        <v>0.11168918266575319</v>
      </c>
      <c r="H25" s="71">
        <f t="shared" si="5"/>
        <v>0.07877036429215542</v>
      </c>
      <c r="I25" s="71">
        <f t="shared" si="5"/>
        <v>0.2959003993399122</v>
      </c>
      <c r="J25" s="71">
        <f t="shared" si="5"/>
        <v>0.5136400537021792</v>
      </c>
    </row>
    <row r="26" spans="1:10" ht="12.75">
      <c r="A26" s="19">
        <v>2000</v>
      </c>
      <c r="B26" s="70">
        <f>'Idaho County Population'!B5</f>
        <v>1293953</v>
      </c>
      <c r="C26" s="70">
        <f>'Montana County Population'!B5</f>
        <v>902195</v>
      </c>
      <c r="D26" s="70">
        <f>'Oregon County Populaiton'!B5</f>
        <v>3421399</v>
      </c>
      <c r="E26" s="70">
        <f>'Washington County Population'!B5</f>
        <v>5894121</v>
      </c>
      <c r="F26" s="26">
        <f t="shared" si="0"/>
        <v>11511668</v>
      </c>
      <c r="G26" s="71">
        <f t="shared" si="5"/>
        <v>0.11240360649733817</v>
      </c>
      <c r="H26" s="71">
        <f t="shared" si="5"/>
        <v>0.0783722219925036</v>
      </c>
      <c r="I26" s="71">
        <f t="shared" si="5"/>
        <v>0.2972114032475572</v>
      </c>
      <c r="J26" s="71">
        <f t="shared" si="5"/>
        <v>0.512012768262601</v>
      </c>
    </row>
  </sheetData>
  <mergeCells count="1">
    <mergeCell ref="B3:E3"/>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B1" sqref="B1:B16384"/>
    </sheetView>
  </sheetViews>
  <sheetFormatPr defaultColWidth="9.140625" defaultRowHeight="12.75"/>
  <cols>
    <col min="1" max="1" width="21.140625" style="0" customWidth="1"/>
    <col min="2" max="3" width="12.8515625" style="0" bestFit="1" customWidth="1"/>
    <col min="4" max="12" width="11.28125" style="0" bestFit="1" customWidth="1"/>
  </cols>
  <sheetData>
    <row r="1" ht="12.75">
      <c r="A1" s="9" t="s">
        <v>589</v>
      </c>
    </row>
    <row r="2" ht="13.5" thickBot="1"/>
    <row r="3" spans="1:12" ht="13.5" thickBot="1">
      <c r="A3" s="394" t="s">
        <v>586</v>
      </c>
      <c r="B3" s="395">
        <v>2000</v>
      </c>
      <c r="C3" s="395">
        <v>1990</v>
      </c>
      <c r="D3" s="395">
        <v>1980</v>
      </c>
      <c r="E3" s="395">
        <v>1970</v>
      </c>
      <c r="F3" s="395">
        <v>1960</v>
      </c>
      <c r="G3" s="395">
        <v>1950</v>
      </c>
      <c r="H3" s="395">
        <v>1940</v>
      </c>
      <c r="I3" s="395">
        <v>1930</v>
      </c>
      <c r="J3" s="395">
        <v>1920</v>
      </c>
      <c r="K3" s="396">
        <v>1910</v>
      </c>
      <c r="L3" s="396">
        <v>1900</v>
      </c>
    </row>
    <row r="4" spans="1:12" ht="13.5" thickBot="1">
      <c r="A4" s="241"/>
      <c r="B4" s="241"/>
      <c r="C4" s="241"/>
      <c r="D4" s="241"/>
      <c r="E4" s="241"/>
      <c r="F4" s="241"/>
      <c r="G4" s="241"/>
      <c r="H4" s="241"/>
      <c r="I4" s="241"/>
      <c r="J4" s="241"/>
      <c r="K4" s="241"/>
      <c r="L4" s="241"/>
    </row>
    <row r="5" spans="1:12" ht="13.5" thickBot="1">
      <c r="A5" s="397" t="s">
        <v>39</v>
      </c>
      <c r="B5" s="398">
        <v>1293953</v>
      </c>
      <c r="C5" s="398">
        <v>1006749</v>
      </c>
      <c r="D5" s="398">
        <v>943935</v>
      </c>
      <c r="E5" s="398">
        <v>712567</v>
      </c>
      <c r="F5" s="398">
        <v>667191</v>
      </c>
      <c r="G5" s="398">
        <v>588637</v>
      </c>
      <c r="H5" s="398">
        <v>524873</v>
      </c>
      <c r="I5" s="398">
        <v>445032</v>
      </c>
      <c r="J5" s="398">
        <v>431866</v>
      </c>
      <c r="K5" s="399">
        <v>325594</v>
      </c>
      <c r="L5" s="399">
        <v>161772</v>
      </c>
    </row>
    <row r="6" spans="1:12" ht="12.75">
      <c r="A6" s="393" t="s">
        <v>124</v>
      </c>
      <c r="B6" s="99">
        <v>300904</v>
      </c>
      <c r="C6" s="99">
        <v>205775</v>
      </c>
      <c r="D6" s="99">
        <v>173036</v>
      </c>
      <c r="E6" s="99">
        <v>112230</v>
      </c>
      <c r="F6" s="99">
        <v>93460</v>
      </c>
      <c r="G6" s="99">
        <v>70649</v>
      </c>
      <c r="H6" s="99">
        <v>50401</v>
      </c>
      <c r="I6" s="99">
        <v>37925</v>
      </c>
      <c r="J6" s="99">
        <v>35213</v>
      </c>
      <c r="K6" s="99">
        <v>29088</v>
      </c>
      <c r="L6" s="99">
        <v>11559</v>
      </c>
    </row>
    <row r="7" spans="1:12" ht="12.75">
      <c r="A7" s="19" t="s">
        <v>125</v>
      </c>
      <c r="B7" s="70">
        <v>3476</v>
      </c>
      <c r="C7" s="70">
        <v>3254</v>
      </c>
      <c r="D7" s="70">
        <v>3347</v>
      </c>
      <c r="E7" s="70">
        <v>2877</v>
      </c>
      <c r="F7" s="70">
        <v>2978</v>
      </c>
      <c r="G7" s="70">
        <v>3347</v>
      </c>
      <c r="H7" s="70">
        <v>3407</v>
      </c>
      <c r="I7" s="70">
        <v>2867</v>
      </c>
      <c r="J7" s="70">
        <v>2966</v>
      </c>
      <c r="K7" s="70" t="s">
        <v>587</v>
      </c>
      <c r="L7" s="70" t="s">
        <v>587</v>
      </c>
    </row>
    <row r="8" spans="1:12" ht="12.75">
      <c r="A8" s="19" t="s">
        <v>126</v>
      </c>
      <c r="B8" s="70">
        <v>75565</v>
      </c>
      <c r="C8" s="70">
        <v>66026</v>
      </c>
      <c r="D8" s="70">
        <v>65421</v>
      </c>
      <c r="E8" s="70">
        <v>52200</v>
      </c>
      <c r="F8" s="70">
        <v>49342</v>
      </c>
      <c r="G8" s="70">
        <v>41745</v>
      </c>
      <c r="H8" s="70">
        <v>34759</v>
      </c>
      <c r="I8" s="70">
        <v>31266</v>
      </c>
      <c r="J8" s="70">
        <v>27532</v>
      </c>
      <c r="K8" s="70">
        <v>19242</v>
      </c>
      <c r="L8" s="70">
        <v>11702</v>
      </c>
    </row>
    <row r="9" spans="1:12" ht="12.75">
      <c r="A9" s="19" t="s">
        <v>127</v>
      </c>
      <c r="B9" s="70">
        <v>6411</v>
      </c>
      <c r="C9" s="70">
        <v>6084</v>
      </c>
      <c r="D9" s="70">
        <v>6931</v>
      </c>
      <c r="E9" s="70">
        <v>5801</v>
      </c>
      <c r="F9" s="70">
        <v>7148</v>
      </c>
      <c r="G9" s="70">
        <v>6834</v>
      </c>
      <c r="H9" s="70">
        <v>7911</v>
      </c>
      <c r="I9" s="70">
        <v>7872</v>
      </c>
      <c r="J9" s="70">
        <v>8783</v>
      </c>
      <c r="K9" s="70">
        <v>7729</v>
      </c>
      <c r="L9" s="70">
        <v>7051</v>
      </c>
    </row>
    <row r="10" spans="1:12" ht="12.75">
      <c r="A10" s="19" t="s">
        <v>128</v>
      </c>
      <c r="B10" s="70">
        <v>9171</v>
      </c>
      <c r="C10" s="70">
        <v>7937</v>
      </c>
      <c r="D10" s="70">
        <v>8292</v>
      </c>
      <c r="E10" s="70">
        <v>6230</v>
      </c>
      <c r="F10" s="70">
        <v>6036</v>
      </c>
      <c r="G10" s="70">
        <v>6173</v>
      </c>
      <c r="H10" s="70">
        <v>7332</v>
      </c>
      <c r="I10" s="70">
        <v>6371</v>
      </c>
      <c r="J10" s="70">
        <v>6997</v>
      </c>
      <c r="K10" s="70" t="s">
        <v>587</v>
      </c>
      <c r="L10" s="70" t="s">
        <v>587</v>
      </c>
    </row>
    <row r="11" spans="1:12" ht="12.75">
      <c r="A11" s="19" t="s">
        <v>129</v>
      </c>
      <c r="B11" s="70">
        <v>41735</v>
      </c>
      <c r="C11" s="70">
        <v>37583</v>
      </c>
      <c r="D11" s="70">
        <v>36489</v>
      </c>
      <c r="E11" s="70">
        <v>29167</v>
      </c>
      <c r="F11" s="70">
        <v>28218</v>
      </c>
      <c r="G11" s="70">
        <v>23271</v>
      </c>
      <c r="H11" s="70">
        <v>21044</v>
      </c>
      <c r="I11" s="70">
        <v>18561</v>
      </c>
      <c r="J11" s="70">
        <v>18310</v>
      </c>
      <c r="K11" s="70">
        <v>23306</v>
      </c>
      <c r="L11" s="70">
        <v>10447</v>
      </c>
    </row>
    <row r="12" spans="1:12" ht="12.75">
      <c r="A12" s="19" t="s">
        <v>130</v>
      </c>
      <c r="B12" s="70">
        <v>18991</v>
      </c>
      <c r="C12" s="70">
        <v>13552</v>
      </c>
      <c r="D12" s="70">
        <v>9841</v>
      </c>
      <c r="E12" s="70">
        <v>5749</v>
      </c>
      <c r="F12" s="70">
        <v>4598</v>
      </c>
      <c r="G12" s="70">
        <v>5384</v>
      </c>
      <c r="H12" s="70">
        <v>5295</v>
      </c>
      <c r="I12" s="70">
        <v>3768</v>
      </c>
      <c r="J12" s="70">
        <v>4473</v>
      </c>
      <c r="K12" s="70">
        <v>8387</v>
      </c>
      <c r="L12" s="70">
        <v>4900</v>
      </c>
    </row>
    <row r="13" spans="1:12" ht="12.75">
      <c r="A13" s="19" t="s">
        <v>131</v>
      </c>
      <c r="B13" s="70">
        <v>6670</v>
      </c>
      <c r="C13" s="70">
        <v>3509</v>
      </c>
      <c r="D13" s="70">
        <v>2999</v>
      </c>
      <c r="E13" s="70">
        <v>1763</v>
      </c>
      <c r="F13" s="70">
        <v>1646</v>
      </c>
      <c r="G13" s="70">
        <v>1776</v>
      </c>
      <c r="H13" s="70">
        <v>2333</v>
      </c>
      <c r="I13" s="70">
        <v>1847</v>
      </c>
      <c r="J13" s="70">
        <v>1822</v>
      </c>
      <c r="K13" s="70">
        <v>5250</v>
      </c>
      <c r="L13" s="70">
        <v>4174</v>
      </c>
    </row>
    <row r="14" spans="1:12" ht="12.75">
      <c r="A14" s="19" t="s">
        <v>132</v>
      </c>
      <c r="B14" s="70">
        <v>36835</v>
      </c>
      <c r="C14" s="70">
        <v>26622</v>
      </c>
      <c r="D14" s="70">
        <v>24163</v>
      </c>
      <c r="E14" s="70">
        <v>15560</v>
      </c>
      <c r="F14" s="70">
        <v>15587</v>
      </c>
      <c r="G14" s="70">
        <v>14853</v>
      </c>
      <c r="H14" s="70">
        <v>15667</v>
      </c>
      <c r="I14" s="70">
        <v>13152</v>
      </c>
      <c r="J14" s="70">
        <v>12957</v>
      </c>
      <c r="K14" s="70">
        <v>13588</v>
      </c>
      <c r="L14" s="70" t="s">
        <v>587</v>
      </c>
    </row>
    <row r="15" spans="1:12" ht="12.75">
      <c r="A15" s="19" t="s">
        <v>133</v>
      </c>
      <c r="B15" s="70">
        <v>82522</v>
      </c>
      <c r="C15" s="70">
        <v>72207</v>
      </c>
      <c r="D15" s="70">
        <v>65980</v>
      </c>
      <c r="E15" s="70">
        <v>51250</v>
      </c>
      <c r="F15" s="70">
        <v>46906</v>
      </c>
      <c r="G15" s="70">
        <v>30210</v>
      </c>
      <c r="H15" s="70">
        <v>25697</v>
      </c>
      <c r="I15" s="70">
        <v>19664</v>
      </c>
      <c r="J15" s="70">
        <v>17501</v>
      </c>
      <c r="K15" s="70" t="s">
        <v>587</v>
      </c>
      <c r="L15" s="70" t="s">
        <v>587</v>
      </c>
    </row>
    <row r="16" spans="1:12" ht="12.75">
      <c r="A16" s="19" t="s">
        <v>134</v>
      </c>
      <c r="B16" s="70">
        <v>9871</v>
      </c>
      <c r="C16" s="70">
        <v>8332</v>
      </c>
      <c r="D16" s="70">
        <v>7289</v>
      </c>
      <c r="E16" s="70">
        <v>6371</v>
      </c>
      <c r="F16" s="70">
        <v>5809</v>
      </c>
      <c r="G16" s="70">
        <v>5908</v>
      </c>
      <c r="H16" s="70">
        <v>5987</v>
      </c>
      <c r="I16" s="70">
        <v>4555</v>
      </c>
      <c r="J16" s="70">
        <v>4474</v>
      </c>
      <c r="K16" s="70" t="s">
        <v>587</v>
      </c>
      <c r="L16" s="70" t="s">
        <v>587</v>
      </c>
    </row>
    <row r="17" spans="1:12" ht="12.75">
      <c r="A17" s="19" t="s">
        <v>135</v>
      </c>
      <c r="B17" s="70">
        <v>2899</v>
      </c>
      <c r="C17" s="70">
        <v>2918</v>
      </c>
      <c r="D17" s="70">
        <v>3342</v>
      </c>
      <c r="E17" s="70">
        <v>2925</v>
      </c>
      <c r="F17" s="70">
        <v>3498</v>
      </c>
      <c r="G17" s="70">
        <v>2722</v>
      </c>
      <c r="H17" s="70">
        <v>1877</v>
      </c>
      <c r="I17" s="70">
        <v>1934</v>
      </c>
      <c r="J17" s="70">
        <v>2940</v>
      </c>
      <c r="K17" s="70" t="s">
        <v>587</v>
      </c>
      <c r="L17" s="70" t="s">
        <v>587</v>
      </c>
    </row>
    <row r="18" spans="1:12" ht="12.75">
      <c r="A18" s="19" t="s">
        <v>136</v>
      </c>
      <c r="B18" s="70">
        <v>991</v>
      </c>
      <c r="C18" s="70">
        <v>727</v>
      </c>
      <c r="D18" s="70">
        <v>818</v>
      </c>
      <c r="E18" s="70">
        <v>728</v>
      </c>
      <c r="F18" s="70">
        <v>917</v>
      </c>
      <c r="G18" s="70">
        <v>1079</v>
      </c>
      <c r="H18" s="70">
        <v>1360</v>
      </c>
      <c r="I18" s="70">
        <v>1411</v>
      </c>
      <c r="J18" s="70">
        <v>1730</v>
      </c>
      <c r="K18" s="70" t="s">
        <v>587</v>
      </c>
      <c r="L18" s="70" t="s">
        <v>587</v>
      </c>
    </row>
    <row r="19" spans="1:12" ht="12.75">
      <c r="A19" s="19" t="s">
        <v>137</v>
      </c>
      <c r="B19" s="70">
        <v>131441</v>
      </c>
      <c r="C19" s="70">
        <v>90076</v>
      </c>
      <c r="D19" s="70">
        <v>83756</v>
      </c>
      <c r="E19" s="70">
        <v>61288</v>
      </c>
      <c r="F19" s="70">
        <v>57662</v>
      </c>
      <c r="G19" s="70">
        <v>53597</v>
      </c>
      <c r="H19" s="70">
        <v>40987</v>
      </c>
      <c r="I19" s="70">
        <v>30930</v>
      </c>
      <c r="J19" s="70">
        <v>26932</v>
      </c>
      <c r="K19" s="70">
        <v>25323</v>
      </c>
      <c r="L19" s="70">
        <v>7497</v>
      </c>
    </row>
    <row r="20" spans="1:12" ht="12.75">
      <c r="A20" s="19" t="s">
        <v>138</v>
      </c>
      <c r="B20" s="70">
        <v>7304</v>
      </c>
      <c r="C20" s="70">
        <v>6963</v>
      </c>
      <c r="D20" s="70">
        <v>8695</v>
      </c>
      <c r="E20" s="70">
        <v>6534</v>
      </c>
      <c r="F20" s="70">
        <v>5976</v>
      </c>
      <c r="G20" s="70">
        <v>5576</v>
      </c>
      <c r="H20" s="70">
        <v>2284</v>
      </c>
      <c r="I20" s="70">
        <v>2121</v>
      </c>
      <c r="J20" s="70">
        <v>2191</v>
      </c>
      <c r="K20" s="70" t="s">
        <v>587</v>
      </c>
      <c r="L20" s="70" t="s">
        <v>587</v>
      </c>
    </row>
    <row r="21" spans="1:12" ht="12.75">
      <c r="A21" s="19" t="s">
        <v>139</v>
      </c>
      <c r="B21" s="70">
        <v>21416</v>
      </c>
      <c r="C21" s="70">
        <v>19532</v>
      </c>
      <c r="D21" s="70">
        <v>19427</v>
      </c>
      <c r="E21" s="70">
        <v>17017</v>
      </c>
      <c r="F21" s="70">
        <v>16121</v>
      </c>
      <c r="G21" s="70">
        <v>14629</v>
      </c>
      <c r="H21" s="70">
        <v>14430</v>
      </c>
      <c r="I21" s="70">
        <v>13116</v>
      </c>
      <c r="J21" s="70">
        <v>15659</v>
      </c>
      <c r="K21" s="70">
        <v>7197</v>
      </c>
      <c r="L21" s="70">
        <v>3951</v>
      </c>
    </row>
    <row r="22" spans="1:12" ht="12.75">
      <c r="A22" s="19" t="s">
        <v>140</v>
      </c>
      <c r="B22" s="70">
        <v>1022</v>
      </c>
      <c r="C22" s="70">
        <v>762</v>
      </c>
      <c r="D22" s="70">
        <v>798</v>
      </c>
      <c r="E22" s="70">
        <v>741</v>
      </c>
      <c r="F22" s="70">
        <v>915</v>
      </c>
      <c r="G22" s="70">
        <v>918</v>
      </c>
      <c r="H22" s="70">
        <v>1005</v>
      </c>
      <c r="I22" s="70">
        <v>1122</v>
      </c>
      <c r="J22" s="70">
        <v>1886</v>
      </c>
      <c r="K22" s="70" t="s">
        <v>587</v>
      </c>
      <c r="L22" s="70" t="s">
        <v>587</v>
      </c>
    </row>
    <row r="23" spans="1:12" ht="12.75">
      <c r="A23" s="19" t="s">
        <v>141</v>
      </c>
      <c r="B23" s="70">
        <v>8930</v>
      </c>
      <c r="C23" s="70">
        <v>8505</v>
      </c>
      <c r="D23" s="70">
        <v>10390</v>
      </c>
      <c r="E23" s="70">
        <v>10871</v>
      </c>
      <c r="F23" s="70">
        <v>8548</v>
      </c>
      <c r="G23" s="70">
        <v>8217</v>
      </c>
      <c r="H23" s="70">
        <v>8243</v>
      </c>
      <c r="I23" s="70">
        <v>6599</v>
      </c>
      <c r="J23" s="70">
        <v>4993</v>
      </c>
      <c r="K23" s="70" t="s">
        <v>587</v>
      </c>
      <c r="L23" s="70" t="s">
        <v>587</v>
      </c>
    </row>
    <row r="24" spans="1:12" ht="12.75">
      <c r="A24" s="19" t="s">
        <v>142</v>
      </c>
      <c r="B24" s="70">
        <v>4342</v>
      </c>
      <c r="C24" s="70">
        <v>4133</v>
      </c>
      <c r="D24" s="70">
        <v>3385</v>
      </c>
      <c r="E24" s="70">
        <v>2967</v>
      </c>
      <c r="F24" s="70">
        <v>2996</v>
      </c>
      <c r="G24" s="70">
        <v>3318</v>
      </c>
      <c r="H24" s="70">
        <v>3549</v>
      </c>
      <c r="I24" s="70">
        <v>3162</v>
      </c>
      <c r="J24" s="70">
        <v>3550</v>
      </c>
      <c r="K24" s="70">
        <v>3001</v>
      </c>
      <c r="L24" s="70">
        <v>2049</v>
      </c>
    </row>
    <row r="25" spans="1:12" ht="12.75">
      <c r="A25" s="19" t="s">
        <v>143</v>
      </c>
      <c r="B25" s="70">
        <v>29130</v>
      </c>
      <c r="C25" s="70">
        <v>21205</v>
      </c>
      <c r="D25" s="70">
        <v>21565</v>
      </c>
      <c r="E25" s="70">
        <v>17479</v>
      </c>
      <c r="F25" s="70">
        <v>16719</v>
      </c>
      <c r="G25" s="70">
        <v>6687</v>
      </c>
      <c r="H25" s="70">
        <v>5518</v>
      </c>
      <c r="I25" s="70">
        <v>4491</v>
      </c>
      <c r="J25" s="70">
        <v>5087</v>
      </c>
      <c r="K25" s="70">
        <v>4785</v>
      </c>
      <c r="L25" s="70">
        <v>2286</v>
      </c>
    </row>
    <row r="26" spans="1:12" ht="12.75">
      <c r="A26" s="19" t="s">
        <v>144</v>
      </c>
      <c r="B26" s="70">
        <v>11329</v>
      </c>
      <c r="C26" s="70">
        <v>9232</v>
      </c>
      <c r="D26" s="70">
        <v>8895</v>
      </c>
      <c r="E26" s="70">
        <v>7373</v>
      </c>
      <c r="F26" s="70">
        <v>8457</v>
      </c>
      <c r="G26" s="70">
        <v>9867</v>
      </c>
      <c r="H26" s="70">
        <v>10229</v>
      </c>
      <c r="I26" s="70">
        <v>9379</v>
      </c>
      <c r="J26" s="70">
        <v>8650</v>
      </c>
      <c r="K26" s="70" t="s">
        <v>587</v>
      </c>
      <c r="L26" s="70" t="s">
        <v>587</v>
      </c>
    </row>
    <row r="27" spans="1:12" ht="12.75">
      <c r="A27" s="19" t="s">
        <v>145</v>
      </c>
      <c r="B27" s="70">
        <v>11819</v>
      </c>
      <c r="C27" s="70">
        <v>10937</v>
      </c>
      <c r="D27" s="70">
        <v>10813</v>
      </c>
      <c r="E27" s="70">
        <v>8710</v>
      </c>
      <c r="F27" s="70">
        <v>8679</v>
      </c>
      <c r="G27" s="70">
        <v>9351</v>
      </c>
      <c r="H27" s="70">
        <v>10304</v>
      </c>
      <c r="I27" s="70">
        <v>9924</v>
      </c>
      <c r="J27" s="70">
        <v>10380</v>
      </c>
      <c r="K27" s="70">
        <v>24606</v>
      </c>
      <c r="L27" s="70">
        <v>12821</v>
      </c>
    </row>
    <row r="28" spans="1:12" ht="12.75">
      <c r="A28" s="19" t="s">
        <v>146</v>
      </c>
      <c r="B28" s="70">
        <v>15181</v>
      </c>
      <c r="C28" s="70">
        <v>11844</v>
      </c>
      <c r="D28" s="70">
        <v>11972</v>
      </c>
      <c r="E28" s="70">
        <v>9387</v>
      </c>
      <c r="F28" s="70">
        <v>9127</v>
      </c>
      <c r="G28" s="70">
        <v>8730</v>
      </c>
      <c r="H28" s="70">
        <v>9544</v>
      </c>
      <c r="I28" s="70">
        <v>7419</v>
      </c>
      <c r="J28" s="70">
        <v>6427</v>
      </c>
      <c r="K28" s="70" t="s">
        <v>587</v>
      </c>
      <c r="L28" s="70" t="s">
        <v>587</v>
      </c>
    </row>
    <row r="29" spans="1:12" ht="12.75">
      <c r="A29" s="19" t="s">
        <v>147</v>
      </c>
      <c r="B29" s="70">
        <v>14155</v>
      </c>
      <c r="C29" s="70">
        <v>11633</v>
      </c>
      <c r="D29" s="70">
        <v>11874</v>
      </c>
      <c r="E29" s="70">
        <v>8645</v>
      </c>
      <c r="F29" s="70">
        <v>9544</v>
      </c>
      <c r="G29" s="70">
        <v>11101</v>
      </c>
      <c r="H29" s="70">
        <v>9257</v>
      </c>
      <c r="I29" s="70">
        <v>7580</v>
      </c>
      <c r="J29" s="70">
        <v>7548</v>
      </c>
      <c r="K29" s="70" t="s">
        <v>587</v>
      </c>
      <c r="L29" s="70" t="s">
        <v>587</v>
      </c>
    </row>
    <row r="30" spans="1:12" ht="12.75">
      <c r="A30" s="19" t="s">
        <v>148</v>
      </c>
      <c r="B30" s="70">
        <v>15511</v>
      </c>
      <c r="C30" s="70">
        <v>13783</v>
      </c>
      <c r="D30" s="70">
        <v>14769</v>
      </c>
      <c r="E30" s="70">
        <v>12891</v>
      </c>
      <c r="F30" s="70">
        <v>13542</v>
      </c>
      <c r="G30" s="70">
        <v>11423</v>
      </c>
      <c r="H30" s="70">
        <v>12691</v>
      </c>
      <c r="I30" s="70">
        <v>10107</v>
      </c>
      <c r="J30" s="70">
        <v>11749</v>
      </c>
      <c r="K30" s="70">
        <v>12384</v>
      </c>
      <c r="L30" s="70">
        <v>9121</v>
      </c>
    </row>
    <row r="31" spans="1:12" ht="12.75">
      <c r="A31" s="19" t="s">
        <v>149</v>
      </c>
      <c r="B31" s="70">
        <v>19155</v>
      </c>
      <c r="C31" s="70">
        <v>16543</v>
      </c>
      <c r="D31" s="70">
        <v>15304</v>
      </c>
      <c r="E31" s="70">
        <v>11619</v>
      </c>
      <c r="F31" s="70">
        <v>11672</v>
      </c>
      <c r="G31" s="70">
        <v>10495</v>
      </c>
      <c r="H31" s="70">
        <v>10762</v>
      </c>
      <c r="I31" s="70">
        <v>9171</v>
      </c>
      <c r="J31" s="70">
        <v>9441</v>
      </c>
      <c r="K31" s="70" t="s">
        <v>587</v>
      </c>
      <c r="L31" s="70" t="s">
        <v>587</v>
      </c>
    </row>
    <row r="32" spans="1:12" ht="12.75">
      <c r="A32" s="19" t="s">
        <v>150</v>
      </c>
      <c r="B32" s="70">
        <v>18342</v>
      </c>
      <c r="C32" s="70">
        <v>15138</v>
      </c>
      <c r="D32" s="70">
        <v>14840</v>
      </c>
      <c r="E32" s="70">
        <v>10253</v>
      </c>
      <c r="F32" s="70">
        <v>11712</v>
      </c>
      <c r="G32" s="70">
        <v>12080</v>
      </c>
      <c r="H32" s="70">
        <v>9900</v>
      </c>
      <c r="I32" s="70">
        <v>8358</v>
      </c>
      <c r="J32" s="70">
        <v>5729</v>
      </c>
      <c r="K32" s="70" t="s">
        <v>587</v>
      </c>
      <c r="L32" s="70" t="s">
        <v>587</v>
      </c>
    </row>
    <row r="33" spans="1:12" ht="12.75">
      <c r="A33" s="19" t="s">
        <v>151</v>
      </c>
      <c r="B33" s="70">
        <v>108685</v>
      </c>
      <c r="C33" s="70">
        <v>69795</v>
      </c>
      <c r="D33" s="70">
        <v>59770</v>
      </c>
      <c r="E33" s="70">
        <v>35332</v>
      </c>
      <c r="F33" s="70">
        <v>29556</v>
      </c>
      <c r="G33" s="70">
        <v>24947</v>
      </c>
      <c r="H33" s="70">
        <v>22283</v>
      </c>
      <c r="I33" s="70">
        <v>19469</v>
      </c>
      <c r="J33" s="70">
        <v>17878</v>
      </c>
      <c r="K33" s="70">
        <v>22747</v>
      </c>
      <c r="L33" s="70">
        <v>10216</v>
      </c>
    </row>
    <row r="34" spans="1:12" ht="12.75">
      <c r="A34" s="19" t="s">
        <v>152</v>
      </c>
      <c r="B34" s="70">
        <v>34935</v>
      </c>
      <c r="C34" s="70">
        <v>30617</v>
      </c>
      <c r="D34" s="70">
        <v>28749</v>
      </c>
      <c r="E34" s="70">
        <v>24891</v>
      </c>
      <c r="F34" s="70">
        <v>21170</v>
      </c>
      <c r="G34" s="70">
        <v>20971</v>
      </c>
      <c r="H34" s="70">
        <v>18804</v>
      </c>
      <c r="I34" s="70">
        <v>17798</v>
      </c>
      <c r="J34" s="70">
        <v>18092</v>
      </c>
      <c r="K34" s="70">
        <v>18818</v>
      </c>
      <c r="L34" s="70">
        <v>13451</v>
      </c>
    </row>
    <row r="35" spans="1:12" ht="12.75">
      <c r="A35" s="19" t="s">
        <v>153</v>
      </c>
      <c r="B35" s="70">
        <v>7806</v>
      </c>
      <c r="C35" s="70">
        <v>6899</v>
      </c>
      <c r="D35" s="70">
        <v>7460</v>
      </c>
      <c r="E35" s="70">
        <v>5566</v>
      </c>
      <c r="F35" s="70">
        <v>5816</v>
      </c>
      <c r="G35" s="70">
        <v>6278</v>
      </c>
      <c r="H35" s="70">
        <v>6521</v>
      </c>
      <c r="I35" s="70">
        <v>4643</v>
      </c>
      <c r="J35" s="70">
        <v>5164</v>
      </c>
      <c r="K35" s="70">
        <v>4786</v>
      </c>
      <c r="L35" s="70">
        <v>3446</v>
      </c>
    </row>
    <row r="36" spans="1:12" ht="12.75">
      <c r="A36" s="19" t="s">
        <v>154</v>
      </c>
      <c r="B36" s="70">
        <v>3747</v>
      </c>
      <c r="C36" s="70">
        <v>3516</v>
      </c>
      <c r="D36" s="70">
        <v>4118</v>
      </c>
      <c r="E36" s="70">
        <v>3867</v>
      </c>
      <c r="F36" s="70">
        <v>4423</v>
      </c>
      <c r="G36" s="70">
        <v>4208</v>
      </c>
      <c r="H36" s="70">
        <v>4666</v>
      </c>
      <c r="I36" s="70">
        <v>5238</v>
      </c>
      <c r="J36" s="70">
        <v>5851</v>
      </c>
      <c r="K36" s="70" t="s">
        <v>587</v>
      </c>
      <c r="L36" s="70" t="s">
        <v>587</v>
      </c>
    </row>
    <row r="37" spans="1:12" ht="12.75">
      <c r="A37" s="19" t="s">
        <v>155</v>
      </c>
      <c r="B37" s="70">
        <v>4044</v>
      </c>
      <c r="C37" s="70">
        <v>3308</v>
      </c>
      <c r="D37" s="70">
        <v>3436</v>
      </c>
      <c r="E37" s="70">
        <v>3057</v>
      </c>
      <c r="F37" s="70">
        <v>3686</v>
      </c>
      <c r="G37" s="70">
        <v>4256</v>
      </c>
      <c r="H37" s="70">
        <v>4230</v>
      </c>
      <c r="I37" s="70">
        <v>3242</v>
      </c>
      <c r="J37" s="70">
        <v>3446</v>
      </c>
      <c r="K37" s="70">
        <v>12676</v>
      </c>
      <c r="L37" s="70">
        <v>1784</v>
      </c>
    </row>
    <row r="38" spans="1:12" ht="12.75">
      <c r="A38" s="19" t="s">
        <v>156</v>
      </c>
      <c r="B38" s="70">
        <v>27467</v>
      </c>
      <c r="C38" s="70">
        <v>23674</v>
      </c>
      <c r="D38" s="70">
        <v>19480</v>
      </c>
      <c r="E38" s="70">
        <v>13452</v>
      </c>
      <c r="F38" s="70">
        <v>9417</v>
      </c>
      <c r="G38" s="70">
        <v>9156</v>
      </c>
      <c r="H38" s="70">
        <v>9186</v>
      </c>
      <c r="I38" s="70">
        <v>8316</v>
      </c>
      <c r="J38" s="70">
        <v>9167</v>
      </c>
      <c r="K38" s="70" t="s">
        <v>587</v>
      </c>
      <c r="L38" s="70" t="s">
        <v>587</v>
      </c>
    </row>
    <row r="39" spans="1:12" ht="12.75">
      <c r="A39" s="19" t="s">
        <v>157</v>
      </c>
      <c r="B39" s="70">
        <v>20174</v>
      </c>
      <c r="C39" s="70">
        <v>19361</v>
      </c>
      <c r="D39" s="70">
        <v>19718</v>
      </c>
      <c r="E39" s="70">
        <v>15731</v>
      </c>
      <c r="F39" s="70">
        <v>14394</v>
      </c>
      <c r="G39" s="70">
        <v>9785</v>
      </c>
      <c r="H39" s="70">
        <v>9870</v>
      </c>
      <c r="I39" s="70">
        <v>8403</v>
      </c>
      <c r="J39" s="70">
        <v>9035</v>
      </c>
      <c r="K39" s="70" t="s">
        <v>587</v>
      </c>
      <c r="L39" s="70" t="s">
        <v>587</v>
      </c>
    </row>
    <row r="40" spans="1:12" ht="12.75">
      <c r="A40" s="19" t="s">
        <v>158</v>
      </c>
      <c r="B40" s="70">
        <v>37410</v>
      </c>
      <c r="C40" s="70">
        <v>33754</v>
      </c>
      <c r="D40" s="70">
        <v>33220</v>
      </c>
      <c r="E40" s="70">
        <v>30376</v>
      </c>
      <c r="F40" s="70">
        <v>27066</v>
      </c>
      <c r="G40" s="70">
        <v>22658</v>
      </c>
      <c r="H40" s="70">
        <v>18873</v>
      </c>
      <c r="I40" s="70">
        <v>17591</v>
      </c>
      <c r="J40" s="70">
        <v>15253</v>
      </c>
      <c r="K40" s="70">
        <v>24860</v>
      </c>
      <c r="L40" s="70">
        <v>13748</v>
      </c>
    </row>
    <row r="41" spans="1:12" ht="12.75">
      <c r="A41" s="19" t="s">
        <v>159</v>
      </c>
      <c r="B41" s="70">
        <v>4125</v>
      </c>
      <c r="C41" s="70">
        <v>3492</v>
      </c>
      <c r="D41" s="70">
        <v>3258</v>
      </c>
      <c r="E41" s="70">
        <v>2864</v>
      </c>
      <c r="F41" s="70">
        <v>3603</v>
      </c>
      <c r="G41" s="70">
        <v>4387</v>
      </c>
      <c r="H41" s="70">
        <v>5417</v>
      </c>
      <c r="I41" s="70">
        <v>5870</v>
      </c>
      <c r="J41" s="70">
        <v>6723</v>
      </c>
      <c r="K41" s="70">
        <v>15170</v>
      </c>
      <c r="L41" s="70">
        <v>8933</v>
      </c>
    </row>
    <row r="42" spans="1:12" ht="12.75">
      <c r="A42" s="19" t="s">
        <v>160</v>
      </c>
      <c r="B42" s="70">
        <v>10644</v>
      </c>
      <c r="C42" s="70">
        <v>8392</v>
      </c>
      <c r="D42" s="70">
        <v>8272</v>
      </c>
      <c r="E42" s="70">
        <v>6422</v>
      </c>
      <c r="F42" s="70">
        <v>6375</v>
      </c>
      <c r="G42" s="70">
        <v>6307</v>
      </c>
      <c r="H42" s="70">
        <v>5652</v>
      </c>
      <c r="I42" s="70">
        <v>4103</v>
      </c>
      <c r="J42" s="70">
        <v>4694</v>
      </c>
      <c r="K42" s="70">
        <v>4044</v>
      </c>
      <c r="L42" s="70">
        <v>3804</v>
      </c>
    </row>
    <row r="43" spans="1:12" ht="12.75">
      <c r="A43" s="19" t="s">
        <v>161</v>
      </c>
      <c r="B43" s="70">
        <v>20578</v>
      </c>
      <c r="C43" s="70">
        <v>16434</v>
      </c>
      <c r="D43" s="70">
        <v>15722</v>
      </c>
      <c r="E43" s="70">
        <v>12401</v>
      </c>
      <c r="F43" s="70">
        <v>12363</v>
      </c>
      <c r="G43" s="70">
        <v>11921</v>
      </c>
      <c r="H43" s="70">
        <v>9511</v>
      </c>
      <c r="I43" s="70">
        <v>7318</v>
      </c>
      <c r="J43" s="70">
        <v>7021</v>
      </c>
      <c r="K43" s="70" t="s">
        <v>587</v>
      </c>
      <c r="L43" s="70" t="s">
        <v>587</v>
      </c>
    </row>
    <row r="44" spans="1:12" ht="12.75">
      <c r="A44" s="19" t="s">
        <v>162</v>
      </c>
      <c r="B44" s="70">
        <v>7538</v>
      </c>
      <c r="C44" s="70">
        <v>7086</v>
      </c>
      <c r="D44" s="70">
        <v>6844</v>
      </c>
      <c r="E44" s="70">
        <v>4864</v>
      </c>
      <c r="F44" s="70">
        <v>4111</v>
      </c>
      <c r="G44" s="70">
        <v>3988</v>
      </c>
      <c r="H44" s="70">
        <v>3965</v>
      </c>
      <c r="I44" s="70">
        <v>4457</v>
      </c>
      <c r="J44" s="70">
        <v>5105</v>
      </c>
      <c r="K44" s="70" t="s">
        <v>587</v>
      </c>
      <c r="L44" s="70" t="s">
        <v>587</v>
      </c>
    </row>
    <row r="45" spans="1:12" ht="12.75">
      <c r="A45" s="19" t="s">
        <v>163</v>
      </c>
      <c r="B45" s="70">
        <v>13771</v>
      </c>
      <c r="C45" s="70">
        <v>13931</v>
      </c>
      <c r="D45" s="70">
        <v>19226</v>
      </c>
      <c r="E45" s="70">
        <v>19718</v>
      </c>
      <c r="F45" s="70">
        <v>20876</v>
      </c>
      <c r="G45" s="70">
        <v>22806</v>
      </c>
      <c r="H45" s="70">
        <v>21230</v>
      </c>
      <c r="I45" s="70">
        <v>19060</v>
      </c>
      <c r="J45" s="70">
        <v>14250</v>
      </c>
      <c r="K45" s="70">
        <v>13963</v>
      </c>
      <c r="L45" s="70">
        <v>11950</v>
      </c>
    </row>
    <row r="46" spans="1:12" ht="12.75">
      <c r="A46" s="19" t="s">
        <v>164</v>
      </c>
      <c r="B46" s="70">
        <v>5999</v>
      </c>
      <c r="C46" s="70">
        <v>3439</v>
      </c>
      <c r="D46" s="70">
        <v>2897</v>
      </c>
      <c r="E46" s="70">
        <v>2351</v>
      </c>
      <c r="F46" s="70">
        <v>2639</v>
      </c>
      <c r="G46" s="70">
        <v>3204</v>
      </c>
      <c r="H46" s="70">
        <v>3601</v>
      </c>
      <c r="I46" s="70">
        <v>3573</v>
      </c>
      <c r="J46" s="70">
        <v>3921</v>
      </c>
      <c r="K46" s="70" t="s">
        <v>587</v>
      </c>
      <c r="L46" s="70" t="s">
        <v>587</v>
      </c>
    </row>
    <row r="47" spans="1:12" ht="12.75">
      <c r="A47" s="19" t="s">
        <v>165</v>
      </c>
      <c r="B47" s="70">
        <v>64284</v>
      </c>
      <c r="C47" s="70">
        <v>53580</v>
      </c>
      <c r="D47" s="70">
        <v>52927</v>
      </c>
      <c r="E47" s="70">
        <v>41807</v>
      </c>
      <c r="F47" s="70">
        <v>41842</v>
      </c>
      <c r="G47" s="70">
        <v>40979</v>
      </c>
      <c r="H47" s="70">
        <v>36403</v>
      </c>
      <c r="I47" s="70">
        <v>29828</v>
      </c>
      <c r="J47" s="70">
        <v>28398</v>
      </c>
      <c r="K47" s="70">
        <v>13543</v>
      </c>
      <c r="L47" s="70" t="s">
        <v>587</v>
      </c>
    </row>
    <row r="48" spans="1:12" ht="12.75">
      <c r="A48" s="19" t="s">
        <v>166</v>
      </c>
      <c r="B48" s="70">
        <v>7651</v>
      </c>
      <c r="C48" s="70">
        <v>6109</v>
      </c>
      <c r="D48" s="70">
        <v>5604</v>
      </c>
      <c r="E48" s="70">
        <v>3609</v>
      </c>
      <c r="F48" s="70">
        <v>3663</v>
      </c>
      <c r="G48" s="70">
        <v>4270</v>
      </c>
      <c r="H48" s="70">
        <v>4035</v>
      </c>
      <c r="I48" s="70">
        <v>3488</v>
      </c>
      <c r="J48" s="70">
        <v>2524</v>
      </c>
      <c r="K48" s="70" t="s">
        <v>587</v>
      </c>
      <c r="L48" s="70" t="s">
        <v>587</v>
      </c>
    </row>
    <row r="49" spans="1:12" ht="12.75">
      <c r="A49" s="19" t="s">
        <v>167</v>
      </c>
      <c r="B49" s="70">
        <v>9977</v>
      </c>
      <c r="C49" s="70">
        <v>8550</v>
      </c>
      <c r="D49" s="70">
        <v>8803</v>
      </c>
      <c r="E49" s="70">
        <v>7633</v>
      </c>
      <c r="F49" s="70">
        <v>8378</v>
      </c>
      <c r="G49" s="70">
        <v>8576</v>
      </c>
      <c r="H49" s="70">
        <v>8853</v>
      </c>
      <c r="I49" s="70">
        <v>7962</v>
      </c>
      <c r="J49" s="70">
        <v>9424</v>
      </c>
      <c r="K49" s="70">
        <v>11101</v>
      </c>
      <c r="L49" s="70">
        <v>6882</v>
      </c>
    </row>
  </sheetData>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L62"/>
  <sheetViews>
    <sheetView workbookViewId="0" topLeftCell="A1">
      <selection activeCell="A2" sqref="A2"/>
    </sheetView>
  </sheetViews>
  <sheetFormatPr defaultColWidth="9.140625" defaultRowHeight="12.75"/>
  <cols>
    <col min="1" max="1" width="21.140625" style="0" customWidth="1"/>
    <col min="2" max="3" width="12.8515625" style="0" bestFit="1" customWidth="1"/>
    <col min="4" max="12" width="11.28125" style="0" bestFit="1" customWidth="1"/>
  </cols>
  <sheetData>
    <row r="1" ht="12.75">
      <c r="A1" s="9" t="s">
        <v>590</v>
      </c>
    </row>
    <row r="2" ht="13.5" thickBot="1"/>
    <row r="3" spans="1:12" ht="13.5" thickBot="1">
      <c r="A3" s="394" t="s">
        <v>586</v>
      </c>
      <c r="B3" s="395">
        <v>2000</v>
      </c>
      <c r="C3" s="395">
        <v>1990</v>
      </c>
      <c r="D3" s="395">
        <v>1980</v>
      </c>
      <c r="E3" s="395">
        <v>1970</v>
      </c>
      <c r="F3" s="395">
        <v>1960</v>
      </c>
      <c r="G3" s="395">
        <v>1950</v>
      </c>
      <c r="H3" s="395">
        <v>1940</v>
      </c>
      <c r="I3" s="395">
        <v>1930</v>
      </c>
      <c r="J3" s="395">
        <v>1920</v>
      </c>
      <c r="K3" s="396">
        <v>1910</v>
      </c>
      <c r="L3" s="396">
        <v>1900</v>
      </c>
    </row>
    <row r="4" spans="1:12" ht="13.5" thickBot="1">
      <c r="A4" s="241"/>
      <c r="B4" s="241"/>
      <c r="C4" s="241"/>
      <c r="D4" s="241"/>
      <c r="E4" s="241"/>
      <c r="F4" s="241"/>
      <c r="G4" s="241"/>
      <c r="H4" s="241"/>
      <c r="I4" s="241"/>
      <c r="J4" s="241"/>
      <c r="K4" s="241"/>
      <c r="L4" s="241"/>
    </row>
    <row r="5" spans="1:12" ht="13.5" thickBot="1">
      <c r="A5" s="397" t="s">
        <v>40</v>
      </c>
      <c r="B5" s="398">
        <v>902195</v>
      </c>
      <c r="C5" s="398">
        <v>799065</v>
      </c>
      <c r="D5" s="398">
        <v>786690</v>
      </c>
      <c r="E5" s="398">
        <v>694409</v>
      </c>
      <c r="F5" s="398">
        <v>674767</v>
      </c>
      <c r="G5" s="398">
        <v>591024</v>
      </c>
      <c r="H5" s="398">
        <v>559456</v>
      </c>
      <c r="I5" s="398">
        <v>537606</v>
      </c>
      <c r="J5" s="398">
        <v>548889</v>
      </c>
      <c r="K5" s="399">
        <v>376053</v>
      </c>
      <c r="L5" s="399">
        <v>243329</v>
      </c>
    </row>
    <row r="6" spans="1:12" ht="12.75">
      <c r="A6" s="19" t="s">
        <v>168</v>
      </c>
      <c r="B6" s="70">
        <v>9202</v>
      </c>
      <c r="C6" s="70">
        <v>8424</v>
      </c>
      <c r="D6" s="70">
        <v>8186</v>
      </c>
      <c r="E6" s="70">
        <v>8187</v>
      </c>
      <c r="F6" s="70">
        <v>7194</v>
      </c>
      <c r="G6" s="70">
        <v>6671</v>
      </c>
      <c r="H6" s="70">
        <v>6943</v>
      </c>
      <c r="I6" s="70">
        <v>6654</v>
      </c>
      <c r="J6" s="70">
        <v>7369</v>
      </c>
      <c r="K6" s="70">
        <v>6446</v>
      </c>
      <c r="L6" s="70">
        <v>5615</v>
      </c>
    </row>
    <row r="7" spans="1:12" ht="12.75">
      <c r="A7" s="19" t="s">
        <v>169</v>
      </c>
      <c r="B7" s="70">
        <v>12671</v>
      </c>
      <c r="C7" s="70">
        <v>11337</v>
      </c>
      <c r="D7" s="70">
        <v>11096</v>
      </c>
      <c r="E7" s="70">
        <v>10057</v>
      </c>
      <c r="F7" s="70">
        <v>10007</v>
      </c>
      <c r="G7" s="70">
        <v>9824</v>
      </c>
      <c r="H7" s="70">
        <v>10419</v>
      </c>
      <c r="I7" s="70">
        <v>8543</v>
      </c>
      <c r="J7" s="70">
        <v>7015</v>
      </c>
      <c r="K7" s="70" t="s">
        <v>587</v>
      </c>
      <c r="L7" s="70" t="s">
        <v>587</v>
      </c>
    </row>
    <row r="8" spans="1:12" ht="12.75">
      <c r="A8" s="19" t="s">
        <v>130</v>
      </c>
      <c r="B8" s="70">
        <v>7009</v>
      </c>
      <c r="C8" s="70">
        <v>6728</v>
      </c>
      <c r="D8" s="70">
        <v>6999</v>
      </c>
      <c r="E8" s="70">
        <v>6727</v>
      </c>
      <c r="F8" s="70">
        <v>8091</v>
      </c>
      <c r="G8" s="70">
        <v>8516</v>
      </c>
      <c r="H8" s="70">
        <v>9566</v>
      </c>
      <c r="I8" s="70">
        <v>9006</v>
      </c>
      <c r="J8" s="70">
        <v>9057</v>
      </c>
      <c r="K8" s="70" t="s">
        <v>587</v>
      </c>
      <c r="L8" s="70" t="s">
        <v>587</v>
      </c>
    </row>
    <row r="9" spans="1:12" ht="12.75">
      <c r="A9" s="19" t="s">
        <v>170</v>
      </c>
      <c r="B9" s="70">
        <v>4385</v>
      </c>
      <c r="C9" s="70">
        <v>3318</v>
      </c>
      <c r="D9" s="70">
        <v>3267</v>
      </c>
      <c r="E9" s="70">
        <v>2526</v>
      </c>
      <c r="F9" s="70">
        <v>2804</v>
      </c>
      <c r="G9" s="70">
        <v>2922</v>
      </c>
      <c r="H9" s="70">
        <v>3451</v>
      </c>
      <c r="I9" s="70">
        <v>2738</v>
      </c>
      <c r="J9" s="70">
        <v>3239</v>
      </c>
      <c r="K9" s="70">
        <v>3491</v>
      </c>
      <c r="L9" s="70">
        <v>2641</v>
      </c>
    </row>
    <row r="10" spans="1:12" ht="12.75">
      <c r="A10" s="19" t="s">
        <v>171</v>
      </c>
      <c r="B10" s="70">
        <v>9552</v>
      </c>
      <c r="C10" s="70">
        <v>8080</v>
      </c>
      <c r="D10" s="70">
        <v>8099</v>
      </c>
      <c r="E10" s="70">
        <v>7080</v>
      </c>
      <c r="F10" s="70">
        <v>8317</v>
      </c>
      <c r="G10" s="70">
        <v>10241</v>
      </c>
      <c r="H10" s="70">
        <v>11865</v>
      </c>
      <c r="I10" s="70">
        <v>12571</v>
      </c>
      <c r="J10" s="70">
        <v>15279</v>
      </c>
      <c r="K10" s="70">
        <v>13962</v>
      </c>
      <c r="L10" s="70">
        <v>7533</v>
      </c>
    </row>
    <row r="11" spans="1:12" ht="12.75">
      <c r="A11" s="19" t="s">
        <v>172</v>
      </c>
      <c r="B11" s="70">
        <v>1360</v>
      </c>
      <c r="C11" s="70">
        <v>1503</v>
      </c>
      <c r="D11" s="70">
        <v>1799</v>
      </c>
      <c r="E11" s="70">
        <v>1956</v>
      </c>
      <c r="F11" s="70">
        <v>2493</v>
      </c>
      <c r="G11" s="70">
        <v>2798</v>
      </c>
      <c r="H11" s="70">
        <v>3280</v>
      </c>
      <c r="I11" s="70">
        <v>4136</v>
      </c>
      <c r="J11" s="70">
        <v>3972</v>
      </c>
      <c r="K11" s="70" t="s">
        <v>587</v>
      </c>
      <c r="L11" s="70" t="s">
        <v>587</v>
      </c>
    </row>
    <row r="12" spans="1:12" ht="12.75">
      <c r="A12" s="19" t="s">
        <v>173</v>
      </c>
      <c r="B12" s="70">
        <v>80357</v>
      </c>
      <c r="C12" s="70">
        <v>77691</v>
      </c>
      <c r="D12" s="70">
        <v>80696</v>
      </c>
      <c r="E12" s="70">
        <v>81804</v>
      </c>
      <c r="F12" s="70">
        <v>73418</v>
      </c>
      <c r="G12" s="70">
        <v>53027</v>
      </c>
      <c r="H12" s="70">
        <v>41999</v>
      </c>
      <c r="I12" s="70">
        <v>41146</v>
      </c>
      <c r="J12" s="70">
        <v>38836</v>
      </c>
      <c r="K12" s="70">
        <v>28833</v>
      </c>
      <c r="L12" s="70">
        <v>25777</v>
      </c>
    </row>
    <row r="13" spans="1:12" ht="12.75">
      <c r="A13" s="19" t="s">
        <v>174</v>
      </c>
      <c r="B13" s="70">
        <v>5970</v>
      </c>
      <c r="C13" s="70">
        <v>5452</v>
      </c>
      <c r="D13" s="70">
        <v>6092</v>
      </c>
      <c r="E13" s="70">
        <v>6473</v>
      </c>
      <c r="F13" s="70">
        <v>7348</v>
      </c>
      <c r="G13" s="70">
        <v>6974</v>
      </c>
      <c r="H13" s="70">
        <v>7316</v>
      </c>
      <c r="I13" s="70">
        <v>8635</v>
      </c>
      <c r="J13" s="70">
        <v>11051</v>
      </c>
      <c r="K13" s="70">
        <v>17191</v>
      </c>
      <c r="L13" s="70">
        <v>10966</v>
      </c>
    </row>
    <row r="14" spans="1:12" ht="12.75">
      <c r="A14" s="19" t="s">
        <v>142</v>
      </c>
      <c r="B14" s="70">
        <v>11696</v>
      </c>
      <c r="C14" s="70">
        <v>11697</v>
      </c>
      <c r="D14" s="70">
        <v>13109</v>
      </c>
      <c r="E14" s="70">
        <v>12174</v>
      </c>
      <c r="F14" s="70">
        <v>13227</v>
      </c>
      <c r="G14" s="70">
        <v>12661</v>
      </c>
      <c r="H14" s="70">
        <v>10422</v>
      </c>
      <c r="I14" s="70">
        <v>11242</v>
      </c>
      <c r="J14" s="70">
        <v>12194</v>
      </c>
      <c r="K14" s="70">
        <v>14123</v>
      </c>
      <c r="L14" s="70">
        <v>7891</v>
      </c>
    </row>
    <row r="15" spans="1:12" ht="12.75">
      <c r="A15" s="19" t="s">
        <v>175</v>
      </c>
      <c r="B15" s="70">
        <v>2017</v>
      </c>
      <c r="C15" s="70">
        <v>2266</v>
      </c>
      <c r="D15" s="70">
        <v>2835</v>
      </c>
      <c r="E15" s="70">
        <v>3083</v>
      </c>
      <c r="F15" s="70">
        <v>3755</v>
      </c>
      <c r="G15" s="70">
        <v>3946</v>
      </c>
      <c r="H15" s="70">
        <v>4563</v>
      </c>
      <c r="I15" s="70">
        <v>5553</v>
      </c>
      <c r="J15" s="70" t="s">
        <v>587</v>
      </c>
      <c r="K15" s="70" t="s">
        <v>587</v>
      </c>
      <c r="L15" s="70" t="s">
        <v>587</v>
      </c>
    </row>
    <row r="16" spans="1:12" ht="12.75">
      <c r="A16" s="19" t="s">
        <v>176</v>
      </c>
      <c r="B16" s="70">
        <v>9059</v>
      </c>
      <c r="C16" s="70">
        <v>9505</v>
      </c>
      <c r="D16" s="70">
        <v>11805</v>
      </c>
      <c r="E16" s="70">
        <v>11269</v>
      </c>
      <c r="F16" s="70">
        <v>12314</v>
      </c>
      <c r="G16" s="70">
        <v>9092</v>
      </c>
      <c r="H16" s="70">
        <v>8618</v>
      </c>
      <c r="I16" s="70">
        <v>9881</v>
      </c>
      <c r="J16" s="70">
        <v>9239</v>
      </c>
      <c r="K16" s="70">
        <v>12725</v>
      </c>
      <c r="L16" s="70">
        <v>2443</v>
      </c>
    </row>
    <row r="17" spans="1:12" ht="12.75">
      <c r="A17" s="19" t="s">
        <v>177</v>
      </c>
      <c r="B17" s="70">
        <v>9417</v>
      </c>
      <c r="C17" s="70">
        <v>10278</v>
      </c>
      <c r="D17" s="70">
        <v>12518</v>
      </c>
      <c r="E17" s="70">
        <v>15652</v>
      </c>
      <c r="F17" s="70">
        <v>18640</v>
      </c>
      <c r="G17" s="70">
        <v>16553</v>
      </c>
      <c r="H17" s="70">
        <v>13627</v>
      </c>
      <c r="I17" s="70">
        <v>16293</v>
      </c>
      <c r="J17" s="70">
        <v>15323</v>
      </c>
      <c r="K17" s="70">
        <v>12988</v>
      </c>
      <c r="L17" s="70">
        <v>17393</v>
      </c>
    </row>
    <row r="18" spans="1:12" ht="12.75">
      <c r="A18" s="19" t="s">
        <v>178</v>
      </c>
      <c r="B18" s="70">
        <v>2837</v>
      </c>
      <c r="C18" s="70">
        <v>3103</v>
      </c>
      <c r="D18" s="70">
        <v>3763</v>
      </c>
      <c r="E18" s="70">
        <v>4050</v>
      </c>
      <c r="F18" s="70">
        <v>3997</v>
      </c>
      <c r="G18" s="70">
        <v>3660</v>
      </c>
      <c r="H18" s="70">
        <v>3719</v>
      </c>
      <c r="I18" s="70">
        <v>4568</v>
      </c>
      <c r="J18" s="70">
        <v>4548</v>
      </c>
      <c r="K18" s="70" t="s">
        <v>587</v>
      </c>
      <c r="L18" s="70" t="s">
        <v>587</v>
      </c>
    </row>
    <row r="19" spans="1:12" ht="12.75">
      <c r="A19" s="19" t="s">
        <v>179</v>
      </c>
      <c r="B19" s="70">
        <v>11893</v>
      </c>
      <c r="C19" s="70">
        <v>12083</v>
      </c>
      <c r="D19" s="70">
        <v>13076</v>
      </c>
      <c r="E19" s="70">
        <v>12611</v>
      </c>
      <c r="F19" s="70">
        <v>14018</v>
      </c>
      <c r="G19" s="70">
        <v>14015</v>
      </c>
      <c r="H19" s="70">
        <v>14040</v>
      </c>
      <c r="I19" s="70">
        <v>16531</v>
      </c>
      <c r="J19" s="70">
        <v>28344</v>
      </c>
      <c r="K19" s="70">
        <v>17385</v>
      </c>
      <c r="L19" s="70">
        <v>6937</v>
      </c>
    </row>
    <row r="20" spans="1:12" ht="12.75">
      <c r="A20" s="19" t="s">
        <v>180</v>
      </c>
      <c r="B20" s="70">
        <v>74471</v>
      </c>
      <c r="C20" s="70">
        <v>59218</v>
      </c>
      <c r="D20" s="70">
        <v>51966</v>
      </c>
      <c r="E20" s="70">
        <v>39460</v>
      </c>
      <c r="F20" s="70">
        <v>32965</v>
      </c>
      <c r="G20" s="70">
        <v>31495</v>
      </c>
      <c r="H20" s="70">
        <v>24271</v>
      </c>
      <c r="I20" s="70">
        <v>19200</v>
      </c>
      <c r="J20" s="70">
        <v>21705</v>
      </c>
      <c r="K20" s="70">
        <v>18785</v>
      </c>
      <c r="L20" s="70">
        <v>9375</v>
      </c>
    </row>
    <row r="21" spans="1:12" ht="12.75">
      <c r="A21" s="19" t="s">
        <v>181</v>
      </c>
      <c r="B21" s="70">
        <v>67831</v>
      </c>
      <c r="C21" s="70">
        <v>50463</v>
      </c>
      <c r="D21" s="70">
        <v>42865</v>
      </c>
      <c r="E21" s="70">
        <v>32505</v>
      </c>
      <c r="F21" s="70">
        <v>26045</v>
      </c>
      <c r="G21" s="70">
        <v>21902</v>
      </c>
      <c r="H21" s="70">
        <v>18269</v>
      </c>
      <c r="I21" s="70">
        <v>16124</v>
      </c>
      <c r="J21" s="70">
        <v>15864</v>
      </c>
      <c r="K21" s="70">
        <v>14079</v>
      </c>
      <c r="L21" s="70">
        <v>9553</v>
      </c>
    </row>
    <row r="22" spans="1:12" ht="12.75">
      <c r="A22" s="19" t="s">
        <v>182</v>
      </c>
      <c r="B22" s="70">
        <v>1279</v>
      </c>
      <c r="C22" s="70">
        <v>1589</v>
      </c>
      <c r="D22" s="70">
        <v>1656</v>
      </c>
      <c r="E22" s="70">
        <v>1796</v>
      </c>
      <c r="F22" s="70">
        <v>1981</v>
      </c>
      <c r="G22" s="70">
        <v>2172</v>
      </c>
      <c r="H22" s="70">
        <v>2641</v>
      </c>
      <c r="I22" s="70">
        <v>4252</v>
      </c>
      <c r="J22" s="70">
        <v>5368</v>
      </c>
      <c r="K22" s="70" t="s">
        <v>587</v>
      </c>
      <c r="L22" s="70" t="s">
        <v>587</v>
      </c>
    </row>
    <row r="23" spans="1:12" ht="12.75">
      <c r="A23" s="19" t="s">
        <v>183</v>
      </c>
      <c r="B23" s="70">
        <v>13247</v>
      </c>
      <c r="C23" s="70">
        <v>12121</v>
      </c>
      <c r="D23" s="70">
        <v>10628</v>
      </c>
      <c r="E23" s="70">
        <v>10783</v>
      </c>
      <c r="F23" s="70">
        <v>11565</v>
      </c>
      <c r="G23" s="70">
        <v>9645</v>
      </c>
      <c r="H23" s="70">
        <v>9034</v>
      </c>
      <c r="I23" s="70">
        <v>5297</v>
      </c>
      <c r="J23" s="70">
        <v>4178</v>
      </c>
      <c r="K23" s="70" t="s">
        <v>587</v>
      </c>
      <c r="L23" s="70" t="s">
        <v>587</v>
      </c>
    </row>
    <row r="24" spans="1:12" ht="12.75">
      <c r="A24" s="19" t="s">
        <v>184</v>
      </c>
      <c r="B24" s="70">
        <v>1042</v>
      </c>
      <c r="C24" s="70">
        <v>912</v>
      </c>
      <c r="D24" s="70">
        <v>1026</v>
      </c>
      <c r="E24" s="70">
        <v>931</v>
      </c>
      <c r="F24" s="70">
        <v>1203</v>
      </c>
      <c r="G24" s="70">
        <v>1337</v>
      </c>
      <c r="H24" s="70">
        <v>1607</v>
      </c>
      <c r="I24" s="70">
        <v>2126</v>
      </c>
      <c r="J24" s="70" t="s">
        <v>587</v>
      </c>
      <c r="K24" s="70" t="s">
        <v>587</v>
      </c>
      <c r="L24" s="70" t="s">
        <v>587</v>
      </c>
    </row>
    <row r="25" spans="1:12" ht="12.75">
      <c r="A25" s="19" t="s">
        <v>185</v>
      </c>
      <c r="B25" s="70">
        <v>2830</v>
      </c>
      <c r="C25" s="70">
        <v>2548</v>
      </c>
      <c r="D25" s="70">
        <v>2700</v>
      </c>
      <c r="E25" s="70">
        <v>2737</v>
      </c>
      <c r="F25" s="70">
        <v>3014</v>
      </c>
      <c r="G25" s="70">
        <v>2773</v>
      </c>
      <c r="H25" s="70">
        <v>3401</v>
      </c>
      <c r="I25" s="70">
        <v>3013</v>
      </c>
      <c r="J25" s="70">
        <v>4167</v>
      </c>
      <c r="K25" s="70">
        <v>2942</v>
      </c>
      <c r="L25" s="70">
        <v>4328</v>
      </c>
    </row>
    <row r="26" spans="1:12" ht="12.75">
      <c r="A26" s="19" t="s">
        <v>186</v>
      </c>
      <c r="B26" s="70">
        <v>16673</v>
      </c>
      <c r="C26" s="70">
        <v>17654</v>
      </c>
      <c r="D26" s="70">
        <v>17985</v>
      </c>
      <c r="E26" s="70">
        <v>17358</v>
      </c>
      <c r="F26" s="70">
        <v>18653</v>
      </c>
      <c r="G26" s="70">
        <v>14285</v>
      </c>
      <c r="H26" s="70">
        <v>13304</v>
      </c>
      <c r="I26" s="70">
        <v>13775</v>
      </c>
      <c r="J26" s="70">
        <v>13958</v>
      </c>
      <c r="K26" s="70" t="s">
        <v>587</v>
      </c>
      <c r="L26" s="70" t="s">
        <v>587</v>
      </c>
    </row>
    <row r="27" spans="1:12" ht="12.75">
      <c r="A27" s="19" t="s">
        <v>149</v>
      </c>
      <c r="B27" s="70">
        <v>10049</v>
      </c>
      <c r="C27" s="70">
        <v>7939</v>
      </c>
      <c r="D27" s="70">
        <v>7029</v>
      </c>
      <c r="E27" s="70">
        <v>5238</v>
      </c>
      <c r="F27" s="70">
        <v>4297</v>
      </c>
      <c r="G27" s="70">
        <v>4014</v>
      </c>
      <c r="H27" s="70">
        <v>4664</v>
      </c>
      <c r="I27" s="70">
        <v>4133</v>
      </c>
      <c r="J27" s="70">
        <v>5203</v>
      </c>
      <c r="K27" s="70">
        <v>5601</v>
      </c>
      <c r="L27" s="70">
        <v>5330</v>
      </c>
    </row>
    <row r="28" spans="1:12" ht="12.75">
      <c r="A28" s="19" t="s">
        <v>187</v>
      </c>
      <c r="B28" s="70">
        <v>2329</v>
      </c>
      <c r="C28" s="70">
        <v>2282</v>
      </c>
      <c r="D28" s="70">
        <v>2646</v>
      </c>
      <c r="E28" s="70">
        <v>2667</v>
      </c>
      <c r="F28" s="70">
        <v>3085</v>
      </c>
      <c r="G28" s="70">
        <v>3200</v>
      </c>
      <c r="H28" s="70">
        <v>3655</v>
      </c>
      <c r="I28" s="70">
        <v>5238</v>
      </c>
      <c r="J28" s="70" t="s">
        <v>587</v>
      </c>
      <c r="K28" s="70" t="s">
        <v>587</v>
      </c>
      <c r="L28" s="70" t="s">
        <v>587</v>
      </c>
    </row>
    <row r="29" spans="1:12" ht="12.75">
      <c r="A29" s="19" t="s">
        <v>188</v>
      </c>
      <c r="B29" s="70">
        <v>26507</v>
      </c>
      <c r="C29" s="70">
        <v>21041</v>
      </c>
      <c r="D29" s="70">
        <v>19056</v>
      </c>
      <c r="E29" s="70">
        <v>14445</v>
      </c>
      <c r="F29" s="70">
        <v>13104</v>
      </c>
      <c r="G29" s="70">
        <v>13835</v>
      </c>
      <c r="H29" s="70">
        <v>13490</v>
      </c>
      <c r="I29" s="70">
        <v>9541</v>
      </c>
      <c r="J29" s="70" t="s">
        <v>587</v>
      </c>
      <c r="K29" s="70" t="s">
        <v>587</v>
      </c>
      <c r="L29" s="70" t="s">
        <v>587</v>
      </c>
    </row>
    <row r="30" spans="1:12" ht="12.75">
      <c r="A30" s="19" t="s">
        <v>189</v>
      </c>
      <c r="B30" s="70">
        <v>55716</v>
      </c>
      <c r="C30" s="70">
        <v>47495</v>
      </c>
      <c r="D30" s="70">
        <v>43039</v>
      </c>
      <c r="E30" s="70">
        <v>33281</v>
      </c>
      <c r="F30" s="70">
        <v>28006</v>
      </c>
      <c r="G30" s="70">
        <v>24540</v>
      </c>
      <c r="H30" s="70">
        <v>22131</v>
      </c>
      <c r="I30" s="70">
        <v>18224</v>
      </c>
      <c r="J30" s="70">
        <v>18660</v>
      </c>
      <c r="K30" s="70">
        <v>21853</v>
      </c>
      <c r="L30" s="70">
        <v>19171</v>
      </c>
    </row>
    <row r="31" spans="1:12" ht="12.75">
      <c r="A31" s="19" t="s">
        <v>190</v>
      </c>
      <c r="B31" s="70">
        <v>2158</v>
      </c>
      <c r="C31" s="70">
        <v>2295</v>
      </c>
      <c r="D31" s="70">
        <v>2329</v>
      </c>
      <c r="E31" s="70">
        <v>2359</v>
      </c>
      <c r="F31" s="70">
        <v>2624</v>
      </c>
      <c r="G31" s="70">
        <v>2180</v>
      </c>
      <c r="H31" s="70">
        <v>2209</v>
      </c>
      <c r="I31" s="70">
        <v>2198</v>
      </c>
      <c r="J31" s="70">
        <v>2416</v>
      </c>
      <c r="K31" s="70" t="s">
        <v>587</v>
      </c>
      <c r="L31" s="70" t="s">
        <v>587</v>
      </c>
    </row>
    <row r="32" spans="1:12" ht="12.75">
      <c r="A32" s="19" t="s">
        <v>155</v>
      </c>
      <c r="B32" s="70">
        <v>18837</v>
      </c>
      <c r="C32" s="70">
        <v>17481</v>
      </c>
      <c r="D32" s="70">
        <v>17752</v>
      </c>
      <c r="E32" s="70">
        <v>18063</v>
      </c>
      <c r="F32" s="70">
        <v>12537</v>
      </c>
      <c r="G32" s="70">
        <v>8693</v>
      </c>
      <c r="H32" s="70">
        <v>7882</v>
      </c>
      <c r="I32" s="70">
        <v>7089</v>
      </c>
      <c r="J32" s="70">
        <v>7797</v>
      </c>
      <c r="K32" s="70">
        <v>3638</v>
      </c>
      <c r="L32" s="70" t="s">
        <v>587</v>
      </c>
    </row>
    <row r="33" spans="1:12" ht="12.75">
      <c r="A33" s="19" t="s">
        <v>191</v>
      </c>
      <c r="B33" s="70">
        <v>1977</v>
      </c>
      <c r="C33" s="70">
        <v>2276</v>
      </c>
      <c r="D33" s="70">
        <v>2702</v>
      </c>
      <c r="E33" s="70">
        <v>2875</v>
      </c>
      <c r="F33" s="70">
        <v>3321</v>
      </c>
      <c r="G33" s="70">
        <v>3258</v>
      </c>
      <c r="H33" s="70">
        <v>3798</v>
      </c>
      <c r="I33" s="70">
        <v>4790</v>
      </c>
      <c r="J33" s="70">
        <v>4747</v>
      </c>
      <c r="K33" s="70" t="s">
        <v>587</v>
      </c>
      <c r="L33" s="70" t="s">
        <v>587</v>
      </c>
    </row>
    <row r="34" spans="1:12" ht="12.75">
      <c r="A34" s="19" t="s">
        <v>156</v>
      </c>
      <c r="B34" s="70">
        <v>6851</v>
      </c>
      <c r="C34" s="70">
        <v>5989</v>
      </c>
      <c r="D34" s="70">
        <v>5448</v>
      </c>
      <c r="E34" s="70">
        <v>5014</v>
      </c>
      <c r="F34" s="70">
        <v>5211</v>
      </c>
      <c r="G34" s="70">
        <v>5998</v>
      </c>
      <c r="H34" s="70">
        <v>7294</v>
      </c>
      <c r="I34" s="70">
        <v>6323</v>
      </c>
      <c r="J34" s="70">
        <v>7495</v>
      </c>
      <c r="K34" s="70">
        <v>7229</v>
      </c>
      <c r="L34" s="70">
        <v>7695</v>
      </c>
    </row>
    <row r="35" spans="1:12" ht="12.75">
      <c r="A35" s="19" t="s">
        <v>192</v>
      </c>
      <c r="B35" s="70">
        <v>1932</v>
      </c>
      <c r="C35" s="70">
        <v>1819</v>
      </c>
      <c r="D35" s="70">
        <v>2154</v>
      </c>
      <c r="E35" s="70">
        <v>2122</v>
      </c>
      <c r="F35" s="70">
        <v>2616</v>
      </c>
      <c r="G35" s="70">
        <v>2079</v>
      </c>
      <c r="H35" s="70">
        <v>2237</v>
      </c>
      <c r="I35" s="70">
        <v>2272</v>
      </c>
      <c r="J35" s="70">
        <v>2622</v>
      </c>
      <c r="K35" s="70">
        <v>4190</v>
      </c>
      <c r="L35" s="70">
        <v>2526</v>
      </c>
    </row>
    <row r="36" spans="1:12" ht="12.75">
      <c r="A36" s="19" t="s">
        <v>193</v>
      </c>
      <c r="B36" s="70">
        <v>3884</v>
      </c>
      <c r="C36" s="70">
        <v>3315</v>
      </c>
      <c r="D36" s="70">
        <v>3675</v>
      </c>
      <c r="E36" s="70">
        <v>2958</v>
      </c>
      <c r="F36" s="70">
        <v>3037</v>
      </c>
      <c r="G36" s="70">
        <v>2081</v>
      </c>
      <c r="H36" s="70">
        <v>2135</v>
      </c>
      <c r="I36" s="70">
        <v>1626</v>
      </c>
      <c r="J36" s="70">
        <v>2327</v>
      </c>
      <c r="K36" s="70" t="s">
        <v>587</v>
      </c>
      <c r="L36" s="70" t="s">
        <v>587</v>
      </c>
    </row>
    <row r="37" spans="1:12" ht="12.75">
      <c r="A37" s="19" t="s">
        <v>194</v>
      </c>
      <c r="B37" s="70">
        <v>95802</v>
      </c>
      <c r="C37" s="70">
        <v>78687</v>
      </c>
      <c r="D37" s="70">
        <v>76016</v>
      </c>
      <c r="E37" s="70">
        <v>58263</v>
      </c>
      <c r="F37" s="70">
        <v>44663</v>
      </c>
      <c r="G37" s="70">
        <v>35493</v>
      </c>
      <c r="H37" s="70">
        <v>29038</v>
      </c>
      <c r="I37" s="70">
        <v>21782</v>
      </c>
      <c r="J37" s="70">
        <v>24041</v>
      </c>
      <c r="K37" s="70">
        <v>23596</v>
      </c>
      <c r="L37" s="70">
        <v>13964</v>
      </c>
    </row>
    <row r="38" spans="1:12" ht="12.75">
      <c r="A38" s="19" t="s">
        <v>195</v>
      </c>
      <c r="B38" s="70">
        <v>4497</v>
      </c>
      <c r="C38" s="70">
        <v>4106</v>
      </c>
      <c r="D38" s="70">
        <v>4428</v>
      </c>
      <c r="E38" s="70">
        <v>3734</v>
      </c>
      <c r="F38" s="70">
        <v>4888</v>
      </c>
      <c r="G38" s="70">
        <v>5408</v>
      </c>
      <c r="H38" s="70">
        <v>5717</v>
      </c>
      <c r="I38" s="70">
        <v>7242</v>
      </c>
      <c r="J38" s="70">
        <v>12030</v>
      </c>
      <c r="K38" s="70" t="s">
        <v>587</v>
      </c>
      <c r="L38" s="70" t="s">
        <v>587</v>
      </c>
    </row>
    <row r="39" spans="1:12" ht="12.75">
      <c r="A39" s="19" t="s">
        <v>196</v>
      </c>
      <c r="B39" s="70">
        <v>15694</v>
      </c>
      <c r="C39" s="70">
        <v>14562</v>
      </c>
      <c r="D39" s="70">
        <v>12869</v>
      </c>
      <c r="E39" s="70">
        <v>11197</v>
      </c>
      <c r="F39" s="70">
        <v>13168</v>
      </c>
      <c r="G39" s="70">
        <v>11999</v>
      </c>
      <c r="H39" s="70">
        <v>11566</v>
      </c>
      <c r="I39" s="70">
        <v>10922</v>
      </c>
      <c r="J39" s="70">
        <v>11330</v>
      </c>
      <c r="K39" s="70">
        <v>10731</v>
      </c>
      <c r="L39" s="70">
        <v>7341</v>
      </c>
    </row>
    <row r="40" spans="1:12" ht="12.75">
      <c r="A40" s="19" t="s">
        <v>197</v>
      </c>
      <c r="B40" s="70">
        <v>493</v>
      </c>
      <c r="C40" s="70">
        <v>519</v>
      </c>
      <c r="D40" s="70">
        <v>655</v>
      </c>
      <c r="E40" s="70">
        <v>675</v>
      </c>
      <c r="F40" s="70">
        <v>894</v>
      </c>
      <c r="G40" s="70">
        <v>1026</v>
      </c>
      <c r="H40" s="70">
        <v>1083</v>
      </c>
      <c r="I40" s="70">
        <v>2045</v>
      </c>
      <c r="J40" s="70" t="s">
        <v>587</v>
      </c>
      <c r="K40" s="70" t="s">
        <v>587</v>
      </c>
      <c r="L40" s="70" t="s">
        <v>587</v>
      </c>
    </row>
    <row r="41" spans="1:12" ht="12.75">
      <c r="A41" s="19" t="s">
        <v>198</v>
      </c>
      <c r="B41" s="70">
        <v>4601</v>
      </c>
      <c r="C41" s="70">
        <v>5163</v>
      </c>
      <c r="D41" s="70">
        <v>5367</v>
      </c>
      <c r="E41" s="70">
        <v>5386</v>
      </c>
      <c r="F41" s="70">
        <v>6027</v>
      </c>
      <c r="G41" s="70">
        <v>6334</v>
      </c>
      <c r="H41" s="70">
        <v>7892</v>
      </c>
      <c r="I41" s="70">
        <v>8208</v>
      </c>
      <c r="J41" s="70">
        <v>9311</v>
      </c>
      <c r="K41" s="70" t="s">
        <v>587</v>
      </c>
      <c r="L41" s="70" t="s">
        <v>587</v>
      </c>
    </row>
    <row r="42" spans="1:12" ht="12.75">
      <c r="A42" s="19" t="s">
        <v>199</v>
      </c>
      <c r="B42" s="70">
        <v>6424</v>
      </c>
      <c r="C42" s="70">
        <v>6433</v>
      </c>
      <c r="D42" s="70">
        <v>6731</v>
      </c>
      <c r="E42" s="70">
        <v>6611</v>
      </c>
      <c r="F42" s="70">
        <v>7653</v>
      </c>
      <c r="G42" s="70">
        <v>6392</v>
      </c>
      <c r="H42" s="70">
        <v>6716</v>
      </c>
      <c r="I42" s="70">
        <v>6964</v>
      </c>
      <c r="J42" s="70">
        <v>5741</v>
      </c>
      <c r="K42" s="70" t="s">
        <v>587</v>
      </c>
      <c r="L42" s="70" t="s">
        <v>587</v>
      </c>
    </row>
    <row r="43" spans="1:12" ht="12.75">
      <c r="A43" s="19" t="s">
        <v>200</v>
      </c>
      <c r="B43" s="70">
        <v>1858</v>
      </c>
      <c r="C43" s="70">
        <v>2090</v>
      </c>
      <c r="D43" s="70">
        <v>2520</v>
      </c>
      <c r="E43" s="70">
        <v>2862</v>
      </c>
      <c r="F43" s="70">
        <v>2485</v>
      </c>
      <c r="G43" s="70">
        <v>2693</v>
      </c>
      <c r="H43" s="70">
        <v>3159</v>
      </c>
      <c r="I43" s="70">
        <v>3909</v>
      </c>
      <c r="J43" s="70">
        <v>3357</v>
      </c>
      <c r="K43" s="70" t="s">
        <v>587</v>
      </c>
      <c r="L43" s="70" t="s">
        <v>587</v>
      </c>
    </row>
    <row r="44" spans="1:12" ht="12.75">
      <c r="A44" s="19" t="s">
        <v>201</v>
      </c>
      <c r="B44" s="70">
        <v>7180</v>
      </c>
      <c r="C44" s="70">
        <v>6620</v>
      </c>
      <c r="D44" s="70">
        <v>6958</v>
      </c>
      <c r="E44" s="70">
        <v>6660</v>
      </c>
      <c r="F44" s="70">
        <v>7002</v>
      </c>
      <c r="G44" s="70">
        <v>6301</v>
      </c>
      <c r="H44" s="70">
        <v>6152</v>
      </c>
      <c r="I44" s="70">
        <v>6202</v>
      </c>
      <c r="J44" s="70">
        <v>6909</v>
      </c>
      <c r="K44" s="70">
        <v>5904</v>
      </c>
      <c r="L44" s="70" t="s">
        <v>587</v>
      </c>
    </row>
    <row r="45" spans="1:12" ht="12.75">
      <c r="A45" s="19" t="s">
        <v>202</v>
      </c>
      <c r="B45" s="70">
        <v>1199</v>
      </c>
      <c r="C45" s="70">
        <v>1383</v>
      </c>
      <c r="D45" s="70">
        <v>1836</v>
      </c>
      <c r="E45" s="70">
        <v>1752</v>
      </c>
      <c r="F45" s="70">
        <v>2318</v>
      </c>
      <c r="G45" s="70">
        <v>2377</v>
      </c>
      <c r="H45" s="70">
        <v>2410</v>
      </c>
      <c r="I45" s="70">
        <v>3941</v>
      </c>
      <c r="J45" s="70">
        <v>3684</v>
      </c>
      <c r="K45" s="70" t="s">
        <v>587</v>
      </c>
      <c r="L45" s="70" t="s">
        <v>587</v>
      </c>
    </row>
    <row r="46" spans="1:12" ht="12.75">
      <c r="A46" s="19" t="s">
        <v>203</v>
      </c>
      <c r="B46" s="70">
        <v>36070</v>
      </c>
      <c r="C46" s="70">
        <v>25010</v>
      </c>
      <c r="D46" s="70">
        <v>22493</v>
      </c>
      <c r="E46" s="70">
        <v>14409</v>
      </c>
      <c r="F46" s="70">
        <v>12341</v>
      </c>
      <c r="G46" s="70">
        <v>13101</v>
      </c>
      <c r="H46" s="70">
        <v>12978</v>
      </c>
      <c r="I46" s="70">
        <v>10315</v>
      </c>
      <c r="J46" s="70">
        <v>10098</v>
      </c>
      <c r="K46" s="70">
        <v>11666</v>
      </c>
      <c r="L46" s="70">
        <v>7822</v>
      </c>
    </row>
    <row r="47" spans="1:12" ht="12.75">
      <c r="A47" s="19" t="s">
        <v>204</v>
      </c>
      <c r="B47" s="70">
        <v>9667</v>
      </c>
      <c r="C47" s="70">
        <v>10716</v>
      </c>
      <c r="D47" s="70">
        <v>12243</v>
      </c>
      <c r="E47" s="70">
        <v>9837</v>
      </c>
      <c r="F47" s="70">
        <v>10504</v>
      </c>
      <c r="G47" s="70">
        <v>10366</v>
      </c>
      <c r="H47" s="70">
        <v>10209</v>
      </c>
      <c r="I47" s="70">
        <v>9633</v>
      </c>
      <c r="J47" s="70">
        <v>8989</v>
      </c>
      <c r="K47" s="70" t="s">
        <v>587</v>
      </c>
      <c r="L47" s="70" t="s">
        <v>587</v>
      </c>
    </row>
    <row r="48" spans="1:12" ht="12.75">
      <c r="A48" s="19" t="s">
        <v>205</v>
      </c>
      <c r="B48" s="70">
        <v>10620</v>
      </c>
      <c r="C48" s="70">
        <v>10999</v>
      </c>
      <c r="D48" s="70">
        <v>10467</v>
      </c>
      <c r="E48" s="70">
        <v>10365</v>
      </c>
      <c r="F48" s="70">
        <v>11731</v>
      </c>
      <c r="G48" s="70">
        <v>9580</v>
      </c>
      <c r="H48" s="70">
        <v>9806</v>
      </c>
      <c r="I48" s="70">
        <v>10672</v>
      </c>
      <c r="J48" s="70">
        <v>10347</v>
      </c>
      <c r="K48" s="70" t="s">
        <v>587</v>
      </c>
      <c r="L48" s="70" t="s">
        <v>587</v>
      </c>
    </row>
    <row r="49" spans="1:12" ht="12.75">
      <c r="A49" s="19" t="s">
        <v>206</v>
      </c>
      <c r="B49" s="70">
        <v>9383</v>
      </c>
      <c r="C49" s="70">
        <v>10505</v>
      </c>
      <c r="D49" s="70">
        <v>9899</v>
      </c>
      <c r="E49" s="70">
        <v>6032</v>
      </c>
      <c r="F49" s="70">
        <v>6187</v>
      </c>
      <c r="G49" s="70">
        <v>6570</v>
      </c>
      <c r="H49" s="70">
        <v>6477</v>
      </c>
      <c r="I49" s="70">
        <v>7347</v>
      </c>
      <c r="J49" s="70">
        <v>8002</v>
      </c>
      <c r="K49" s="70">
        <v>7985</v>
      </c>
      <c r="L49" s="70" t="s">
        <v>587</v>
      </c>
    </row>
    <row r="50" spans="1:12" ht="12.75">
      <c r="A50" s="19" t="s">
        <v>207</v>
      </c>
      <c r="B50" s="19">
        <v>10227</v>
      </c>
      <c r="C50" s="19">
        <v>8669</v>
      </c>
      <c r="D50" s="19">
        <v>8675</v>
      </c>
      <c r="E50" s="19">
        <v>7093</v>
      </c>
      <c r="F50" s="19">
        <v>6880</v>
      </c>
      <c r="G50" s="19">
        <v>6983</v>
      </c>
      <c r="H50" s="19">
        <v>6926</v>
      </c>
      <c r="I50" s="19">
        <v>5692</v>
      </c>
      <c r="J50" s="19">
        <v>4903</v>
      </c>
      <c r="K50" s="19">
        <v>3713</v>
      </c>
      <c r="L50" s="19" t="s">
        <v>587</v>
      </c>
    </row>
    <row r="51" spans="1:12" ht="12.75">
      <c r="A51" s="19" t="s">
        <v>208</v>
      </c>
      <c r="B51" s="19">
        <v>4105</v>
      </c>
      <c r="C51" s="19">
        <v>4732</v>
      </c>
      <c r="D51" s="19">
        <v>5414</v>
      </c>
      <c r="E51" s="19">
        <v>5779</v>
      </c>
      <c r="F51" s="19">
        <v>6458</v>
      </c>
      <c r="G51" s="19">
        <v>6674</v>
      </c>
      <c r="H51" s="19">
        <v>7814</v>
      </c>
      <c r="I51" s="19">
        <v>9869</v>
      </c>
      <c r="J51" s="19">
        <v>13847</v>
      </c>
      <c r="K51" s="19" t="s">
        <v>587</v>
      </c>
      <c r="L51" s="19" t="s">
        <v>587</v>
      </c>
    </row>
    <row r="52" spans="1:12" ht="12.75">
      <c r="A52" s="19" t="s">
        <v>209</v>
      </c>
      <c r="B52" s="19">
        <v>34606</v>
      </c>
      <c r="C52" s="19">
        <v>33941</v>
      </c>
      <c r="D52" s="19">
        <v>38092</v>
      </c>
      <c r="E52" s="19">
        <v>41981</v>
      </c>
      <c r="F52" s="19">
        <v>46454</v>
      </c>
      <c r="G52" s="19">
        <v>48422</v>
      </c>
      <c r="H52" s="19">
        <v>53207</v>
      </c>
      <c r="I52" s="19">
        <v>56969</v>
      </c>
      <c r="J52" s="19">
        <v>60313</v>
      </c>
      <c r="K52" s="19">
        <v>56848</v>
      </c>
      <c r="L52" s="19">
        <v>47635</v>
      </c>
    </row>
    <row r="53" spans="1:12" ht="12.75">
      <c r="A53" s="19" t="s">
        <v>210</v>
      </c>
      <c r="B53" s="19">
        <v>8195</v>
      </c>
      <c r="C53" s="19">
        <v>6536</v>
      </c>
      <c r="D53" s="19">
        <v>5598</v>
      </c>
      <c r="E53" s="19">
        <v>4632</v>
      </c>
      <c r="F53" s="19">
        <v>5526</v>
      </c>
      <c r="G53" s="19">
        <v>5416</v>
      </c>
      <c r="H53" s="19">
        <v>5694</v>
      </c>
      <c r="I53" s="19">
        <v>6253</v>
      </c>
      <c r="J53" s="19">
        <v>7630</v>
      </c>
      <c r="K53" s="19" t="s">
        <v>587</v>
      </c>
      <c r="L53" s="19" t="s">
        <v>587</v>
      </c>
    </row>
    <row r="54" spans="1:12" ht="12.75">
      <c r="A54" s="19" t="s">
        <v>211</v>
      </c>
      <c r="B54" s="19">
        <v>3609</v>
      </c>
      <c r="C54" s="19">
        <v>3154</v>
      </c>
      <c r="D54" s="19">
        <v>3216</v>
      </c>
      <c r="E54" s="19">
        <v>2980</v>
      </c>
      <c r="F54" s="19">
        <v>3290</v>
      </c>
      <c r="G54" s="19">
        <v>3621</v>
      </c>
      <c r="H54" s="19">
        <v>3719</v>
      </c>
      <c r="I54" s="19">
        <v>3944</v>
      </c>
      <c r="J54" s="19">
        <v>4926</v>
      </c>
      <c r="K54" s="19">
        <v>4029</v>
      </c>
      <c r="L54" s="19">
        <v>3086</v>
      </c>
    </row>
    <row r="55" spans="1:12" ht="12.75">
      <c r="A55" s="19" t="s">
        <v>164</v>
      </c>
      <c r="B55" s="19">
        <v>6445</v>
      </c>
      <c r="C55" s="19">
        <v>6271</v>
      </c>
      <c r="D55" s="19">
        <v>6491</v>
      </c>
      <c r="E55" s="19">
        <v>6116</v>
      </c>
      <c r="F55" s="19">
        <v>7295</v>
      </c>
      <c r="G55" s="19">
        <v>7232</v>
      </c>
      <c r="H55" s="19">
        <v>6922</v>
      </c>
      <c r="I55" s="19">
        <v>6068</v>
      </c>
      <c r="J55" s="19">
        <v>5870</v>
      </c>
      <c r="K55" s="19">
        <v>9546</v>
      </c>
      <c r="L55" s="19">
        <v>5080</v>
      </c>
    </row>
    <row r="56" spans="1:12" ht="12.75">
      <c r="A56" s="19" t="s">
        <v>212</v>
      </c>
      <c r="B56" s="19">
        <v>5267</v>
      </c>
      <c r="C56" s="19">
        <v>5046</v>
      </c>
      <c r="D56" s="19">
        <v>5559</v>
      </c>
      <c r="E56" s="19">
        <v>5839</v>
      </c>
      <c r="F56" s="19">
        <v>7904</v>
      </c>
      <c r="G56" s="19">
        <v>6867</v>
      </c>
      <c r="H56" s="19">
        <v>6769</v>
      </c>
      <c r="I56" s="19">
        <v>6714</v>
      </c>
      <c r="J56" s="19">
        <v>3724</v>
      </c>
      <c r="K56" s="19" t="s">
        <v>587</v>
      </c>
      <c r="L56" s="19" t="s">
        <v>587</v>
      </c>
    </row>
    <row r="57" spans="1:12" ht="12.75">
      <c r="A57" s="19" t="s">
        <v>213</v>
      </c>
      <c r="B57" s="19">
        <v>861</v>
      </c>
      <c r="C57" s="19">
        <v>874</v>
      </c>
      <c r="D57" s="19">
        <v>981</v>
      </c>
      <c r="E57" s="19">
        <v>1069</v>
      </c>
      <c r="F57" s="19">
        <v>1345</v>
      </c>
      <c r="G57" s="19">
        <v>1402</v>
      </c>
      <c r="H57" s="19">
        <v>1499</v>
      </c>
      <c r="I57" s="19">
        <v>1661</v>
      </c>
      <c r="J57" s="19">
        <v>1990</v>
      </c>
      <c r="K57" s="19" t="s">
        <v>587</v>
      </c>
      <c r="L57" s="19" t="s">
        <v>587</v>
      </c>
    </row>
    <row r="58" spans="1:12" ht="12.75">
      <c r="A58" s="19" t="s">
        <v>166</v>
      </c>
      <c r="B58" s="19">
        <v>7675</v>
      </c>
      <c r="C58" s="19">
        <v>8239</v>
      </c>
      <c r="D58" s="19">
        <v>10250</v>
      </c>
      <c r="E58" s="19">
        <v>11471</v>
      </c>
      <c r="F58" s="19">
        <v>17080</v>
      </c>
      <c r="G58" s="19">
        <v>11353</v>
      </c>
      <c r="H58" s="19">
        <v>15181</v>
      </c>
      <c r="I58" s="19">
        <v>11181</v>
      </c>
      <c r="J58" s="19">
        <v>11542</v>
      </c>
      <c r="K58" s="19">
        <v>13630</v>
      </c>
      <c r="L58" s="19">
        <v>4355</v>
      </c>
    </row>
    <row r="59" spans="1:12" ht="12.75">
      <c r="A59" s="19" t="s">
        <v>214</v>
      </c>
      <c r="B59" s="19">
        <v>2259</v>
      </c>
      <c r="C59" s="19">
        <v>2246</v>
      </c>
      <c r="D59" s="19">
        <v>2359</v>
      </c>
      <c r="E59" s="19">
        <v>2529</v>
      </c>
      <c r="F59" s="19">
        <v>3026</v>
      </c>
      <c r="G59" s="19">
        <v>3187</v>
      </c>
      <c r="H59" s="19">
        <v>3286</v>
      </c>
      <c r="I59" s="19">
        <v>3751</v>
      </c>
      <c r="J59" s="19">
        <v>5619</v>
      </c>
      <c r="K59" s="19" t="s">
        <v>587</v>
      </c>
      <c r="L59" s="19" t="s">
        <v>587</v>
      </c>
    </row>
    <row r="60" spans="1:12" ht="12.75">
      <c r="A60" s="19" t="s">
        <v>215</v>
      </c>
      <c r="B60" s="19">
        <v>1068</v>
      </c>
      <c r="C60" s="19">
        <v>1191</v>
      </c>
      <c r="D60" s="19">
        <v>1476</v>
      </c>
      <c r="E60" s="19">
        <v>1465</v>
      </c>
      <c r="F60" s="19">
        <v>1698</v>
      </c>
      <c r="G60" s="19">
        <v>1907</v>
      </c>
      <c r="H60" s="19">
        <v>2161</v>
      </c>
      <c r="I60" s="19">
        <v>2767</v>
      </c>
      <c r="J60" s="19">
        <v>3113</v>
      </c>
      <c r="K60" s="19" t="s">
        <v>587</v>
      </c>
      <c r="L60" s="19" t="s">
        <v>587</v>
      </c>
    </row>
    <row r="61" spans="1:12" ht="12.75">
      <c r="A61" s="19" t="s">
        <v>216</v>
      </c>
      <c r="B61" s="19">
        <v>129352</v>
      </c>
      <c r="C61" s="19">
        <v>113419</v>
      </c>
      <c r="D61" s="19">
        <v>108035</v>
      </c>
      <c r="E61" s="19">
        <v>87367</v>
      </c>
      <c r="F61" s="19">
        <v>79016</v>
      </c>
      <c r="G61" s="19">
        <v>55875</v>
      </c>
      <c r="H61" s="19">
        <v>41182</v>
      </c>
      <c r="I61" s="19">
        <v>30785</v>
      </c>
      <c r="J61" s="19">
        <v>29600</v>
      </c>
      <c r="K61" s="19">
        <v>22944</v>
      </c>
      <c r="L61" s="19">
        <v>6212</v>
      </c>
    </row>
    <row r="62" spans="1:12" ht="12.75">
      <c r="A62" s="19" t="s">
        <v>588</v>
      </c>
      <c r="B62" s="19"/>
      <c r="C62" s="19">
        <v>52</v>
      </c>
      <c r="D62" s="19">
        <v>66</v>
      </c>
      <c r="E62" s="19">
        <v>64</v>
      </c>
      <c r="F62" s="19">
        <v>47</v>
      </c>
      <c r="G62" s="19">
        <v>58</v>
      </c>
      <c r="H62" s="19">
        <v>43</v>
      </c>
      <c r="I62" s="19">
        <v>52</v>
      </c>
      <c r="J62" s="19" t="s">
        <v>587</v>
      </c>
      <c r="K62" s="19" t="s">
        <v>587</v>
      </c>
      <c r="L62" s="19" t="s">
        <v>587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L41"/>
  <sheetViews>
    <sheetView workbookViewId="0" topLeftCell="A1">
      <selection activeCell="A2" sqref="A2"/>
    </sheetView>
  </sheetViews>
  <sheetFormatPr defaultColWidth="9.140625" defaultRowHeight="12.75"/>
  <cols>
    <col min="1" max="1" width="25.140625" style="0" customWidth="1"/>
    <col min="2" max="8" width="12.8515625" style="0" bestFit="1" customWidth="1"/>
    <col min="9" max="12" width="11.28125" style="0" bestFit="1" customWidth="1"/>
  </cols>
  <sheetData>
    <row r="1" ht="12.75">
      <c r="A1" s="9" t="s">
        <v>591</v>
      </c>
    </row>
    <row r="2" ht="13.5" thickBot="1"/>
    <row r="3" spans="1:12" ht="13.5" thickBot="1">
      <c r="A3" s="394" t="s">
        <v>586</v>
      </c>
      <c r="B3" s="395">
        <v>2000</v>
      </c>
      <c r="C3" s="395">
        <v>1990</v>
      </c>
      <c r="D3" s="395">
        <v>1980</v>
      </c>
      <c r="E3" s="395">
        <v>1970</v>
      </c>
      <c r="F3" s="395">
        <v>1960</v>
      </c>
      <c r="G3" s="395">
        <v>1950</v>
      </c>
      <c r="H3" s="395">
        <v>1940</v>
      </c>
      <c r="I3" s="395">
        <v>1930</v>
      </c>
      <c r="J3" s="395">
        <v>1920</v>
      </c>
      <c r="K3" s="396">
        <v>1910</v>
      </c>
      <c r="L3" s="396">
        <v>1900</v>
      </c>
    </row>
    <row r="4" spans="1:12" ht="13.5" thickBot="1">
      <c r="A4" s="241"/>
      <c r="B4" s="241"/>
      <c r="C4" s="241"/>
      <c r="D4" s="241"/>
      <c r="E4" s="241"/>
      <c r="F4" s="241"/>
      <c r="G4" s="241"/>
      <c r="H4" s="241"/>
      <c r="I4" s="241"/>
      <c r="J4" s="241"/>
      <c r="K4" s="241"/>
      <c r="L4" s="241"/>
    </row>
    <row r="5" spans="1:12" ht="13.5" thickBot="1">
      <c r="A5" s="397" t="s">
        <v>41</v>
      </c>
      <c r="B5" s="398">
        <v>3421399</v>
      </c>
      <c r="C5" s="398">
        <v>2842321</v>
      </c>
      <c r="D5" s="398">
        <v>2633105</v>
      </c>
      <c r="E5" s="398">
        <v>2091385</v>
      </c>
      <c r="F5" s="398">
        <v>1768687</v>
      </c>
      <c r="G5" s="398">
        <v>1521341</v>
      </c>
      <c r="H5" s="398">
        <v>1089684</v>
      </c>
      <c r="I5" s="398">
        <v>953786</v>
      </c>
      <c r="J5" s="398">
        <v>783389</v>
      </c>
      <c r="K5" s="399">
        <v>672765</v>
      </c>
      <c r="L5" s="399">
        <v>413536</v>
      </c>
    </row>
    <row r="6" spans="1:12" ht="12.75">
      <c r="A6" s="70" t="s">
        <v>217</v>
      </c>
      <c r="B6" s="70">
        <v>16741</v>
      </c>
      <c r="C6" s="70">
        <v>15317</v>
      </c>
      <c r="D6" s="70">
        <v>16134</v>
      </c>
      <c r="E6" s="70">
        <v>14919</v>
      </c>
      <c r="F6" s="70">
        <v>17295</v>
      </c>
      <c r="G6" s="70">
        <v>16175</v>
      </c>
      <c r="H6" s="70">
        <v>18297</v>
      </c>
      <c r="I6" s="70">
        <v>16754</v>
      </c>
      <c r="J6" s="70">
        <v>17929</v>
      </c>
      <c r="K6" s="70">
        <v>18076</v>
      </c>
      <c r="L6" s="70">
        <v>15597</v>
      </c>
    </row>
    <row r="7" spans="1:12" ht="12.75">
      <c r="A7" s="70" t="s">
        <v>218</v>
      </c>
      <c r="B7" s="70">
        <v>78153</v>
      </c>
      <c r="C7" s="70">
        <v>70811</v>
      </c>
      <c r="D7" s="70">
        <v>68211</v>
      </c>
      <c r="E7" s="70">
        <v>53776</v>
      </c>
      <c r="F7" s="70">
        <v>39165</v>
      </c>
      <c r="G7" s="70">
        <v>31570</v>
      </c>
      <c r="H7" s="70">
        <v>18629</v>
      </c>
      <c r="I7" s="70">
        <v>16555</v>
      </c>
      <c r="J7" s="70">
        <v>13744</v>
      </c>
      <c r="K7" s="70">
        <v>10663</v>
      </c>
      <c r="L7" s="70">
        <v>6706</v>
      </c>
    </row>
    <row r="8" spans="1:12" ht="12.75">
      <c r="A8" s="70" t="s">
        <v>219</v>
      </c>
      <c r="B8" s="70">
        <v>338391</v>
      </c>
      <c r="C8" s="70">
        <v>278850</v>
      </c>
      <c r="D8" s="70">
        <v>241919</v>
      </c>
      <c r="E8" s="70">
        <v>166088</v>
      </c>
      <c r="F8" s="70">
        <v>113038</v>
      </c>
      <c r="G8" s="70">
        <v>86716</v>
      </c>
      <c r="H8" s="70">
        <v>57130</v>
      </c>
      <c r="I8" s="70">
        <v>46205</v>
      </c>
      <c r="J8" s="70">
        <v>37698</v>
      </c>
      <c r="K8" s="70">
        <v>29931</v>
      </c>
      <c r="L8" s="70">
        <v>19658</v>
      </c>
    </row>
    <row r="9" spans="1:12" ht="12.75">
      <c r="A9" s="70" t="s">
        <v>220</v>
      </c>
      <c r="B9" s="70">
        <v>35630</v>
      </c>
      <c r="C9" s="70">
        <v>33301</v>
      </c>
      <c r="D9" s="70">
        <v>32489</v>
      </c>
      <c r="E9" s="70">
        <v>28473</v>
      </c>
      <c r="F9" s="70">
        <v>27380</v>
      </c>
      <c r="G9" s="70">
        <v>30776</v>
      </c>
      <c r="H9" s="70">
        <v>24697</v>
      </c>
      <c r="I9" s="70">
        <v>21124</v>
      </c>
      <c r="J9" s="70">
        <v>23030</v>
      </c>
      <c r="K9" s="70">
        <v>16106</v>
      </c>
      <c r="L9" s="70">
        <v>12765</v>
      </c>
    </row>
    <row r="10" spans="1:12" ht="12.75">
      <c r="A10" s="70" t="s">
        <v>221</v>
      </c>
      <c r="B10" s="70">
        <v>43560</v>
      </c>
      <c r="C10" s="70">
        <v>37557</v>
      </c>
      <c r="D10" s="70">
        <v>35646</v>
      </c>
      <c r="E10" s="70">
        <v>28790</v>
      </c>
      <c r="F10" s="70">
        <v>22379</v>
      </c>
      <c r="G10" s="70">
        <v>22967</v>
      </c>
      <c r="H10" s="70">
        <v>20971</v>
      </c>
      <c r="I10" s="70">
        <v>20047</v>
      </c>
      <c r="J10" s="70">
        <v>13960</v>
      </c>
      <c r="K10" s="70">
        <v>10580</v>
      </c>
      <c r="L10" s="70">
        <v>6237</v>
      </c>
    </row>
    <row r="11" spans="1:12" ht="12.75">
      <c r="A11" s="70" t="s">
        <v>222</v>
      </c>
      <c r="B11" s="70">
        <v>62779</v>
      </c>
      <c r="C11" s="70">
        <v>60273</v>
      </c>
      <c r="D11" s="70">
        <v>64047</v>
      </c>
      <c r="E11" s="70">
        <v>56515</v>
      </c>
      <c r="F11" s="70">
        <v>54955</v>
      </c>
      <c r="G11" s="70">
        <v>42265</v>
      </c>
      <c r="H11" s="70">
        <v>32466</v>
      </c>
      <c r="I11" s="70">
        <v>28373</v>
      </c>
      <c r="J11" s="70">
        <v>22257</v>
      </c>
      <c r="K11" s="70">
        <v>17959</v>
      </c>
      <c r="L11" s="70">
        <v>10324</v>
      </c>
    </row>
    <row r="12" spans="1:12" ht="12.75">
      <c r="A12" s="70" t="s">
        <v>223</v>
      </c>
      <c r="B12" s="70">
        <v>19182</v>
      </c>
      <c r="C12" s="70">
        <v>14111</v>
      </c>
      <c r="D12" s="70">
        <v>13091</v>
      </c>
      <c r="E12" s="70">
        <v>9985</v>
      </c>
      <c r="F12" s="70">
        <v>9430</v>
      </c>
      <c r="G12" s="70">
        <v>8991</v>
      </c>
      <c r="H12" s="70">
        <v>5533</v>
      </c>
      <c r="I12" s="70">
        <v>3336</v>
      </c>
      <c r="J12" s="70">
        <v>3424</v>
      </c>
      <c r="K12" s="70">
        <v>9315</v>
      </c>
      <c r="L12" s="70">
        <v>3964</v>
      </c>
    </row>
    <row r="13" spans="1:12" ht="12.75">
      <c r="A13" s="70" t="s">
        <v>224</v>
      </c>
      <c r="B13" s="70">
        <v>21137</v>
      </c>
      <c r="C13" s="70">
        <v>19327</v>
      </c>
      <c r="D13" s="70">
        <v>16992</v>
      </c>
      <c r="E13" s="70">
        <v>13006</v>
      </c>
      <c r="F13" s="70">
        <v>13983</v>
      </c>
      <c r="G13" s="70">
        <v>6048</v>
      </c>
      <c r="H13" s="70">
        <v>4301</v>
      </c>
      <c r="I13" s="70">
        <v>3257</v>
      </c>
      <c r="J13" s="70">
        <v>3025</v>
      </c>
      <c r="K13" s="70">
        <v>2044</v>
      </c>
      <c r="L13" s="70">
        <v>1868</v>
      </c>
    </row>
    <row r="14" spans="1:12" ht="12.75">
      <c r="A14" s="70" t="s">
        <v>225</v>
      </c>
      <c r="B14" s="70">
        <v>115367</v>
      </c>
      <c r="C14" s="70">
        <v>74958</v>
      </c>
      <c r="D14" s="70">
        <v>62142</v>
      </c>
      <c r="E14" s="70">
        <v>30442</v>
      </c>
      <c r="F14" s="70">
        <v>23100</v>
      </c>
      <c r="G14" s="70">
        <v>21812</v>
      </c>
      <c r="H14" s="70">
        <v>18631</v>
      </c>
      <c r="I14" s="70">
        <v>14749</v>
      </c>
      <c r="J14" s="70">
        <v>9622</v>
      </c>
      <c r="K14" s="70" t="s">
        <v>587</v>
      </c>
      <c r="L14" s="70" t="s">
        <v>587</v>
      </c>
    </row>
    <row r="15" spans="1:12" ht="12.75">
      <c r="A15" s="70" t="s">
        <v>226</v>
      </c>
      <c r="B15" s="70">
        <v>100399</v>
      </c>
      <c r="C15" s="70">
        <v>94649</v>
      </c>
      <c r="D15" s="70">
        <v>93748</v>
      </c>
      <c r="E15" s="70">
        <v>71743</v>
      </c>
      <c r="F15" s="70">
        <v>68458</v>
      </c>
      <c r="G15" s="70">
        <v>54549</v>
      </c>
      <c r="H15" s="70">
        <v>25728</v>
      </c>
      <c r="I15" s="70">
        <v>21965</v>
      </c>
      <c r="J15" s="70">
        <v>21332</v>
      </c>
      <c r="K15" s="70">
        <v>19674</v>
      </c>
      <c r="L15" s="70">
        <v>14565</v>
      </c>
    </row>
    <row r="16" spans="1:12" ht="12.75">
      <c r="A16" s="70" t="s">
        <v>227</v>
      </c>
      <c r="B16" s="70">
        <v>1915</v>
      </c>
      <c r="C16" s="70">
        <v>1717</v>
      </c>
      <c r="D16" s="70">
        <v>2057</v>
      </c>
      <c r="E16" s="70">
        <v>2342</v>
      </c>
      <c r="F16" s="70">
        <v>3069</v>
      </c>
      <c r="G16" s="70">
        <v>2817</v>
      </c>
      <c r="H16" s="70">
        <v>2844</v>
      </c>
      <c r="I16" s="70">
        <v>3467</v>
      </c>
      <c r="J16" s="70">
        <v>3960</v>
      </c>
      <c r="K16" s="70">
        <v>3701</v>
      </c>
      <c r="L16" s="70">
        <v>3201</v>
      </c>
    </row>
    <row r="17" spans="1:12" ht="12.75">
      <c r="A17" s="70" t="s">
        <v>228</v>
      </c>
      <c r="B17" s="70">
        <v>7935</v>
      </c>
      <c r="C17" s="70">
        <v>7853</v>
      </c>
      <c r="D17" s="70">
        <v>8210</v>
      </c>
      <c r="E17" s="70">
        <v>6996</v>
      </c>
      <c r="F17" s="70">
        <v>7726</v>
      </c>
      <c r="G17" s="70">
        <v>8329</v>
      </c>
      <c r="H17" s="70">
        <v>6380</v>
      </c>
      <c r="I17" s="70">
        <v>5940</v>
      </c>
      <c r="J17" s="70">
        <v>5496</v>
      </c>
      <c r="K17" s="70">
        <v>5607</v>
      </c>
      <c r="L17" s="70">
        <v>5948</v>
      </c>
    </row>
    <row r="18" spans="1:12" ht="12.75">
      <c r="A18" s="70" t="s">
        <v>229</v>
      </c>
      <c r="B18" s="70">
        <v>7609</v>
      </c>
      <c r="C18" s="70">
        <v>7060</v>
      </c>
      <c r="D18" s="70">
        <v>8314</v>
      </c>
      <c r="E18" s="70">
        <v>7215</v>
      </c>
      <c r="F18" s="70">
        <v>6744</v>
      </c>
      <c r="G18" s="70">
        <v>6113</v>
      </c>
      <c r="H18" s="70">
        <v>5374</v>
      </c>
      <c r="I18" s="70">
        <v>5920</v>
      </c>
      <c r="J18" s="70">
        <v>3992</v>
      </c>
      <c r="K18" s="70">
        <v>4059</v>
      </c>
      <c r="L18" s="70">
        <v>2598</v>
      </c>
    </row>
    <row r="19" spans="1:12" ht="12.75">
      <c r="A19" s="70" t="s">
        <v>230</v>
      </c>
      <c r="B19" s="70">
        <v>20411</v>
      </c>
      <c r="C19" s="70">
        <v>16903</v>
      </c>
      <c r="D19" s="70">
        <v>15835</v>
      </c>
      <c r="E19" s="70">
        <v>13187</v>
      </c>
      <c r="F19" s="70">
        <v>13395</v>
      </c>
      <c r="G19" s="70">
        <v>12740</v>
      </c>
      <c r="H19" s="70">
        <v>11580</v>
      </c>
      <c r="I19" s="70">
        <v>8938</v>
      </c>
      <c r="J19" s="70">
        <v>8315</v>
      </c>
      <c r="K19" s="70">
        <v>8016</v>
      </c>
      <c r="L19" s="70" t="s">
        <v>587</v>
      </c>
    </row>
    <row r="20" spans="1:12" ht="12.75">
      <c r="A20" s="70" t="s">
        <v>231</v>
      </c>
      <c r="B20" s="70">
        <v>181269</v>
      </c>
      <c r="C20" s="70">
        <v>146389</v>
      </c>
      <c r="D20" s="70">
        <v>132456</v>
      </c>
      <c r="E20" s="70">
        <v>94533</v>
      </c>
      <c r="F20" s="70">
        <v>73962</v>
      </c>
      <c r="G20" s="70">
        <v>58510</v>
      </c>
      <c r="H20" s="70">
        <v>36213</v>
      </c>
      <c r="I20" s="70">
        <v>32918</v>
      </c>
      <c r="J20" s="70">
        <v>20405</v>
      </c>
      <c r="K20" s="70">
        <v>25756</v>
      </c>
      <c r="L20" s="70">
        <v>13698</v>
      </c>
    </row>
    <row r="21" spans="1:12" ht="12.75">
      <c r="A21" s="70" t="s">
        <v>149</v>
      </c>
      <c r="B21" s="70">
        <v>19009</v>
      </c>
      <c r="C21" s="70">
        <v>13676</v>
      </c>
      <c r="D21" s="70">
        <v>11599</v>
      </c>
      <c r="E21" s="70">
        <v>8548</v>
      </c>
      <c r="F21" s="70">
        <v>7130</v>
      </c>
      <c r="G21" s="70">
        <v>5536</v>
      </c>
      <c r="H21" s="70">
        <v>2042</v>
      </c>
      <c r="I21" s="70">
        <v>2291</v>
      </c>
      <c r="J21" s="70">
        <v>3211</v>
      </c>
      <c r="K21" s="70" t="s">
        <v>587</v>
      </c>
      <c r="L21" s="70" t="s">
        <v>587</v>
      </c>
    </row>
    <row r="22" spans="1:12" ht="12.75">
      <c r="A22" s="70" t="s">
        <v>232</v>
      </c>
      <c r="B22" s="70">
        <v>75726</v>
      </c>
      <c r="C22" s="70">
        <v>62649</v>
      </c>
      <c r="D22" s="70">
        <v>58855</v>
      </c>
      <c r="E22" s="70">
        <v>35746</v>
      </c>
      <c r="F22" s="70">
        <v>29917</v>
      </c>
      <c r="G22" s="70">
        <v>26542</v>
      </c>
      <c r="H22" s="70">
        <v>16301</v>
      </c>
      <c r="I22" s="70">
        <v>11498</v>
      </c>
      <c r="J22" s="70">
        <v>7655</v>
      </c>
      <c r="K22" s="70">
        <v>9567</v>
      </c>
      <c r="L22" s="70">
        <v>7517</v>
      </c>
    </row>
    <row r="23" spans="1:12" ht="12.75">
      <c r="A23" s="70" t="s">
        <v>233</v>
      </c>
      <c r="B23" s="70">
        <v>63775</v>
      </c>
      <c r="C23" s="70">
        <v>57702</v>
      </c>
      <c r="D23" s="70">
        <v>59117</v>
      </c>
      <c r="E23" s="70">
        <v>50021</v>
      </c>
      <c r="F23" s="70">
        <v>47475</v>
      </c>
      <c r="G23" s="70">
        <v>42150</v>
      </c>
      <c r="H23" s="70">
        <v>40497</v>
      </c>
      <c r="I23" s="70">
        <v>32407</v>
      </c>
      <c r="J23" s="70">
        <v>11413</v>
      </c>
      <c r="K23" s="70">
        <v>8554</v>
      </c>
      <c r="L23" s="70">
        <v>3970</v>
      </c>
    </row>
    <row r="24" spans="1:12" ht="12.75">
      <c r="A24" s="70" t="s">
        <v>188</v>
      </c>
      <c r="B24" s="70">
        <v>7422</v>
      </c>
      <c r="C24" s="70">
        <v>7186</v>
      </c>
      <c r="D24" s="70">
        <v>7532</v>
      </c>
      <c r="E24" s="70">
        <v>6343</v>
      </c>
      <c r="F24" s="70">
        <v>7158</v>
      </c>
      <c r="G24" s="70">
        <v>6649</v>
      </c>
      <c r="H24" s="70">
        <v>6293</v>
      </c>
      <c r="I24" s="70">
        <v>4833</v>
      </c>
      <c r="J24" s="70">
        <v>3991</v>
      </c>
      <c r="K24" s="70">
        <v>4658</v>
      </c>
      <c r="L24" s="70">
        <v>2847</v>
      </c>
    </row>
    <row r="25" spans="1:12" ht="12.75">
      <c r="A25" s="70" t="s">
        <v>234</v>
      </c>
      <c r="B25" s="70">
        <v>322959</v>
      </c>
      <c r="C25" s="70">
        <v>282912</v>
      </c>
      <c r="D25" s="70">
        <v>275226</v>
      </c>
      <c r="E25" s="70">
        <v>213358</v>
      </c>
      <c r="F25" s="70">
        <v>162890</v>
      </c>
      <c r="G25" s="70">
        <v>125776</v>
      </c>
      <c r="H25" s="70">
        <v>69096</v>
      </c>
      <c r="I25" s="70">
        <v>54493</v>
      </c>
      <c r="J25" s="70">
        <v>36166</v>
      </c>
      <c r="K25" s="70">
        <v>33783</v>
      </c>
      <c r="L25" s="70">
        <v>19604</v>
      </c>
    </row>
    <row r="26" spans="1:12" ht="12.75">
      <c r="A26" s="70" t="s">
        <v>155</v>
      </c>
      <c r="B26" s="70">
        <v>44479</v>
      </c>
      <c r="C26" s="70">
        <v>38889</v>
      </c>
      <c r="D26" s="70">
        <v>35264</v>
      </c>
      <c r="E26" s="70">
        <v>25755</v>
      </c>
      <c r="F26" s="70">
        <v>24635</v>
      </c>
      <c r="G26" s="70">
        <v>21308</v>
      </c>
      <c r="H26" s="70">
        <v>14549</v>
      </c>
      <c r="I26" s="70">
        <v>9903</v>
      </c>
      <c r="J26" s="70">
        <v>6084</v>
      </c>
      <c r="K26" s="70">
        <v>5587</v>
      </c>
      <c r="L26" s="70">
        <v>3575</v>
      </c>
    </row>
    <row r="27" spans="1:12" ht="12.75">
      <c r="A27" s="70" t="s">
        <v>235</v>
      </c>
      <c r="B27" s="70">
        <v>103069</v>
      </c>
      <c r="C27" s="70">
        <v>91227</v>
      </c>
      <c r="D27" s="70">
        <v>89495</v>
      </c>
      <c r="E27" s="70">
        <v>71914</v>
      </c>
      <c r="F27" s="70">
        <v>58867</v>
      </c>
      <c r="G27" s="70">
        <v>54317</v>
      </c>
      <c r="H27" s="70">
        <v>30485</v>
      </c>
      <c r="I27" s="70">
        <v>24700</v>
      </c>
      <c r="J27" s="70">
        <v>24550</v>
      </c>
      <c r="K27" s="70">
        <v>22662</v>
      </c>
      <c r="L27" s="70">
        <v>18603</v>
      </c>
    </row>
    <row r="28" spans="1:12" ht="12.75">
      <c r="A28" s="70" t="s">
        <v>236</v>
      </c>
      <c r="B28" s="70">
        <v>31615</v>
      </c>
      <c r="C28" s="70">
        <v>26038</v>
      </c>
      <c r="D28" s="70">
        <v>26896</v>
      </c>
      <c r="E28" s="70">
        <v>23169</v>
      </c>
      <c r="F28" s="70">
        <v>22764</v>
      </c>
      <c r="G28" s="70">
        <v>23223</v>
      </c>
      <c r="H28" s="70">
        <v>19767</v>
      </c>
      <c r="I28" s="70">
        <v>11269</v>
      </c>
      <c r="J28" s="70">
        <v>10907</v>
      </c>
      <c r="K28" s="70">
        <v>8601</v>
      </c>
      <c r="L28" s="70">
        <v>4203</v>
      </c>
    </row>
    <row r="29" spans="1:12" ht="12.75">
      <c r="A29" s="70" t="s">
        <v>237</v>
      </c>
      <c r="B29" s="70">
        <v>284834</v>
      </c>
      <c r="C29" s="70">
        <v>228483</v>
      </c>
      <c r="D29" s="70">
        <v>204692</v>
      </c>
      <c r="E29" s="70">
        <v>151309</v>
      </c>
      <c r="F29" s="70">
        <v>120888</v>
      </c>
      <c r="G29" s="70">
        <v>101401</v>
      </c>
      <c r="H29" s="70">
        <v>75246</v>
      </c>
      <c r="I29" s="70">
        <v>60541</v>
      </c>
      <c r="J29" s="70">
        <v>47187</v>
      </c>
      <c r="K29" s="70">
        <v>39780</v>
      </c>
      <c r="L29" s="70">
        <v>27713</v>
      </c>
    </row>
    <row r="30" spans="1:12" ht="12.75">
      <c r="A30" s="70" t="s">
        <v>238</v>
      </c>
      <c r="B30" s="70">
        <v>10995</v>
      </c>
      <c r="C30" s="70">
        <v>7625</v>
      </c>
      <c r="D30" s="70">
        <v>7519</v>
      </c>
      <c r="E30" s="70">
        <v>4465</v>
      </c>
      <c r="F30" s="70">
        <v>4871</v>
      </c>
      <c r="G30" s="70">
        <v>4783</v>
      </c>
      <c r="H30" s="70">
        <v>4337</v>
      </c>
      <c r="I30" s="70">
        <v>4941</v>
      </c>
      <c r="J30" s="70">
        <v>5617</v>
      </c>
      <c r="K30" s="70">
        <v>4357</v>
      </c>
      <c r="L30" s="70">
        <v>4151</v>
      </c>
    </row>
    <row r="31" spans="1:12" ht="12.75">
      <c r="A31" s="70" t="s">
        <v>239</v>
      </c>
      <c r="B31" s="70">
        <v>660486</v>
      </c>
      <c r="C31" s="70">
        <v>583887</v>
      </c>
      <c r="D31" s="70">
        <v>562640</v>
      </c>
      <c r="E31" s="70">
        <v>556667</v>
      </c>
      <c r="F31" s="70">
        <v>522813</v>
      </c>
      <c r="G31" s="70">
        <v>471537</v>
      </c>
      <c r="H31" s="70">
        <v>355099</v>
      </c>
      <c r="I31" s="70">
        <v>338241</v>
      </c>
      <c r="J31" s="70">
        <v>275898</v>
      </c>
      <c r="K31" s="70">
        <v>226261</v>
      </c>
      <c r="L31" s="70">
        <v>103167</v>
      </c>
    </row>
    <row r="32" spans="1:12" ht="12.75">
      <c r="A32" s="70" t="s">
        <v>240</v>
      </c>
      <c r="B32" s="70">
        <v>62380</v>
      </c>
      <c r="C32" s="70">
        <v>49541</v>
      </c>
      <c r="D32" s="70">
        <v>45203</v>
      </c>
      <c r="E32" s="70">
        <v>35349</v>
      </c>
      <c r="F32" s="70">
        <v>26523</v>
      </c>
      <c r="G32" s="70">
        <v>26317</v>
      </c>
      <c r="H32" s="70">
        <v>19989</v>
      </c>
      <c r="I32" s="70">
        <v>16858</v>
      </c>
      <c r="J32" s="70">
        <v>14181</v>
      </c>
      <c r="K32" s="70">
        <v>13469</v>
      </c>
      <c r="L32" s="70">
        <v>9923</v>
      </c>
    </row>
    <row r="33" spans="1:12" ht="12.75">
      <c r="A33" s="70" t="s">
        <v>241</v>
      </c>
      <c r="B33" s="70">
        <v>1934</v>
      </c>
      <c r="C33" s="70">
        <v>1918</v>
      </c>
      <c r="D33" s="70">
        <v>2172</v>
      </c>
      <c r="E33" s="70">
        <v>2139</v>
      </c>
      <c r="F33" s="70">
        <v>2446</v>
      </c>
      <c r="G33" s="70">
        <v>2271</v>
      </c>
      <c r="H33" s="70">
        <v>2321</v>
      </c>
      <c r="I33" s="70">
        <v>2978</v>
      </c>
      <c r="J33" s="70">
        <v>3826</v>
      </c>
      <c r="K33" s="70">
        <v>4242</v>
      </c>
      <c r="L33" s="70">
        <v>3477</v>
      </c>
    </row>
    <row r="34" spans="1:12" ht="12.75">
      <c r="A34" s="70" t="s">
        <v>242</v>
      </c>
      <c r="B34" s="70">
        <v>24262</v>
      </c>
      <c r="C34" s="70">
        <v>21570</v>
      </c>
      <c r="D34" s="70">
        <v>21164</v>
      </c>
      <c r="E34" s="70">
        <v>17930</v>
      </c>
      <c r="F34" s="70">
        <v>18955</v>
      </c>
      <c r="G34" s="70">
        <v>18606</v>
      </c>
      <c r="H34" s="70">
        <v>12263</v>
      </c>
      <c r="I34" s="70">
        <v>11824</v>
      </c>
      <c r="J34" s="70">
        <v>8810</v>
      </c>
      <c r="K34" s="70">
        <v>6266</v>
      </c>
      <c r="L34" s="70">
        <v>4471</v>
      </c>
    </row>
    <row r="35" spans="1:12" ht="12.75">
      <c r="A35" s="70" t="s">
        <v>243</v>
      </c>
      <c r="B35" s="70">
        <v>70548</v>
      </c>
      <c r="C35" s="70">
        <v>59249</v>
      </c>
      <c r="D35" s="70">
        <v>58861</v>
      </c>
      <c r="E35" s="70">
        <v>44923</v>
      </c>
      <c r="F35" s="70">
        <v>44352</v>
      </c>
      <c r="G35" s="70">
        <v>41703</v>
      </c>
      <c r="H35" s="70">
        <v>26030</v>
      </c>
      <c r="I35" s="70">
        <v>24399</v>
      </c>
      <c r="J35" s="70">
        <v>25946</v>
      </c>
      <c r="K35" s="70">
        <v>20309</v>
      </c>
      <c r="L35" s="70">
        <v>18049</v>
      </c>
    </row>
    <row r="36" spans="1:12" ht="12.75">
      <c r="A36" s="70" t="s">
        <v>244</v>
      </c>
      <c r="B36" s="70">
        <v>24530</v>
      </c>
      <c r="C36" s="70">
        <v>23598</v>
      </c>
      <c r="D36" s="70">
        <v>23921</v>
      </c>
      <c r="E36" s="70">
        <v>19377</v>
      </c>
      <c r="F36" s="70">
        <v>18180</v>
      </c>
      <c r="G36" s="70">
        <v>17962</v>
      </c>
      <c r="H36" s="70">
        <v>17399</v>
      </c>
      <c r="I36" s="70">
        <v>17492</v>
      </c>
      <c r="J36" s="70">
        <v>16636</v>
      </c>
      <c r="K36" s="70">
        <v>16191</v>
      </c>
      <c r="L36" s="70">
        <v>16070</v>
      </c>
    </row>
    <row r="37" spans="1:12" ht="12.75">
      <c r="A37" s="70" t="s">
        <v>245</v>
      </c>
      <c r="B37" s="70">
        <v>7226</v>
      </c>
      <c r="C37" s="70">
        <v>6911</v>
      </c>
      <c r="D37" s="70">
        <v>7273</v>
      </c>
      <c r="E37" s="70">
        <v>6247</v>
      </c>
      <c r="F37" s="70">
        <v>7102</v>
      </c>
      <c r="G37" s="70">
        <v>7264</v>
      </c>
      <c r="H37" s="70">
        <v>7623</v>
      </c>
      <c r="I37" s="70">
        <v>7814</v>
      </c>
      <c r="J37" s="70">
        <v>9778</v>
      </c>
      <c r="K37" s="70">
        <v>8364</v>
      </c>
      <c r="L37" s="70">
        <v>5538</v>
      </c>
    </row>
    <row r="38" spans="1:12" ht="12.75">
      <c r="A38" s="70" t="s">
        <v>246</v>
      </c>
      <c r="B38" s="70">
        <v>23791</v>
      </c>
      <c r="C38" s="70">
        <v>21683</v>
      </c>
      <c r="D38" s="70">
        <v>21732</v>
      </c>
      <c r="E38" s="70">
        <v>20133</v>
      </c>
      <c r="F38" s="70">
        <v>20205</v>
      </c>
      <c r="G38" s="70">
        <v>15552</v>
      </c>
      <c r="H38" s="70">
        <v>13069</v>
      </c>
      <c r="I38" s="70">
        <v>12646</v>
      </c>
      <c r="J38" s="70">
        <v>13648</v>
      </c>
      <c r="K38" s="70">
        <v>16336</v>
      </c>
      <c r="L38" s="70">
        <v>13199</v>
      </c>
    </row>
    <row r="39" spans="1:12" ht="12.75">
      <c r="A39" s="70" t="s">
        <v>167</v>
      </c>
      <c r="B39" s="70">
        <v>445342</v>
      </c>
      <c r="C39" s="70">
        <v>311554</v>
      </c>
      <c r="D39" s="70">
        <v>245808</v>
      </c>
      <c r="E39" s="70">
        <v>157920</v>
      </c>
      <c r="F39" s="70">
        <v>92237</v>
      </c>
      <c r="G39" s="70">
        <v>61269</v>
      </c>
      <c r="H39" s="70">
        <v>39194</v>
      </c>
      <c r="I39" s="70">
        <v>30275</v>
      </c>
      <c r="J39" s="70">
        <v>26376</v>
      </c>
      <c r="K39" s="70">
        <v>21522</v>
      </c>
      <c r="L39" s="70">
        <v>14467</v>
      </c>
    </row>
    <row r="40" spans="1:12" ht="12.75">
      <c r="A40" s="70" t="s">
        <v>247</v>
      </c>
      <c r="B40" s="70">
        <v>1547</v>
      </c>
      <c r="C40" s="70">
        <v>1396</v>
      </c>
      <c r="D40" s="70">
        <v>1513</v>
      </c>
      <c r="E40" s="70">
        <v>1849</v>
      </c>
      <c r="F40" s="70">
        <v>2722</v>
      </c>
      <c r="G40" s="70">
        <v>3313</v>
      </c>
      <c r="H40" s="70">
        <v>2974</v>
      </c>
      <c r="I40" s="70">
        <v>2799</v>
      </c>
      <c r="J40" s="70">
        <v>2791</v>
      </c>
      <c r="K40" s="70">
        <v>2484</v>
      </c>
      <c r="L40" s="70">
        <v>2443</v>
      </c>
    </row>
    <row r="41" spans="1:12" ht="12.75">
      <c r="A41" s="70" t="s">
        <v>248</v>
      </c>
      <c r="B41" s="70">
        <v>84992</v>
      </c>
      <c r="C41" s="70">
        <v>65551</v>
      </c>
      <c r="D41" s="70">
        <v>55332</v>
      </c>
      <c r="E41" s="70">
        <v>40213</v>
      </c>
      <c r="F41" s="70">
        <v>32478</v>
      </c>
      <c r="G41" s="70">
        <v>33484</v>
      </c>
      <c r="H41" s="70">
        <v>26336</v>
      </c>
      <c r="I41" s="70">
        <v>22036</v>
      </c>
      <c r="J41" s="70">
        <v>20529</v>
      </c>
      <c r="K41" s="70">
        <v>18285</v>
      </c>
      <c r="L41" s="70">
        <v>13420</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L44"/>
  <sheetViews>
    <sheetView workbookViewId="0" topLeftCell="A1">
      <selection activeCell="A2" sqref="A2"/>
    </sheetView>
  </sheetViews>
  <sheetFormatPr defaultColWidth="9.140625" defaultRowHeight="12.75"/>
  <cols>
    <col min="1" max="1" width="20.7109375" style="0" customWidth="1"/>
    <col min="2" max="3" width="13.57421875" style="0" customWidth="1"/>
    <col min="4" max="11" width="12.8515625" style="0" bestFit="1" customWidth="1"/>
    <col min="12" max="12" width="11.28125" style="0" bestFit="1" customWidth="1"/>
  </cols>
  <sheetData>
    <row r="1" ht="12.75">
      <c r="A1" s="9" t="s">
        <v>592</v>
      </c>
    </row>
    <row r="2" ht="13.5" thickBot="1"/>
    <row r="3" spans="1:12" ht="13.5" thickBot="1">
      <c r="A3" s="394" t="s">
        <v>586</v>
      </c>
      <c r="B3" s="395">
        <v>2000</v>
      </c>
      <c r="C3" s="395">
        <v>1990</v>
      </c>
      <c r="D3" s="395">
        <v>1980</v>
      </c>
      <c r="E3" s="395">
        <v>1970</v>
      </c>
      <c r="F3" s="395">
        <v>1960</v>
      </c>
      <c r="G3" s="395">
        <v>1950</v>
      </c>
      <c r="H3" s="395">
        <v>1940</v>
      </c>
      <c r="I3" s="395">
        <v>1930</v>
      </c>
      <c r="J3" s="395">
        <v>1920</v>
      </c>
      <c r="K3" s="396">
        <v>1910</v>
      </c>
      <c r="L3" s="396">
        <v>1900</v>
      </c>
    </row>
    <row r="4" spans="1:12" ht="13.5" thickBot="1">
      <c r="A4" s="241"/>
      <c r="B4" s="241"/>
      <c r="C4" s="241"/>
      <c r="D4" s="241"/>
      <c r="E4" s="241"/>
      <c r="F4" s="241"/>
      <c r="G4" s="241"/>
      <c r="H4" s="241"/>
      <c r="I4" s="241"/>
      <c r="J4" s="241"/>
      <c r="K4" s="241"/>
      <c r="L4" s="241"/>
    </row>
    <row r="5" spans="1:12" ht="13.5" thickBot="1">
      <c r="A5" s="397" t="s">
        <v>42</v>
      </c>
      <c r="B5" s="398">
        <v>5894121</v>
      </c>
      <c r="C5" s="398">
        <v>4866692</v>
      </c>
      <c r="D5" s="398">
        <v>4132156</v>
      </c>
      <c r="E5" s="398">
        <v>3409169</v>
      </c>
      <c r="F5" s="398">
        <v>2853214</v>
      </c>
      <c r="G5" s="398">
        <v>2378963</v>
      </c>
      <c r="H5" s="398">
        <v>1736191</v>
      </c>
      <c r="I5" s="398">
        <v>1563396</v>
      </c>
      <c r="J5" s="398">
        <v>1356621</v>
      </c>
      <c r="K5" s="399">
        <v>1141990</v>
      </c>
      <c r="L5" s="399">
        <v>518103</v>
      </c>
    </row>
    <row r="6" spans="1:12" ht="12.75">
      <c r="A6" s="393" t="s">
        <v>125</v>
      </c>
      <c r="B6" s="99">
        <v>16428</v>
      </c>
      <c r="C6" s="99">
        <v>13603</v>
      </c>
      <c r="D6" s="99">
        <v>13267</v>
      </c>
      <c r="E6" s="99">
        <v>12014</v>
      </c>
      <c r="F6" s="99">
        <v>9929</v>
      </c>
      <c r="G6" s="99">
        <v>6584</v>
      </c>
      <c r="H6" s="99">
        <v>6209</v>
      </c>
      <c r="I6" s="99">
        <v>7719</v>
      </c>
      <c r="J6" s="99">
        <v>9623</v>
      </c>
      <c r="K6" s="99">
        <v>10920</v>
      </c>
      <c r="L6" s="99">
        <v>4840</v>
      </c>
    </row>
    <row r="7" spans="1:12" ht="12.75">
      <c r="A7" s="19" t="s">
        <v>249</v>
      </c>
      <c r="B7" s="70">
        <v>20551</v>
      </c>
      <c r="C7" s="70">
        <v>17605</v>
      </c>
      <c r="D7" s="70">
        <v>16823</v>
      </c>
      <c r="E7" s="70">
        <v>13799</v>
      </c>
      <c r="F7" s="70">
        <v>12909</v>
      </c>
      <c r="G7" s="70">
        <v>10878</v>
      </c>
      <c r="H7" s="70">
        <v>8365</v>
      </c>
      <c r="I7" s="70">
        <v>8136</v>
      </c>
      <c r="J7" s="70">
        <v>6539</v>
      </c>
      <c r="K7" s="70">
        <v>5831</v>
      </c>
      <c r="L7" s="70">
        <v>3366</v>
      </c>
    </row>
    <row r="8" spans="1:12" ht="12.75">
      <c r="A8" s="19" t="s">
        <v>218</v>
      </c>
      <c r="B8" s="70">
        <v>142475</v>
      </c>
      <c r="C8" s="70">
        <v>112560</v>
      </c>
      <c r="D8" s="70">
        <v>109444</v>
      </c>
      <c r="E8" s="70">
        <v>67540</v>
      </c>
      <c r="F8" s="70">
        <v>62070</v>
      </c>
      <c r="G8" s="70">
        <v>51370</v>
      </c>
      <c r="H8" s="70">
        <v>12053</v>
      </c>
      <c r="I8" s="70">
        <v>10952</v>
      </c>
      <c r="J8" s="70">
        <v>10903</v>
      </c>
      <c r="K8" s="70">
        <v>7937</v>
      </c>
      <c r="L8" s="70" t="s">
        <v>587</v>
      </c>
    </row>
    <row r="9" spans="1:12" ht="12.75">
      <c r="A9" s="19" t="s">
        <v>250</v>
      </c>
      <c r="B9" s="70">
        <v>66616</v>
      </c>
      <c r="C9" s="70">
        <v>52250</v>
      </c>
      <c r="D9" s="70">
        <v>45061</v>
      </c>
      <c r="E9" s="70">
        <v>41355</v>
      </c>
      <c r="F9" s="70">
        <v>40744</v>
      </c>
      <c r="G9" s="70">
        <v>39301</v>
      </c>
      <c r="H9" s="70">
        <v>34412</v>
      </c>
      <c r="I9" s="70">
        <v>31634</v>
      </c>
      <c r="J9" s="70">
        <v>20906</v>
      </c>
      <c r="K9" s="70">
        <v>15104</v>
      </c>
      <c r="L9" s="70">
        <v>3931</v>
      </c>
    </row>
    <row r="10" spans="1:12" ht="12.75">
      <c r="A10" s="19" t="s">
        <v>251</v>
      </c>
      <c r="B10" s="70">
        <v>64525</v>
      </c>
      <c r="C10" s="70">
        <v>56464</v>
      </c>
      <c r="D10" s="70">
        <v>51648</v>
      </c>
      <c r="E10" s="70">
        <v>34770</v>
      </c>
      <c r="F10" s="70">
        <v>30022</v>
      </c>
      <c r="G10" s="70">
        <v>26396</v>
      </c>
      <c r="H10" s="70">
        <v>21848</v>
      </c>
      <c r="I10" s="70">
        <v>20449</v>
      </c>
      <c r="J10" s="70">
        <v>11368</v>
      </c>
      <c r="K10" s="70">
        <v>6755</v>
      </c>
      <c r="L10" s="70">
        <v>5603</v>
      </c>
    </row>
    <row r="11" spans="1:12" ht="12.75">
      <c r="A11" s="19" t="s">
        <v>140</v>
      </c>
      <c r="B11" s="70">
        <v>345238</v>
      </c>
      <c r="C11" s="70">
        <v>238053</v>
      </c>
      <c r="D11" s="70">
        <v>192227</v>
      </c>
      <c r="E11" s="70">
        <v>128454</v>
      </c>
      <c r="F11" s="70">
        <v>93809</v>
      </c>
      <c r="G11" s="70">
        <v>85307</v>
      </c>
      <c r="H11" s="70">
        <v>49852</v>
      </c>
      <c r="I11" s="70">
        <v>40316</v>
      </c>
      <c r="J11" s="70">
        <v>32805</v>
      </c>
      <c r="K11" s="70">
        <v>26115</v>
      </c>
      <c r="L11" s="70">
        <v>13419</v>
      </c>
    </row>
    <row r="12" spans="1:12" ht="12.75">
      <c r="A12" s="19" t="s">
        <v>221</v>
      </c>
      <c r="B12" s="70">
        <v>4064</v>
      </c>
      <c r="C12" s="70">
        <v>4024</v>
      </c>
      <c r="D12" s="70">
        <v>4057</v>
      </c>
      <c r="E12" s="70">
        <v>4439</v>
      </c>
      <c r="F12" s="70">
        <v>4569</v>
      </c>
      <c r="G12" s="70">
        <v>4860</v>
      </c>
      <c r="H12" s="70">
        <v>5549</v>
      </c>
      <c r="I12" s="70">
        <v>5325</v>
      </c>
      <c r="J12" s="70">
        <v>6093</v>
      </c>
      <c r="K12" s="70">
        <v>7042</v>
      </c>
      <c r="L12" s="70">
        <v>7128</v>
      </c>
    </row>
    <row r="13" spans="1:12" ht="12.75">
      <c r="A13" s="19" t="s">
        <v>252</v>
      </c>
      <c r="B13" s="70">
        <v>92948</v>
      </c>
      <c r="C13" s="70">
        <v>82119</v>
      </c>
      <c r="D13" s="70">
        <v>79548</v>
      </c>
      <c r="E13" s="70">
        <v>68616</v>
      </c>
      <c r="F13" s="70">
        <v>57801</v>
      </c>
      <c r="G13" s="70">
        <v>53369</v>
      </c>
      <c r="H13" s="70">
        <v>40155</v>
      </c>
      <c r="I13" s="70">
        <v>31906</v>
      </c>
      <c r="J13" s="70">
        <v>11791</v>
      </c>
      <c r="K13" s="70">
        <v>12561</v>
      </c>
      <c r="L13" s="70">
        <v>7877</v>
      </c>
    </row>
    <row r="14" spans="1:12" ht="12.75">
      <c r="A14" s="19" t="s">
        <v>226</v>
      </c>
      <c r="B14" s="70">
        <v>32603</v>
      </c>
      <c r="C14" s="70">
        <v>26205</v>
      </c>
      <c r="D14" s="70">
        <v>22144</v>
      </c>
      <c r="E14" s="70">
        <v>16787</v>
      </c>
      <c r="F14" s="70">
        <v>14890</v>
      </c>
      <c r="G14" s="70">
        <v>10817</v>
      </c>
      <c r="H14" s="70">
        <v>8651</v>
      </c>
      <c r="I14" s="70">
        <v>7561</v>
      </c>
      <c r="J14" s="70">
        <v>9392</v>
      </c>
      <c r="K14" s="70">
        <v>9227</v>
      </c>
      <c r="L14" s="70">
        <v>4926</v>
      </c>
    </row>
    <row r="15" spans="1:12" ht="12.75">
      <c r="A15" s="19" t="s">
        <v>253</v>
      </c>
      <c r="B15" s="70">
        <v>7260</v>
      </c>
      <c r="C15" s="70">
        <v>6295</v>
      </c>
      <c r="D15" s="70">
        <v>5811</v>
      </c>
      <c r="E15" s="70">
        <v>3655</v>
      </c>
      <c r="F15" s="70">
        <v>3889</v>
      </c>
      <c r="G15" s="70">
        <v>4096</v>
      </c>
      <c r="H15" s="70">
        <v>4701</v>
      </c>
      <c r="I15" s="70">
        <v>4292</v>
      </c>
      <c r="J15" s="70">
        <v>5143</v>
      </c>
      <c r="K15" s="70">
        <v>4800</v>
      </c>
      <c r="L15" s="70">
        <v>4562</v>
      </c>
    </row>
    <row r="16" spans="1:12" ht="12.75">
      <c r="A16" s="19" t="s">
        <v>144</v>
      </c>
      <c r="B16" s="70">
        <v>49347</v>
      </c>
      <c r="C16" s="70">
        <v>37473</v>
      </c>
      <c r="D16" s="70">
        <v>35025</v>
      </c>
      <c r="E16" s="70">
        <v>25816</v>
      </c>
      <c r="F16" s="70">
        <v>23342</v>
      </c>
      <c r="G16" s="70">
        <v>13563</v>
      </c>
      <c r="H16" s="70">
        <v>6307</v>
      </c>
      <c r="I16" s="70">
        <v>6137</v>
      </c>
      <c r="J16" s="70">
        <v>5877</v>
      </c>
      <c r="K16" s="70">
        <v>5153</v>
      </c>
      <c r="L16" s="70">
        <v>486</v>
      </c>
    </row>
    <row r="17" spans="1:12" ht="12.75">
      <c r="A17" s="19" t="s">
        <v>182</v>
      </c>
      <c r="B17" s="70">
        <v>2397</v>
      </c>
      <c r="C17" s="70">
        <v>2248</v>
      </c>
      <c r="D17" s="70">
        <v>2468</v>
      </c>
      <c r="E17" s="70">
        <v>2911</v>
      </c>
      <c r="F17" s="70">
        <v>2976</v>
      </c>
      <c r="G17" s="70">
        <v>3204</v>
      </c>
      <c r="H17" s="70">
        <v>3383</v>
      </c>
      <c r="I17" s="70">
        <v>3662</v>
      </c>
      <c r="J17" s="70">
        <v>3875</v>
      </c>
      <c r="K17" s="70">
        <v>4199</v>
      </c>
      <c r="L17" s="70">
        <v>3918</v>
      </c>
    </row>
    <row r="18" spans="1:12" ht="12.75">
      <c r="A18" s="19" t="s">
        <v>228</v>
      </c>
      <c r="B18" s="70">
        <v>74698</v>
      </c>
      <c r="C18" s="70">
        <v>54758</v>
      </c>
      <c r="D18" s="70">
        <v>48522</v>
      </c>
      <c r="E18" s="70">
        <v>41881</v>
      </c>
      <c r="F18" s="70">
        <v>46477</v>
      </c>
      <c r="G18" s="70">
        <v>24346</v>
      </c>
      <c r="H18" s="70">
        <v>14668</v>
      </c>
      <c r="I18" s="70">
        <v>5666</v>
      </c>
      <c r="J18" s="70">
        <v>7771</v>
      </c>
      <c r="K18" s="70">
        <v>8698</v>
      </c>
      <c r="L18" s="70" t="s">
        <v>587</v>
      </c>
    </row>
    <row r="19" spans="1:12" ht="12.75">
      <c r="A19" s="19" t="s">
        <v>254</v>
      </c>
      <c r="B19" s="70">
        <v>67194</v>
      </c>
      <c r="C19" s="70">
        <v>64175</v>
      </c>
      <c r="D19" s="70">
        <v>66314</v>
      </c>
      <c r="E19" s="70">
        <v>59553</v>
      </c>
      <c r="F19" s="70">
        <v>54465</v>
      </c>
      <c r="G19" s="70">
        <v>53644</v>
      </c>
      <c r="H19" s="70">
        <v>53166</v>
      </c>
      <c r="I19" s="70">
        <v>59982</v>
      </c>
      <c r="J19" s="70">
        <v>44745</v>
      </c>
      <c r="K19" s="70">
        <v>35590</v>
      </c>
      <c r="L19" s="70">
        <v>15124</v>
      </c>
    </row>
    <row r="20" spans="1:12" ht="12.75">
      <c r="A20" s="19" t="s">
        <v>255</v>
      </c>
      <c r="B20" s="70">
        <v>71558</v>
      </c>
      <c r="C20" s="70">
        <v>60195</v>
      </c>
      <c r="D20" s="70">
        <v>44048</v>
      </c>
      <c r="E20" s="70">
        <v>27011</v>
      </c>
      <c r="F20" s="70">
        <v>19638</v>
      </c>
      <c r="G20" s="70">
        <v>11079</v>
      </c>
      <c r="H20" s="70">
        <v>6098</v>
      </c>
      <c r="I20" s="70">
        <v>5369</v>
      </c>
      <c r="J20" s="70">
        <v>5489</v>
      </c>
      <c r="K20" s="70">
        <v>4704</v>
      </c>
      <c r="L20" s="70">
        <v>1870</v>
      </c>
    </row>
    <row r="21" spans="1:12" ht="12.75">
      <c r="A21" s="19" t="s">
        <v>149</v>
      </c>
      <c r="B21" s="70">
        <v>25953</v>
      </c>
      <c r="C21" s="70">
        <v>20146</v>
      </c>
      <c r="D21" s="70">
        <v>15965</v>
      </c>
      <c r="E21" s="70">
        <v>10661</v>
      </c>
      <c r="F21" s="70">
        <v>9639</v>
      </c>
      <c r="G21" s="70">
        <v>11618</v>
      </c>
      <c r="H21" s="70">
        <v>8918</v>
      </c>
      <c r="I21" s="70">
        <v>8346</v>
      </c>
      <c r="J21" s="70">
        <v>6557</v>
      </c>
      <c r="K21" s="70">
        <v>8337</v>
      </c>
      <c r="L21" s="70">
        <v>5712</v>
      </c>
    </row>
    <row r="22" spans="1:12" ht="12.75">
      <c r="A22" s="19" t="s">
        <v>256</v>
      </c>
      <c r="B22" s="70">
        <v>1737034</v>
      </c>
      <c r="C22" s="70">
        <v>1507319</v>
      </c>
      <c r="D22" s="70">
        <v>1269749</v>
      </c>
      <c r="E22" s="70">
        <v>1156633</v>
      </c>
      <c r="F22" s="70">
        <v>935014</v>
      </c>
      <c r="G22" s="70">
        <v>732992</v>
      </c>
      <c r="H22" s="70">
        <v>504980</v>
      </c>
      <c r="I22" s="70">
        <v>463517</v>
      </c>
      <c r="J22" s="70">
        <v>389273</v>
      </c>
      <c r="K22" s="70">
        <v>284638</v>
      </c>
      <c r="L22" s="70">
        <v>110053</v>
      </c>
    </row>
    <row r="23" spans="1:12" ht="12.75">
      <c r="A23" s="19" t="s">
        <v>257</v>
      </c>
      <c r="B23" s="70">
        <v>231969</v>
      </c>
      <c r="C23" s="70">
        <v>189731</v>
      </c>
      <c r="D23" s="70">
        <v>147152</v>
      </c>
      <c r="E23" s="70">
        <v>101732</v>
      </c>
      <c r="F23" s="70">
        <v>84176</v>
      </c>
      <c r="G23" s="70">
        <v>75724</v>
      </c>
      <c r="H23" s="70">
        <v>44387</v>
      </c>
      <c r="I23" s="70">
        <v>30776</v>
      </c>
      <c r="J23" s="70">
        <v>33162</v>
      </c>
      <c r="K23" s="70">
        <v>17647</v>
      </c>
      <c r="L23" s="70">
        <v>6767</v>
      </c>
    </row>
    <row r="24" spans="1:12" ht="12.75">
      <c r="A24" s="19" t="s">
        <v>258</v>
      </c>
      <c r="B24" s="70">
        <v>33362</v>
      </c>
      <c r="C24" s="70">
        <v>26725</v>
      </c>
      <c r="D24" s="70">
        <v>24877</v>
      </c>
      <c r="E24" s="70">
        <v>25039</v>
      </c>
      <c r="F24" s="70">
        <v>20467</v>
      </c>
      <c r="G24" s="70">
        <v>22235</v>
      </c>
      <c r="H24" s="70">
        <v>20230</v>
      </c>
      <c r="I24" s="70">
        <v>18154</v>
      </c>
      <c r="J24" s="70">
        <v>17737</v>
      </c>
      <c r="K24" s="70">
        <v>18561</v>
      </c>
      <c r="L24" s="70">
        <v>9704</v>
      </c>
    </row>
    <row r="25" spans="1:12" ht="12.75">
      <c r="A25" s="19" t="s">
        <v>259</v>
      </c>
      <c r="B25" s="70">
        <v>19161</v>
      </c>
      <c r="C25" s="70">
        <v>16616</v>
      </c>
      <c r="D25" s="70">
        <v>15822</v>
      </c>
      <c r="E25" s="70">
        <v>12138</v>
      </c>
      <c r="F25" s="70">
        <v>13455</v>
      </c>
      <c r="G25" s="70">
        <v>12049</v>
      </c>
      <c r="H25" s="70">
        <v>11357</v>
      </c>
      <c r="I25" s="70">
        <v>9825</v>
      </c>
      <c r="J25" s="70">
        <v>9268</v>
      </c>
      <c r="K25" s="70">
        <v>10180</v>
      </c>
      <c r="L25" s="70">
        <v>6407</v>
      </c>
    </row>
    <row r="26" spans="1:12" ht="12.75">
      <c r="A26" s="19" t="s">
        <v>154</v>
      </c>
      <c r="B26" s="70">
        <v>68600</v>
      </c>
      <c r="C26" s="70">
        <v>59358</v>
      </c>
      <c r="D26" s="70">
        <v>56025</v>
      </c>
      <c r="E26" s="70">
        <v>45467</v>
      </c>
      <c r="F26" s="70">
        <v>41858</v>
      </c>
      <c r="G26" s="70">
        <v>43755</v>
      </c>
      <c r="H26" s="70">
        <v>41393</v>
      </c>
      <c r="I26" s="70">
        <v>40034</v>
      </c>
      <c r="J26" s="70">
        <v>36840</v>
      </c>
      <c r="K26" s="70">
        <v>32127</v>
      </c>
      <c r="L26" s="70">
        <v>15157</v>
      </c>
    </row>
    <row r="27" spans="1:12" ht="12.75">
      <c r="A27" s="19" t="s">
        <v>155</v>
      </c>
      <c r="B27" s="70">
        <v>10184</v>
      </c>
      <c r="C27" s="70">
        <v>8864</v>
      </c>
      <c r="D27" s="70">
        <v>9604</v>
      </c>
      <c r="E27" s="70">
        <v>9572</v>
      </c>
      <c r="F27" s="70">
        <v>10919</v>
      </c>
      <c r="G27" s="70">
        <v>10970</v>
      </c>
      <c r="H27" s="70">
        <v>11361</v>
      </c>
      <c r="I27" s="70">
        <v>11876</v>
      </c>
      <c r="J27" s="70">
        <v>15141</v>
      </c>
      <c r="K27" s="70">
        <v>17539</v>
      </c>
      <c r="L27" s="70">
        <v>11969</v>
      </c>
    </row>
    <row r="28" spans="1:12" ht="12.75">
      <c r="A28" s="19" t="s">
        <v>260</v>
      </c>
      <c r="B28" s="70">
        <v>49405</v>
      </c>
      <c r="C28" s="70">
        <v>38341</v>
      </c>
      <c r="D28" s="70">
        <v>31184</v>
      </c>
      <c r="E28" s="70">
        <v>20918</v>
      </c>
      <c r="F28" s="70">
        <v>16251</v>
      </c>
      <c r="G28" s="70">
        <v>15022</v>
      </c>
      <c r="H28" s="70">
        <v>11603</v>
      </c>
      <c r="I28" s="70">
        <v>10060</v>
      </c>
      <c r="J28" s="70">
        <v>4919</v>
      </c>
      <c r="K28" s="70">
        <v>5156</v>
      </c>
      <c r="L28" s="70">
        <v>3810</v>
      </c>
    </row>
    <row r="29" spans="1:12" ht="12.75">
      <c r="A29" s="19" t="s">
        <v>261</v>
      </c>
      <c r="B29" s="70">
        <v>39564</v>
      </c>
      <c r="C29" s="70">
        <v>33350</v>
      </c>
      <c r="D29" s="70">
        <v>30639</v>
      </c>
      <c r="E29" s="70">
        <v>25867</v>
      </c>
      <c r="F29" s="70">
        <v>25520</v>
      </c>
      <c r="G29" s="70">
        <v>29131</v>
      </c>
      <c r="H29" s="70">
        <v>24546</v>
      </c>
      <c r="I29" s="70">
        <v>18519</v>
      </c>
      <c r="J29" s="70">
        <v>17094</v>
      </c>
      <c r="K29" s="70">
        <v>12887</v>
      </c>
      <c r="L29" s="70">
        <v>4689</v>
      </c>
    </row>
    <row r="30" spans="1:12" ht="12.75">
      <c r="A30" s="19" t="s">
        <v>262</v>
      </c>
      <c r="B30" s="70">
        <v>20984</v>
      </c>
      <c r="C30" s="70">
        <v>18882</v>
      </c>
      <c r="D30" s="70">
        <v>17237</v>
      </c>
      <c r="E30" s="70">
        <v>15796</v>
      </c>
      <c r="F30" s="70">
        <v>14674</v>
      </c>
      <c r="G30" s="70">
        <v>16558</v>
      </c>
      <c r="H30" s="70">
        <v>15928</v>
      </c>
      <c r="I30" s="70">
        <v>14970</v>
      </c>
      <c r="J30" s="70">
        <v>14891</v>
      </c>
      <c r="K30" s="70">
        <v>12532</v>
      </c>
      <c r="L30" s="70">
        <v>5983</v>
      </c>
    </row>
    <row r="31" spans="1:12" ht="12.75">
      <c r="A31" s="19" t="s">
        <v>263</v>
      </c>
      <c r="B31" s="70">
        <v>11732</v>
      </c>
      <c r="C31" s="70">
        <v>8915</v>
      </c>
      <c r="D31" s="70">
        <v>8580</v>
      </c>
      <c r="E31" s="70">
        <v>6025</v>
      </c>
      <c r="F31" s="70">
        <v>6914</v>
      </c>
      <c r="G31" s="70">
        <v>7413</v>
      </c>
      <c r="H31" s="70">
        <v>7156</v>
      </c>
      <c r="I31" s="70">
        <v>7155</v>
      </c>
      <c r="J31" s="70">
        <v>6363</v>
      </c>
      <c r="K31" s="70" t="s">
        <v>587</v>
      </c>
      <c r="L31" s="70" t="s">
        <v>587</v>
      </c>
    </row>
    <row r="32" spans="1:12" ht="12.75">
      <c r="A32" s="19" t="s">
        <v>264</v>
      </c>
      <c r="B32" s="70">
        <v>700820</v>
      </c>
      <c r="C32" s="70">
        <v>586203</v>
      </c>
      <c r="D32" s="70">
        <v>485643</v>
      </c>
      <c r="E32" s="70">
        <v>411027</v>
      </c>
      <c r="F32" s="70">
        <v>321590</v>
      </c>
      <c r="G32" s="70">
        <v>275876</v>
      </c>
      <c r="H32" s="70">
        <v>182081</v>
      </c>
      <c r="I32" s="70">
        <v>163842</v>
      </c>
      <c r="J32" s="70">
        <v>144127</v>
      </c>
      <c r="K32" s="70">
        <v>120812</v>
      </c>
      <c r="L32" s="70">
        <v>55515</v>
      </c>
    </row>
    <row r="33" spans="1:12" ht="12.75">
      <c r="A33" s="19" t="s">
        <v>265</v>
      </c>
      <c r="B33" s="70">
        <v>14077</v>
      </c>
      <c r="C33" s="70">
        <v>10035</v>
      </c>
      <c r="D33" s="70">
        <v>7838</v>
      </c>
      <c r="E33" s="70">
        <v>3856</v>
      </c>
      <c r="F33" s="70">
        <v>2872</v>
      </c>
      <c r="G33" s="70">
        <v>3245</v>
      </c>
      <c r="H33" s="70">
        <v>3157</v>
      </c>
      <c r="I33" s="70">
        <v>3097</v>
      </c>
      <c r="J33" s="70">
        <v>3605</v>
      </c>
      <c r="K33" s="70">
        <v>3603</v>
      </c>
      <c r="L33" s="70">
        <v>2928</v>
      </c>
    </row>
    <row r="34" spans="1:12" ht="12.75">
      <c r="A34" s="19" t="s">
        <v>266</v>
      </c>
      <c r="B34" s="70">
        <v>102979</v>
      </c>
      <c r="C34" s="70">
        <v>79555</v>
      </c>
      <c r="D34" s="70">
        <v>64138</v>
      </c>
      <c r="E34" s="70">
        <v>52381</v>
      </c>
      <c r="F34" s="70">
        <v>51350</v>
      </c>
      <c r="G34" s="70">
        <v>43273</v>
      </c>
      <c r="H34" s="70">
        <v>37650</v>
      </c>
      <c r="I34" s="70">
        <v>35142</v>
      </c>
      <c r="J34" s="70">
        <v>33373</v>
      </c>
      <c r="K34" s="70">
        <v>29241</v>
      </c>
      <c r="L34" s="70">
        <v>14272</v>
      </c>
    </row>
    <row r="35" spans="1:12" ht="12.75">
      <c r="A35" s="19" t="s">
        <v>267</v>
      </c>
      <c r="B35" s="70">
        <v>9872</v>
      </c>
      <c r="C35" s="70">
        <v>8289</v>
      </c>
      <c r="D35" s="70">
        <v>7919</v>
      </c>
      <c r="E35" s="70">
        <v>5845</v>
      </c>
      <c r="F35" s="70">
        <v>5207</v>
      </c>
      <c r="G35" s="70">
        <v>4788</v>
      </c>
      <c r="H35" s="70">
        <v>4633</v>
      </c>
      <c r="I35" s="70">
        <v>2891</v>
      </c>
      <c r="J35" s="70">
        <v>2357</v>
      </c>
      <c r="K35" s="70">
        <v>2887</v>
      </c>
      <c r="L35" s="70">
        <v>1688</v>
      </c>
    </row>
    <row r="36" spans="1:12" ht="12.75">
      <c r="A36" s="19" t="s">
        <v>268</v>
      </c>
      <c r="B36" s="70">
        <v>606024</v>
      </c>
      <c r="C36" s="70">
        <v>465642</v>
      </c>
      <c r="D36" s="70">
        <v>337720</v>
      </c>
      <c r="E36" s="70">
        <v>265236</v>
      </c>
      <c r="F36" s="70">
        <v>172199</v>
      </c>
      <c r="G36" s="70">
        <v>111580</v>
      </c>
      <c r="H36" s="70">
        <v>88754</v>
      </c>
      <c r="I36" s="70">
        <v>78861</v>
      </c>
      <c r="J36" s="70">
        <v>67690</v>
      </c>
      <c r="K36" s="70">
        <v>59209</v>
      </c>
      <c r="L36" s="70">
        <v>23950</v>
      </c>
    </row>
    <row r="37" spans="1:12" ht="12.75">
      <c r="A37" s="19" t="s">
        <v>269</v>
      </c>
      <c r="B37" s="70">
        <v>417939</v>
      </c>
      <c r="C37" s="70">
        <v>361364</v>
      </c>
      <c r="D37" s="70">
        <v>341835</v>
      </c>
      <c r="E37" s="70">
        <v>287487</v>
      </c>
      <c r="F37" s="70">
        <v>278333</v>
      </c>
      <c r="G37" s="70">
        <v>221561</v>
      </c>
      <c r="H37" s="70">
        <v>164652</v>
      </c>
      <c r="I37" s="70">
        <v>150477</v>
      </c>
      <c r="J37" s="70">
        <v>141289</v>
      </c>
      <c r="K37" s="70">
        <v>139404</v>
      </c>
      <c r="L37" s="70">
        <v>57542</v>
      </c>
    </row>
    <row r="38" spans="1:12" ht="12.75">
      <c r="A38" s="19" t="s">
        <v>270</v>
      </c>
      <c r="B38" s="70">
        <v>40066</v>
      </c>
      <c r="C38" s="70">
        <v>30948</v>
      </c>
      <c r="D38" s="70">
        <v>28979</v>
      </c>
      <c r="E38" s="70">
        <v>17405</v>
      </c>
      <c r="F38" s="70">
        <v>17884</v>
      </c>
      <c r="G38" s="70">
        <v>18580</v>
      </c>
      <c r="H38" s="70">
        <v>19275</v>
      </c>
      <c r="I38" s="70">
        <v>18550</v>
      </c>
      <c r="J38" s="70">
        <v>21605</v>
      </c>
      <c r="K38" s="70">
        <v>25297</v>
      </c>
      <c r="L38" s="70">
        <v>10543</v>
      </c>
    </row>
    <row r="39" spans="1:12" ht="12.75">
      <c r="A39" s="19" t="s">
        <v>271</v>
      </c>
      <c r="B39" s="70">
        <v>207355</v>
      </c>
      <c r="C39" s="70">
        <v>161238</v>
      </c>
      <c r="D39" s="70">
        <v>124264</v>
      </c>
      <c r="E39" s="70">
        <v>76894</v>
      </c>
      <c r="F39" s="70">
        <v>55049</v>
      </c>
      <c r="G39" s="70">
        <v>44884</v>
      </c>
      <c r="H39" s="70">
        <v>37285</v>
      </c>
      <c r="I39" s="70">
        <v>31351</v>
      </c>
      <c r="J39" s="70">
        <v>22366</v>
      </c>
      <c r="K39" s="70">
        <v>17581</v>
      </c>
      <c r="L39" s="70">
        <v>9927</v>
      </c>
    </row>
    <row r="40" spans="1:12" ht="12.75">
      <c r="A40" s="19" t="s">
        <v>272</v>
      </c>
      <c r="B40" s="70">
        <v>3824</v>
      </c>
      <c r="C40" s="70">
        <v>3327</v>
      </c>
      <c r="D40" s="70">
        <v>3832</v>
      </c>
      <c r="E40" s="70">
        <v>3592</v>
      </c>
      <c r="F40" s="70">
        <v>3426</v>
      </c>
      <c r="G40" s="70">
        <v>3835</v>
      </c>
      <c r="H40" s="70">
        <v>4286</v>
      </c>
      <c r="I40" s="70">
        <v>3862</v>
      </c>
      <c r="J40" s="70">
        <v>3472</v>
      </c>
      <c r="K40" s="70">
        <v>3285</v>
      </c>
      <c r="L40" s="70">
        <v>2819</v>
      </c>
    </row>
    <row r="41" spans="1:12" ht="12.75">
      <c r="A41" s="19" t="s">
        <v>273</v>
      </c>
      <c r="B41" s="70">
        <v>55180</v>
      </c>
      <c r="C41" s="70">
        <v>48439</v>
      </c>
      <c r="D41" s="70">
        <v>47435</v>
      </c>
      <c r="E41" s="70">
        <v>42176</v>
      </c>
      <c r="F41" s="70">
        <v>42195</v>
      </c>
      <c r="G41" s="70">
        <v>40135</v>
      </c>
      <c r="H41" s="70">
        <v>30547</v>
      </c>
      <c r="I41" s="70">
        <v>28441</v>
      </c>
      <c r="J41" s="70">
        <v>27539</v>
      </c>
      <c r="K41" s="70">
        <v>31931</v>
      </c>
      <c r="L41" s="70">
        <v>18680</v>
      </c>
    </row>
    <row r="42" spans="1:12" ht="12.75">
      <c r="A42" s="19" t="s">
        <v>274</v>
      </c>
      <c r="B42" s="70">
        <v>166814</v>
      </c>
      <c r="C42" s="70">
        <v>127780</v>
      </c>
      <c r="D42" s="70">
        <v>106701</v>
      </c>
      <c r="E42" s="70">
        <v>81950</v>
      </c>
      <c r="F42" s="70">
        <v>70317</v>
      </c>
      <c r="G42" s="70">
        <v>66733</v>
      </c>
      <c r="H42" s="70">
        <v>60355</v>
      </c>
      <c r="I42" s="70">
        <v>59128</v>
      </c>
      <c r="J42" s="70">
        <v>50600</v>
      </c>
      <c r="K42" s="70">
        <v>49511</v>
      </c>
      <c r="L42" s="70">
        <v>24116</v>
      </c>
    </row>
    <row r="43" spans="1:12" ht="12.75">
      <c r="A43" s="19" t="s">
        <v>275</v>
      </c>
      <c r="B43" s="70">
        <v>40740</v>
      </c>
      <c r="C43" s="70">
        <v>38775</v>
      </c>
      <c r="D43" s="70">
        <v>40103</v>
      </c>
      <c r="E43" s="70">
        <v>37900</v>
      </c>
      <c r="F43" s="70">
        <v>31263</v>
      </c>
      <c r="G43" s="70">
        <v>32469</v>
      </c>
      <c r="H43" s="70">
        <v>27221</v>
      </c>
      <c r="I43" s="70">
        <v>28014</v>
      </c>
      <c r="J43" s="70">
        <v>31323</v>
      </c>
      <c r="K43" s="70">
        <v>33280</v>
      </c>
      <c r="L43" s="70">
        <v>25360</v>
      </c>
    </row>
    <row r="44" spans="1:12" ht="12.75">
      <c r="A44" s="19" t="s">
        <v>276</v>
      </c>
      <c r="B44" s="70">
        <v>222581</v>
      </c>
      <c r="C44" s="70">
        <v>188823</v>
      </c>
      <c r="D44" s="70">
        <v>172508</v>
      </c>
      <c r="E44" s="70">
        <v>144971</v>
      </c>
      <c r="F44" s="70">
        <v>145112</v>
      </c>
      <c r="G44" s="70">
        <v>135723</v>
      </c>
      <c r="H44" s="70">
        <v>99019</v>
      </c>
      <c r="I44" s="70">
        <v>77402</v>
      </c>
      <c r="J44" s="70">
        <v>63710</v>
      </c>
      <c r="K44" s="70">
        <v>41709</v>
      </c>
      <c r="L44" s="70">
        <v>13462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
  <sheetViews>
    <sheetView workbookViewId="0" topLeftCell="A1">
      <selection activeCell="D3" sqref="D3"/>
    </sheetView>
  </sheetViews>
  <sheetFormatPr defaultColWidth="9.140625" defaultRowHeight="12.75"/>
  <cols>
    <col min="1" max="1" width="12.28125" style="0" customWidth="1"/>
    <col min="2" max="2" width="15.140625" style="0" customWidth="1"/>
    <col min="3" max="3" width="11.00390625" style="0" customWidth="1"/>
    <col min="4" max="4" width="15.00390625" style="0" bestFit="1" customWidth="1"/>
    <col min="5" max="5" width="14.00390625" style="0" customWidth="1"/>
    <col min="6" max="6" width="16.140625" style="0" customWidth="1"/>
    <col min="7" max="7" width="17.140625" style="0" customWidth="1"/>
  </cols>
  <sheetData>
    <row r="1" ht="13.5" thickBot="1">
      <c r="A1">
        <v>2000</v>
      </c>
    </row>
    <row r="2" spans="1:7" ht="12.75">
      <c r="A2" s="73" t="s">
        <v>37</v>
      </c>
      <c r="B2" s="74" t="s">
        <v>288</v>
      </c>
      <c r="C2" s="74" t="s">
        <v>61</v>
      </c>
      <c r="D2" s="74" t="s">
        <v>291</v>
      </c>
      <c r="E2" s="74" t="s">
        <v>61</v>
      </c>
      <c r="F2" s="74" t="s">
        <v>292</v>
      </c>
      <c r="G2" s="75" t="s">
        <v>294</v>
      </c>
    </row>
    <row r="3" spans="1:7" ht="12.75">
      <c r="A3" s="58" t="s">
        <v>39</v>
      </c>
      <c r="B3" s="51">
        <f>'ID Housing Units by County'!B4</f>
        <v>527824</v>
      </c>
      <c r="C3" s="66">
        <f>B3/B$7</f>
        <v>0.10895907119402193</v>
      </c>
      <c r="D3" s="49">
        <f>'PNW and State Population'!B26</f>
        <v>1293953</v>
      </c>
      <c r="E3" s="66">
        <f>D3/D$7</f>
        <v>0.11240360649733817</v>
      </c>
      <c r="F3" s="72">
        <f aca="true" t="shared" si="0" ref="F3:F8">D3/B3</f>
        <v>2.4514857225135653</v>
      </c>
      <c r="G3" s="76">
        <f>'Per Capita Income'!B25</f>
        <v>23727</v>
      </c>
    </row>
    <row r="4" spans="1:7" ht="12.75">
      <c r="A4" s="58" t="s">
        <v>40</v>
      </c>
      <c r="B4" s="51">
        <f>'MT Housing Units by County'!B4</f>
        <v>412633</v>
      </c>
      <c r="C4" s="66">
        <f aca="true" t="shared" si="1" ref="C4:E7">B4/B$7</f>
        <v>0.08518011387129583</v>
      </c>
      <c r="D4" s="49">
        <f>'PNW and State Population'!C26</f>
        <v>902195</v>
      </c>
      <c r="E4" s="66">
        <f t="shared" si="1"/>
        <v>0.0783722219925036</v>
      </c>
      <c r="F4" s="72">
        <f t="shared" si="0"/>
        <v>2.1864344344732487</v>
      </c>
      <c r="G4" s="76">
        <f>'Per Capita Income'!C25</f>
        <v>22518</v>
      </c>
    </row>
    <row r="5" spans="1:7" ht="12.75">
      <c r="A5" s="58" t="s">
        <v>41</v>
      </c>
      <c r="B5" s="51">
        <f>'OR Housing Units by County'!B4</f>
        <v>1452709</v>
      </c>
      <c r="C5" s="66">
        <f t="shared" si="1"/>
        <v>0.29988371759373655</v>
      </c>
      <c r="D5" s="49">
        <f>'PNW and State Population'!D26</f>
        <v>3421399</v>
      </c>
      <c r="E5" s="66">
        <f t="shared" si="1"/>
        <v>0.2972114032475572</v>
      </c>
      <c r="F5" s="72">
        <f t="shared" si="0"/>
        <v>2.3551853812429053</v>
      </c>
      <c r="G5" s="76">
        <f>'Per Capita Income'!D25</f>
        <v>27660</v>
      </c>
    </row>
    <row r="6" spans="1:7" ht="12.75">
      <c r="A6" s="58" t="s">
        <v>42</v>
      </c>
      <c r="B6" s="51">
        <f>'WA Housing Units by County'!B4</f>
        <v>2451075</v>
      </c>
      <c r="C6" s="66">
        <f t="shared" si="1"/>
        <v>0.5059770973409456</v>
      </c>
      <c r="D6" s="49">
        <f>'PNW and State Population'!E26</f>
        <v>5894121</v>
      </c>
      <c r="E6" s="66">
        <f t="shared" si="1"/>
        <v>0.512012768262601</v>
      </c>
      <c r="F6" s="72">
        <f t="shared" si="0"/>
        <v>2.4047085462501148</v>
      </c>
      <c r="G6" s="76">
        <f>'Per Capita Income'!E25</f>
        <v>31230</v>
      </c>
    </row>
    <row r="7" spans="1:7" ht="13.5" thickBot="1">
      <c r="A7" s="79" t="s">
        <v>284</v>
      </c>
      <c r="B7" s="80">
        <f>SUM(B3:B6)</f>
        <v>4844241</v>
      </c>
      <c r="C7" s="81">
        <f t="shared" si="1"/>
        <v>1</v>
      </c>
      <c r="D7" s="82">
        <f>SUM(D3:D6)</f>
        <v>11511668</v>
      </c>
      <c r="E7" s="81">
        <f t="shared" si="1"/>
        <v>1</v>
      </c>
      <c r="F7" s="83">
        <f t="shared" si="0"/>
        <v>2.37636153940318</v>
      </c>
      <c r="G7" s="84">
        <f>SUMPRODUCT(E3:E6,G3:G6)</f>
        <v>28642.812232858</v>
      </c>
    </row>
    <row r="8" spans="1:7" ht="13.5" thickBot="1">
      <c r="A8" s="77" t="s">
        <v>295</v>
      </c>
      <c r="B8" s="85">
        <v>115904641</v>
      </c>
      <c r="C8" s="78">
        <f>B7/B8</f>
        <v>0.04179505633428432</v>
      </c>
      <c r="D8" s="86">
        <v>281421906</v>
      </c>
      <c r="E8" s="78">
        <f>D7/D8</f>
        <v>0.040905372874562224</v>
      </c>
      <c r="F8" s="87">
        <f t="shared" si="0"/>
        <v>2.428046914877205</v>
      </c>
      <c r="G8" s="88">
        <v>29469</v>
      </c>
    </row>
    <row r="9" ht="12.75">
      <c r="A9" t="s">
        <v>293</v>
      </c>
    </row>
  </sheetData>
  <printOptions/>
  <pageMargins left="0.75" right="0.75" top="1" bottom="1" header="0.5" footer="0.5"/>
  <pageSetup orientation="portrait" paperSize="9"/>
  <legacyDrawing r:id="rId2"/>
</worksheet>
</file>

<file path=xl/worksheets/sheet26.xml><?xml version="1.0" encoding="utf-8"?>
<worksheet xmlns="http://schemas.openxmlformats.org/spreadsheetml/2006/main" xmlns:r="http://schemas.openxmlformats.org/officeDocument/2006/relationships">
  <dimension ref="A2:E48"/>
  <sheetViews>
    <sheetView workbookViewId="0" topLeftCell="A1">
      <selection activeCell="I17" sqref="I17"/>
    </sheetView>
  </sheetViews>
  <sheetFormatPr defaultColWidth="9.140625" defaultRowHeight="12.75"/>
  <cols>
    <col min="1" max="1" width="35.00390625" style="0" customWidth="1"/>
    <col min="2" max="2" width="7.57421875" style="0" customWidth="1"/>
    <col min="3" max="5" width="8.7109375" style="0" customWidth="1"/>
  </cols>
  <sheetData>
    <row r="2" spans="1:5" ht="12.75">
      <c r="A2" s="400" t="s">
        <v>287</v>
      </c>
      <c r="B2" s="408" t="s">
        <v>288</v>
      </c>
      <c r="C2" s="408"/>
      <c r="D2" s="408"/>
      <c r="E2" s="408"/>
    </row>
    <row r="3" spans="1:5" ht="12.75">
      <c r="A3" s="282" t="s">
        <v>289</v>
      </c>
      <c r="B3" s="19">
        <v>2000</v>
      </c>
      <c r="C3" s="19">
        <v>1990</v>
      </c>
      <c r="D3" s="19">
        <v>1980</v>
      </c>
      <c r="E3" s="19">
        <v>1970</v>
      </c>
    </row>
    <row r="4" spans="1:5" ht="12.75">
      <c r="A4" s="282" t="s">
        <v>39</v>
      </c>
      <c r="B4" s="48">
        <v>527824</v>
      </c>
      <c r="C4" s="26">
        <f>SUM(C5:C48)</f>
        <v>413327</v>
      </c>
      <c r="D4" s="26">
        <f>SUM(D5:D48)</f>
        <v>368901</v>
      </c>
      <c r="E4" s="26">
        <f>SUM(E5:E48)</f>
        <v>244623</v>
      </c>
    </row>
    <row r="5" spans="1:5" ht="12.75">
      <c r="A5" s="19" t="s">
        <v>716</v>
      </c>
      <c r="B5" s="48">
        <v>118516</v>
      </c>
      <c r="C5" s="49">
        <v>80849</v>
      </c>
      <c r="D5" s="49">
        <v>67869</v>
      </c>
      <c r="E5" s="49">
        <v>37145</v>
      </c>
    </row>
    <row r="6" spans="1:5" ht="12.75">
      <c r="A6" s="19" t="s">
        <v>594</v>
      </c>
      <c r="B6" s="48">
        <v>1982</v>
      </c>
      <c r="C6" s="49">
        <v>1778</v>
      </c>
      <c r="D6" s="49">
        <v>1580</v>
      </c>
      <c r="E6" s="49">
        <v>1151</v>
      </c>
    </row>
    <row r="7" spans="1:5" ht="12.75">
      <c r="A7" s="19" t="s">
        <v>717</v>
      </c>
      <c r="B7" s="48">
        <v>29102</v>
      </c>
      <c r="C7" s="49">
        <v>25694</v>
      </c>
      <c r="D7" s="49">
        <v>24819</v>
      </c>
      <c r="E7" s="49">
        <v>16516</v>
      </c>
    </row>
    <row r="8" spans="1:5" ht="12.75">
      <c r="A8" s="19" t="s">
        <v>718</v>
      </c>
      <c r="B8" s="48">
        <v>3268</v>
      </c>
      <c r="C8" s="49">
        <v>2934</v>
      </c>
      <c r="D8" s="49">
        <v>2792</v>
      </c>
      <c r="E8" s="49">
        <v>2173</v>
      </c>
    </row>
    <row r="9" spans="1:5" ht="12.75">
      <c r="A9" s="19" t="s">
        <v>719</v>
      </c>
      <c r="B9" s="48">
        <v>4238</v>
      </c>
      <c r="C9" s="49">
        <v>3731</v>
      </c>
      <c r="D9" s="49">
        <v>3499</v>
      </c>
      <c r="E9" s="49">
        <v>2360</v>
      </c>
    </row>
    <row r="10" spans="1:5" ht="12.75">
      <c r="A10" s="19" t="s">
        <v>720</v>
      </c>
      <c r="B10" s="48">
        <v>14303</v>
      </c>
      <c r="C10" s="49">
        <v>12664</v>
      </c>
      <c r="D10" s="49">
        <v>12084</v>
      </c>
      <c r="E10" s="49">
        <v>8429</v>
      </c>
    </row>
    <row r="11" spans="1:5" ht="12.75">
      <c r="A11" s="19" t="s">
        <v>636</v>
      </c>
      <c r="B11" s="48">
        <v>12186</v>
      </c>
      <c r="C11" s="49">
        <v>9500</v>
      </c>
      <c r="D11" s="49">
        <v>7319</v>
      </c>
      <c r="E11" s="49">
        <v>3064</v>
      </c>
    </row>
    <row r="12" spans="1:5" ht="12.75">
      <c r="A12" s="19" t="s">
        <v>721</v>
      </c>
      <c r="B12" s="48">
        <v>4349</v>
      </c>
      <c r="C12" s="49">
        <v>2894</v>
      </c>
      <c r="D12" s="49">
        <v>2372</v>
      </c>
      <c r="E12" s="49">
        <v>1212</v>
      </c>
    </row>
    <row r="13" spans="1:5" ht="12.75">
      <c r="A13" s="19" t="s">
        <v>722</v>
      </c>
      <c r="B13" s="48">
        <v>19646</v>
      </c>
      <c r="C13" s="49">
        <v>15152</v>
      </c>
      <c r="D13" s="49">
        <v>13055</v>
      </c>
      <c r="E13" s="49">
        <v>7412</v>
      </c>
    </row>
    <row r="14" spans="1:5" ht="12.75">
      <c r="A14" s="19" t="s">
        <v>723</v>
      </c>
      <c r="B14" s="48">
        <v>30484</v>
      </c>
      <c r="C14" s="49">
        <v>26049</v>
      </c>
      <c r="D14" s="49">
        <v>23492</v>
      </c>
      <c r="E14" s="49">
        <v>15908</v>
      </c>
    </row>
    <row r="15" spans="1:5" ht="12.75">
      <c r="A15" s="19" t="s">
        <v>724</v>
      </c>
      <c r="B15" s="48">
        <v>4095</v>
      </c>
      <c r="C15" s="49">
        <v>3242</v>
      </c>
      <c r="D15" s="49">
        <v>2755</v>
      </c>
      <c r="E15" s="49">
        <v>1830</v>
      </c>
    </row>
    <row r="16" spans="1:5" ht="12.75">
      <c r="A16" s="19" t="s">
        <v>725</v>
      </c>
      <c r="B16" s="48">
        <v>1290</v>
      </c>
      <c r="C16" s="49">
        <v>1265</v>
      </c>
      <c r="D16" s="49">
        <v>1280</v>
      </c>
      <c r="E16" s="49">
        <v>1021</v>
      </c>
    </row>
    <row r="17" spans="1:5" ht="12.75">
      <c r="A17" s="19" t="s">
        <v>726</v>
      </c>
      <c r="B17" s="47">
        <v>601</v>
      </c>
      <c r="C17" s="49">
        <v>481</v>
      </c>
      <c r="D17" s="49">
        <v>527</v>
      </c>
      <c r="E17" s="49">
        <v>373</v>
      </c>
    </row>
    <row r="18" spans="1:5" ht="12.75">
      <c r="A18" s="19" t="s">
        <v>727</v>
      </c>
      <c r="B18" s="48">
        <v>47965</v>
      </c>
      <c r="C18" s="49">
        <v>33137</v>
      </c>
      <c r="D18" s="49">
        <v>30616</v>
      </c>
      <c r="E18" s="49">
        <v>20235</v>
      </c>
    </row>
    <row r="19" spans="1:5" ht="12.75">
      <c r="A19" s="19" t="s">
        <v>728</v>
      </c>
      <c r="B19" s="48">
        <v>3188</v>
      </c>
      <c r="C19" s="49">
        <v>2867</v>
      </c>
      <c r="D19" s="49">
        <v>3105</v>
      </c>
      <c r="E19" s="49">
        <v>2184</v>
      </c>
    </row>
    <row r="20" spans="1:5" ht="12.75">
      <c r="A20" s="19" t="s">
        <v>729</v>
      </c>
      <c r="B20" s="48">
        <v>7862</v>
      </c>
      <c r="C20" s="49">
        <v>7212</v>
      </c>
      <c r="D20" s="49">
        <v>710</v>
      </c>
      <c r="E20" s="49">
        <v>5371</v>
      </c>
    </row>
    <row r="21" spans="1:5" ht="12.75">
      <c r="A21" s="19" t="s">
        <v>599</v>
      </c>
      <c r="B21" s="47">
        <v>521</v>
      </c>
      <c r="C21" s="49">
        <v>502</v>
      </c>
      <c r="D21" s="49">
        <v>445</v>
      </c>
      <c r="E21" s="49">
        <v>325</v>
      </c>
    </row>
    <row r="22" spans="1:5" ht="12.75">
      <c r="A22" s="19" t="s">
        <v>730</v>
      </c>
      <c r="B22" s="48">
        <v>4144</v>
      </c>
      <c r="C22" s="49">
        <v>3805</v>
      </c>
      <c r="D22" s="49">
        <v>4112</v>
      </c>
      <c r="E22" s="49">
        <v>3633</v>
      </c>
    </row>
    <row r="23" spans="1:5" ht="12.75">
      <c r="A23" s="19" t="s">
        <v>642</v>
      </c>
      <c r="B23" s="48">
        <v>2983</v>
      </c>
      <c r="C23" s="49">
        <v>2437</v>
      </c>
      <c r="D23" s="49">
        <v>2100</v>
      </c>
      <c r="E23" s="49">
        <v>1320</v>
      </c>
    </row>
    <row r="24" spans="1:5" ht="12.75">
      <c r="A24" s="19" t="s">
        <v>731</v>
      </c>
      <c r="B24" s="48">
        <v>10527</v>
      </c>
      <c r="C24" s="49">
        <v>8430</v>
      </c>
      <c r="D24" s="49">
        <v>8055</v>
      </c>
      <c r="E24" s="49">
        <v>5286</v>
      </c>
    </row>
    <row r="25" spans="1:5" ht="12.75">
      <c r="A25" s="19" t="s">
        <v>604</v>
      </c>
      <c r="B25" s="48">
        <v>3872</v>
      </c>
      <c r="C25" s="49">
        <v>3240</v>
      </c>
      <c r="D25" s="49">
        <v>3047</v>
      </c>
      <c r="E25" s="49">
        <v>2465</v>
      </c>
    </row>
    <row r="26" spans="1:5" ht="12.75">
      <c r="A26" s="19" t="s">
        <v>732</v>
      </c>
      <c r="B26" s="48">
        <v>6890</v>
      </c>
      <c r="C26" s="49">
        <v>5961</v>
      </c>
      <c r="D26" s="49">
        <v>5376</v>
      </c>
      <c r="E26" s="49">
        <v>3655</v>
      </c>
    </row>
    <row r="27" spans="1:5" ht="12.75">
      <c r="A27" s="19" t="s">
        <v>733</v>
      </c>
      <c r="B27" s="48">
        <v>5888</v>
      </c>
      <c r="C27" s="49">
        <v>4725</v>
      </c>
      <c r="D27" s="49">
        <v>4578</v>
      </c>
      <c r="E27" s="49">
        <v>3332</v>
      </c>
    </row>
    <row r="28" spans="1:5" ht="12.75">
      <c r="A28" s="19" t="s">
        <v>734</v>
      </c>
      <c r="B28" s="48">
        <v>5505</v>
      </c>
      <c r="C28" s="49">
        <v>4800</v>
      </c>
      <c r="D28" s="49">
        <v>4591</v>
      </c>
      <c r="E28" s="49">
        <v>3127</v>
      </c>
    </row>
    <row r="29" spans="1:5" ht="12.75">
      <c r="A29" s="19" t="s">
        <v>39</v>
      </c>
      <c r="B29" s="48">
        <v>7537</v>
      </c>
      <c r="C29" s="49">
        <v>6346</v>
      </c>
      <c r="D29" s="49">
        <v>6344</v>
      </c>
      <c r="E29" s="49">
        <v>4272</v>
      </c>
    </row>
    <row r="30" spans="1:5" ht="12.75">
      <c r="A30" s="19" t="s">
        <v>609</v>
      </c>
      <c r="B30" s="48">
        <v>6287</v>
      </c>
      <c r="C30" s="49">
        <v>5353</v>
      </c>
      <c r="D30" s="49">
        <v>4994</v>
      </c>
      <c r="E30" s="49">
        <v>3537</v>
      </c>
    </row>
    <row r="31" spans="1:5" ht="12.75">
      <c r="A31" s="19" t="s">
        <v>735</v>
      </c>
      <c r="B31" s="48">
        <v>6713</v>
      </c>
      <c r="C31" s="49">
        <v>5886</v>
      </c>
      <c r="D31" s="49">
        <v>5531</v>
      </c>
      <c r="E31" s="49">
        <v>3637</v>
      </c>
    </row>
    <row r="32" spans="1:5" ht="12.75">
      <c r="A32" s="19" t="s">
        <v>736</v>
      </c>
      <c r="B32" s="48">
        <v>46607</v>
      </c>
      <c r="C32" s="49">
        <v>31964</v>
      </c>
      <c r="D32" s="49">
        <v>26959</v>
      </c>
      <c r="E32" s="49">
        <v>14713</v>
      </c>
    </row>
    <row r="33" spans="1:5" ht="12.75">
      <c r="A33" s="19" t="s">
        <v>737</v>
      </c>
      <c r="B33" s="48">
        <v>13838</v>
      </c>
      <c r="C33" s="49">
        <v>11870</v>
      </c>
      <c r="D33" s="49">
        <v>11013</v>
      </c>
      <c r="E33" s="49">
        <v>8064</v>
      </c>
    </row>
    <row r="34" spans="1:5" ht="12.75">
      <c r="A34" s="19" t="s">
        <v>738</v>
      </c>
      <c r="B34" s="48">
        <v>4154</v>
      </c>
      <c r="C34" s="49">
        <v>3752</v>
      </c>
      <c r="D34" s="49">
        <v>3452</v>
      </c>
      <c r="E34" s="49">
        <v>2253</v>
      </c>
    </row>
    <row r="35" spans="1:5" ht="12.75">
      <c r="A35" s="19" t="s">
        <v>614</v>
      </c>
      <c r="B35" s="48">
        <v>1795</v>
      </c>
      <c r="C35" s="49">
        <v>1681</v>
      </c>
      <c r="D35" s="49">
        <v>1807</v>
      </c>
      <c r="E35" s="49">
        <v>1412</v>
      </c>
    </row>
    <row r="36" spans="1:5" ht="12.75">
      <c r="A36" s="19" t="s">
        <v>615</v>
      </c>
      <c r="B36" s="48">
        <v>1651</v>
      </c>
      <c r="C36" s="49">
        <v>1386</v>
      </c>
      <c r="D36" s="49">
        <v>1343</v>
      </c>
      <c r="E36" s="49">
        <v>1152</v>
      </c>
    </row>
    <row r="37" spans="1:5" ht="12.75">
      <c r="A37" s="19" t="s">
        <v>659</v>
      </c>
      <c r="B37" s="48">
        <v>7630</v>
      </c>
      <c r="C37" s="49">
        <v>6133</v>
      </c>
      <c r="D37" s="49">
        <v>5537</v>
      </c>
      <c r="E37" s="49">
        <v>3175</v>
      </c>
    </row>
    <row r="38" spans="1:5" ht="12.75">
      <c r="A38" s="19" t="s">
        <v>739</v>
      </c>
      <c r="B38" s="48">
        <v>7498</v>
      </c>
      <c r="C38" s="49">
        <v>7044</v>
      </c>
      <c r="D38" s="49">
        <v>6876</v>
      </c>
      <c r="E38" s="49">
        <v>4816</v>
      </c>
    </row>
    <row r="39" spans="1:5" ht="12.75">
      <c r="A39" s="19" t="s">
        <v>740</v>
      </c>
      <c r="B39" s="48">
        <v>16203</v>
      </c>
      <c r="C39" s="49">
        <v>14463</v>
      </c>
      <c r="D39" s="49">
        <v>13507</v>
      </c>
      <c r="E39" s="49">
        <v>10687</v>
      </c>
    </row>
    <row r="40" spans="1:5" ht="12.75">
      <c r="A40" s="19" t="s">
        <v>741</v>
      </c>
      <c r="B40" s="48">
        <v>1755</v>
      </c>
      <c r="C40" s="49">
        <v>1496</v>
      </c>
      <c r="D40" s="49">
        <v>1475</v>
      </c>
      <c r="E40" s="49">
        <v>1233</v>
      </c>
    </row>
    <row r="41" spans="1:5" ht="12.75">
      <c r="A41" s="19" t="s">
        <v>742</v>
      </c>
      <c r="B41" s="48">
        <v>4452</v>
      </c>
      <c r="C41" s="49">
        <v>3332</v>
      </c>
      <c r="D41" s="49">
        <v>3015</v>
      </c>
      <c r="E41" s="49">
        <v>2135</v>
      </c>
    </row>
    <row r="42" spans="1:5" ht="12.75">
      <c r="A42" s="19" t="s">
        <v>743</v>
      </c>
      <c r="B42" s="48">
        <v>7949</v>
      </c>
      <c r="C42" s="49">
        <v>6520</v>
      </c>
      <c r="D42" s="49">
        <v>6154</v>
      </c>
      <c r="E42" s="49">
        <v>4453</v>
      </c>
    </row>
    <row r="43" spans="1:5" ht="12.75">
      <c r="A43" s="19" t="s">
        <v>744</v>
      </c>
      <c r="B43" s="48">
        <v>2844</v>
      </c>
      <c r="C43" s="49">
        <v>2701</v>
      </c>
      <c r="D43" s="49">
        <v>2558</v>
      </c>
      <c r="E43" s="49">
        <v>1607</v>
      </c>
    </row>
    <row r="44" spans="1:5" ht="12.75">
      <c r="A44" s="19" t="s">
        <v>745</v>
      </c>
      <c r="B44" s="48">
        <v>7057</v>
      </c>
      <c r="C44" s="49">
        <v>6923</v>
      </c>
      <c r="D44" s="49">
        <v>7673</v>
      </c>
      <c r="E44" s="49">
        <v>6817</v>
      </c>
    </row>
    <row r="45" spans="1:5" ht="12.75">
      <c r="A45" s="19" t="s">
        <v>680</v>
      </c>
      <c r="B45" s="48">
        <v>2632</v>
      </c>
      <c r="C45" s="49">
        <v>1645</v>
      </c>
      <c r="D45" s="49">
        <v>1245</v>
      </c>
      <c r="E45" s="49">
        <v>913</v>
      </c>
    </row>
    <row r="46" spans="1:5" ht="12.75">
      <c r="A46" s="19" t="s">
        <v>746</v>
      </c>
      <c r="B46" s="48">
        <v>25595</v>
      </c>
      <c r="C46" s="49">
        <v>21158</v>
      </c>
      <c r="D46" s="49">
        <v>20528</v>
      </c>
      <c r="E46" s="49">
        <v>14929</v>
      </c>
    </row>
    <row r="47" spans="1:5" ht="12.75">
      <c r="A47" s="19" t="s">
        <v>683</v>
      </c>
      <c r="B47" s="48">
        <v>8084</v>
      </c>
      <c r="C47" s="49">
        <v>6640</v>
      </c>
      <c r="D47" s="49">
        <v>5107</v>
      </c>
      <c r="E47" s="49">
        <v>2431</v>
      </c>
    </row>
    <row r="48" spans="1:5" ht="12.75">
      <c r="A48" s="19" t="s">
        <v>42</v>
      </c>
      <c r="B48" s="48">
        <v>4138</v>
      </c>
      <c r="C48" s="49">
        <v>3685</v>
      </c>
      <c r="D48" s="49">
        <v>3605</v>
      </c>
      <c r="E48" s="49">
        <v>2860</v>
      </c>
    </row>
  </sheetData>
  <mergeCells count="1">
    <mergeCell ref="B2:E2"/>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2:E61"/>
  <sheetViews>
    <sheetView workbookViewId="0" topLeftCell="A1">
      <selection activeCell="H28" sqref="H28"/>
    </sheetView>
  </sheetViews>
  <sheetFormatPr defaultColWidth="9.140625" defaultRowHeight="12.75"/>
  <cols>
    <col min="1" max="1" width="23.140625" style="0" customWidth="1"/>
    <col min="2" max="2" width="7.57421875" style="0" customWidth="1"/>
    <col min="3" max="5" width="8.7109375" style="0" customWidth="1"/>
  </cols>
  <sheetData>
    <row r="2" spans="1:5" ht="12.75">
      <c r="A2" s="69" t="s">
        <v>287</v>
      </c>
      <c r="B2" s="409" t="s">
        <v>288</v>
      </c>
      <c r="C2" s="442"/>
      <c r="D2" s="442"/>
      <c r="E2" s="442"/>
    </row>
    <row r="3" spans="1:5" ht="12.75">
      <c r="A3" s="282" t="s">
        <v>633</v>
      </c>
      <c r="B3" s="47">
        <v>2000</v>
      </c>
      <c r="C3" s="19">
        <v>1990</v>
      </c>
      <c r="D3" s="19">
        <v>1980</v>
      </c>
      <c r="E3" s="19">
        <v>1970</v>
      </c>
    </row>
    <row r="4" spans="1:5" ht="12.75">
      <c r="A4" s="282" t="s">
        <v>40</v>
      </c>
      <c r="B4" s="48">
        <v>412633</v>
      </c>
      <c r="C4" s="26">
        <f>SUM(C5:C61)</f>
        <v>361145</v>
      </c>
      <c r="D4" s="26">
        <f>SUM(D5:D61)</f>
        <v>328465</v>
      </c>
      <c r="E4" s="26">
        <f>SUM(E5:E61)</f>
        <v>246603</v>
      </c>
    </row>
    <row r="5" spans="1:5" ht="12.75">
      <c r="A5" s="19" t="s">
        <v>634</v>
      </c>
      <c r="B5" s="48">
        <v>4571</v>
      </c>
      <c r="C5" s="49">
        <v>4128</v>
      </c>
      <c r="D5" s="49">
        <v>3741</v>
      </c>
      <c r="E5" s="49">
        <v>3210</v>
      </c>
    </row>
    <row r="6" spans="1:5" ht="12.75">
      <c r="A6" s="19" t="s">
        <v>635</v>
      </c>
      <c r="B6" s="48">
        <v>4655</v>
      </c>
      <c r="C6" s="49">
        <v>4304</v>
      </c>
      <c r="D6" s="49">
        <v>3867</v>
      </c>
      <c r="E6" s="49">
        <v>2900</v>
      </c>
    </row>
    <row r="7" spans="1:5" ht="12.75">
      <c r="A7" s="19" t="s">
        <v>636</v>
      </c>
      <c r="B7" s="48">
        <v>2947</v>
      </c>
      <c r="C7" s="49">
        <v>2930</v>
      </c>
      <c r="D7" s="49">
        <v>2583</v>
      </c>
      <c r="E7" s="49">
        <v>2382</v>
      </c>
    </row>
    <row r="8" spans="1:5" ht="12.75">
      <c r="A8" s="19" t="s">
        <v>637</v>
      </c>
      <c r="B8" s="48">
        <v>2002</v>
      </c>
      <c r="C8" s="49">
        <v>1593</v>
      </c>
      <c r="D8" s="49">
        <v>1449</v>
      </c>
      <c r="E8" s="49">
        <v>925</v>
      </c>
    </row>
    <row r="9" spans="1:5" ht="12.75">
      <c r="A9" s="19" t="s">
        <v>638</v>
      </c>
      <c r="B9" s="48">
        <v>5494</v>
      </c>
      <c r="C9" s="49">
        <v>4828</v>
      </c>
      <c r="D9" s="49">
        <v>4360</v>
      </c>
      <c r="E9" s="49">
        <v>3369</v>
      </c>
    </row>
    <row r="10" spans="1:5" ht="12.75">
      <c r="A10" s="19" t="s">
        <v>639</v>
      </c>
      <c r="B10" s="47">
        <v>811</v>
      </c>
      <c r="C10" s="49">
        <v>816</v>
      </c>
      <c r="D10" s="49">
        <v>795</v>
      </c>
      <c r="E10" s="49">
        <v>761</v>
      </c>
    </row>
    <row r="11" spans="1:5" ht="12.75">
      <c r="A11" s="19" t="s">
        <v>640</v>
      </c>
      <c r="B11" s="48">
        <v>35225</v>
      </c>
      <c r="C11" s="49">
        <v>33063</v>
      </c>
      <c r="D11" s="49">
        <v>32199</v>
      </c>
      <c r="E11" s="49">
        <v>27190</v>
      </c>
    </row>
    <row r="12" spans="1:5" ht="12.75">
      <c r="A12" s="19" t="s">
        <v>641</v>
      </c>
      <c r="B12" s="48">
        <v>2776</v>
      </c>
      <c r="C12" s="49">
        <v>2668</v>
      </c>
      <c r="D12" s="49">
        <v>2689</v>
      </c>
      <c r="E12" s="49">
        <v>2625</v>
      </c>
    </row>
    <row r="13" spans="1:5" ht="12.75">
      <c r="A13" s="19" t="s">
        <v>642</v>
      </c>
      <c r="B13" s="48">
        <v>5360</v>
      </c>
      <c r="C13" s="49">
        <v>5405</v>
      </c>
      <c r="D13" s="49">
        <v>5473</v>
      </c>
      <c r="E13" s="49">
        <v>4356</v>
      </c>
    </row>
    <row r="14" spans="1:5" ht="12.75">
      <c r="A14" s="19" t="s">
        <v>643</v>
      </c>
      <c r="B14" s="48">
        <v>1154</v>
      </c>
      <c r="C14" s="49">
        <v>1220</v>
      </c>
      <c r="D14" s="49">
        <v>1303</v>
      </c>
      <c r="E14" s="49">
        <v>1281</v>
      </c>
    </row>
    <row r="15" spans="1:5" ht="12.75">
      <c r="A15" s="19" t="s">
        <v>644</v>
      </c>
      <c r="B15" s="48">
        <v>4168</v>
      </c>
      <c r="C15" s="49">
        <v>4487</v>
      </c>
      <c r="D15" s="49">
        <v>4637</v>
      </c>
      <c r="E15" s="49">
        <v>3755</v>
      </c>
    </row>
    <row r="16" spans="1:5" ht="12.75">
      <c r="A16" s="19" t="s">
        <v>645</v>
      </c>
      <c r="B16" s="48">
        <v>4958</v>
      </c>
      <c r="C16" s="49">
        <v>4830</v>
      </c>
      <c r="D16" s="49">
        <v>5199</v>
      </c>
      <c r="E16" s="49">
        <v>5150</v>
      </c>
    </row>
    <row r="17" spans="1:5" ht="12.75">
      <c r="A17" s="19" t="s">
        <v>646</v>
      </c>
      <c r="B17" s="48">
        <v>1410</v>
      </c>
      <c r="C17" s="49">
        <v>1525</v>
      </c>
      <c r="D17" s="49">
        <v>1519</v>
      </c>
      <c r="E17" s="49">
        <v>1357</v>
      </c>
    </row>
    <row r="18" spans="1:5" ht="12.75">
      <c r="A18" s="19" t="s">
        <v>647</v>
      </c>
      <c r="B18" s="48">
        <v>5558</v>
      </c>
      <c r="C18" s="49">
        <v>5732</v>
      </c>
      <c r="D18" s="49">
        <v>5392</v>
      </c>
      <c r="E18" s="49">
        <v>4738</v>
      </c>
    </row>
    <row r="19" spans="1:5" ht="12.75">
      <c r="A19" s="19" t="s">
        <v>648</v>
      </c>
      <c r="B19" s="48">
        <v>34773</v>
      </c>
      <c r="C19" s="49">
        <v>26979</v>
      </c>
      <c r="D19" s="49">
        <v>22485</v>
      </c>
      <c r="E19" s="49">
        <v>14098</v>
      </c>
    </row>
    <row r="20" spans="1:5" ht="12.75">
      <c r="A20" s="19" t="s">
        <v>649</v>
      </c>
      <c r="B20" s="48">
        <v>29489</v>
      </c>
      <c r="C20" s="49">
        <v>21350</v>
      </c>
      <c r="D20" s="49">
        <v>17173</v>
      </c>
      <c r="E20" s="49">
        <v>10761</v>
      </c>
    </row>
    <row r="21" spans="1:5" ht="12.75">
      <c r="A21" s="19" t="s">
        <v>605</v>
      </c>
      <c r="B21" s="47">
        <v>961</v>
      </c>
      <c r="C21" s="49">
        <v>924</v>
      </c>
      <c r="D21" s="49">
        <v>868</v>
      </c>
      <c r="E21" s="49">
        <v>732</v>
      </c>
    </row>
    <row r="22" spans="1:5" ht="12.75">
      <c r="A22" s="19" t="s">
        <v>650</v>
      </c>
      <c r="B22" s="48">
        <v>5243</v>
      </c>
      <c r="C22" s="49">
        <v>4797</v>
      </c>
      <c r="D22" s="49">
        <v>4002</v>
      </c>
      <c r="E22" s="49">
        <v>3458</v>
      </c>
    </row>
    <row r="23" spans="1:5" ht="12.75">
      <c r="A23" s="19" t="s">
        <v>651</v>
      </c>
      <c r="B23" s="47">
        <v>450</v>
      </c>
      <c r="C23" s="49">
        <v>432</v>
      </c>
      <c r="D23" s="49">
        <v>472</v>
      </c>
      <c r="E23" s="49">
        <v>366</v>
      </c>
    </row>
    <row r="24" spans="1:5" ht="12.75">
      <c r="A24" s="19" t="s">
        <v>652</v>
      </c>
      <c r="B24" s="48">
        <v>2074</v>
      </c>
      <c r="C24" s="49">
        <v>1924</v>
      </c>
      <c r="D24" s="49">
        <v>1635</v>
      </c>
      <c r="E24" s="49">
        <v>1345</v>
      </c>
    </row>
    <row r="25" spans="1:5" ht="12.75">
      <c r="A25" s="19" t="s">
        <v>653</v>
      </c>
      <c r="B25" s="48">
        <v>7453</v>
      </c>
      <c r="C25" s="49">
        <v>7345</v>
      </c>
      <c r="D25" s="49">
        <v>7194</v>
      </c>
      <c r="E25" s="49">
        <v>5843</v>
      </c>
    </row>
    <row r="26" spans="1:5" ht="12.75">
      <c r="A26" s="19" t="s">
        <v>609</v>
      </c>
      <c r="B26" s="48">
        <v>4199</v>
      </c>
      <c r="C26" s="49">
        <v>3302</v>
      </c>
      <c r="D26" s="49">
        <v>2867</v>
      </c>
      <c r="E26" s="49">
        <v>1566</v>
      </c>
    </row>
    <row r="27" spans="1:5" ht="12.75">
      <c r="A27" s="19" t="s">
        <v>654</v>
      </c>
      <c r="B27" s="48">
        <v>1325</v>
      </c>
      <c r="C27" s="49">
        <v>1346</v>
      </c>
      <c r="D27" s="49">
        <v>1360</v>
      </c>
      <c r="E27" s="49">
        <v>1115</v>
      </c>
    </row>
    <row r="28" spans="1:5" ht="12.75">
      <c r="A28" s="19" t="s">
        <v>655</v>
      </c>
      <c r="B28" s="48">
        <v>13605</v>
      </c>
      <c r="C28" s="49">
        <v>10972</v>
      </c>
      <c r="D28" s="49">
        <v>9038</v>
      </c>
      <c r="E28" s="49">
        <v>5927</v>
      </c>
    </row>
    <row r="29" spans="1:5" ht="12.75">
      <c r="A29" s="19" t="s">
        <v>656</v>
      </c>
      <c r="B29" s="48">
        <v>25672</v>
      </c>
      <c r="C29" s="49">
        <v>21412</v>
      </c>
      <c r="D29" s="49">
        <v>18571</v>
      </c>
      <c r="E29" s="49">
        <v>12359</v>
      </c>
    </row>
    <row r="30" spans="1:5" ht="12.75">
      <c r="A30" s="19" t="s">
        <v>657</v>
      </c>
      <c r="B30" s="48">
        <v>1070</v>
      </c>
      <c r="C30" s="49">
        <v>1007</v>
      </c>
      <c r="D30" s="49">
        <v>1154</v>
      </c>
      <c r="E30" s="49">
        <v>792</v>
      </c>
    </row>
    <row r="31" spans="1:5" ht="12.75">
      <c r="A31" s="19" t="s">
        <v>615</v>
      </c>
      <c r="B31" s="48">
        <v>9319</v>
      </c>
      <c r="C31" s="49">
        <v>8002</v>
      </c>
      <c r="D31" s="49">
        <v>7018</v>
      </c>
      <c r="E31" s="49">
        <v>5907</v>
      </c>
    </row>
    <row r="32" spans="1:5" ht="12.75">
      <c r="A32" s="19" t="s">
        <v>658</v>
      </c>
      <c r="B32" s="48">
        <v>1087</v>
      </c>
      <c r="C32" s="49">
        <v>1161</v>
      </c>
      <c r="D32" s="49">
        <v>1121</v>
      </c>
      <c r="E32" s="49">
        <v>1055</v>
      </c>
    </row>
    <row r="33" spans="1:5" ht="12.75">
      <c r="A33" s="19" t="s">
        <v>659</v>
      </c>
      <c r="B33" s="48">
        <v>4671</v>
      </c>
      <c r="C33" s="49">
        <v>3902</v>
      </c>
      <c r="D33" s="49">
        <v>2741</v>
      </c>
      <c r="E33" s="49">
        <v>2141</v>
      </c>
    </row>
    <row r="34" spans="1:5" ht="12.75">
      <c r="A34" s="19" t="s">
        <v>660</v>
      </c>
      <c r="B34" s="48">
        <v>1363</v>
      </c>
      <c r="C34" s="49">
        <v>1259</v>
      </c>
      <c r="D34" s="49">
        <v>1201</v>
      </c>
      <c r="E34" s="49">
        <v>1043</v>
      </c>
    </row>
    <row r="35" spans="1:5" ht="12.75">
      <c r="A35" s="19" t="s">
        <v>661</v>
      </c>
      <c r="B35" s="48">
        <v>1961</v>
      </c>
      <c r="C35" s="49">
        <v>1635</v>
      </c>
      <c r="D35" s="49">
        <v>1646</v>
      </c>
      <c r="E35" s="49">
        <v>1083</v>
      </c>
    </row>
    <row r="36" spans="1:5" ht="12.75">
      <c r="A36" s="19" t="s">
        <v>662</v>
      </c>
      <c r="B36" s="48">
        <v>41319</v>
      </c>
      <c r="C36" s="49">
        <v>33466</v>
      </c>
      <c r="D36" s="49">
        <v>30534</v>
      </c>
      <c r="E36" s="49">
        <v>18891</v>
      </c>
    </row>
    <row r="37" spans="1:5" ht="12.75">
      <c r="A37" s="19" t="s">
        <v>663</v>
      </c>
      <c r="B37" s="48">
        <v>2317</v>
      </c>
      <c r="C37" s="49">
        <v>2183</v>
      </c>
      <c r="D37" s="49">
        <v>2039</v>
      </c>
      <c r="E37" s="49">
        <v>1577</v>
      </c>
    </row>
    <row r="38" spans="1:5" ht="12.75">
      <c r="A38" s="19" t="s">
        <v>664</v>
      </c>
      <c r="B38" s="48">
        <v>8247</v>
      </c>
      <c r="C38" s="49">
        <v>6926</v>
      </c>
      <c r="D38" s="49">
        <v>6074</v>
      </c>
      <c r="E38" s="49">
        <v>4648</v>
      </c>
    </row>
    <row r="39" spans="1:5" ht="12.75">
      <c r="A39" s="19" t="s">
        <v>665</v>
      </c>
      <c r="B39" s="47">
        <v>292</v>
      </c>
      <c r="C39" s="49">
        <v>283</v>
      </c>
      <c r="D39" s="49">
        <v>306</v>
      </c>
      <c r="E39" s="49">
        <v>269</v>
      </c>
    </row>
    <row r="40" spans="1:5" ht="12.75">
      <c r="A40" s="19" t="s">
        <v>666</v>
      </c>
      <c r="B40" s="48">
        <v>2502</v>
      </c>
      <c r="C40" s="49">
        <v>2765</v>
      </c>
      <c r="D40" s="49">
        <v>2514</v>
      </c>
      <c r="E40" s="49">
        <v>2153</v>
      </c>
    </row>
    <row r="41" spans="1:5" ht="12.75">
      <c r="A41" s="19" t="s">
        <v>667</v>
      </c>
      <c r="B41" s="48">
        <v>2834</v>
      </c>
      <c r="C41" s="49">
        <v>2618</v>
      </c>
      <c r="D41" s="49">
        <v>2702</v>
      </c>
      <c r="E41" s="49">
        <v>2267</v>
      </c>
    </row>
    <row r="42" spans="1:5" ht="12.75">
      <c r="A42" s="19" t="s">
        <v>668</v>
      </c>
      <c r="B42" s="48">
        <v>1007</v>
      </c>
      <c r="C42" s="49">
        <v>1096</v>
      </c>
      <c r="D42" s="49">
        <v>1123</v>
      </c>
      <c r="E42" s="49">
        <v>962</v>
      </c>
    </row>
    <row r="43" spans="1:5" ht="12.75">
      <c r="A43" s="19" t="s">
        <v>669</v>
      </c>
      <c r="B43" s="48">
        <v>2930</v>
      </c>
      <c r="C43" s="49">
        <v>2835</v>
      </c>
      <c r="D43" s="49">
        <v>2830</v>
      </c>
      <c r="E43" s="49">
        <v>2453</v>
      </c>
    </row>
    <row r="44" spans="1:5" ht="12.75">
      <c r="A44" s="19" t="s">
        <v>670</v>
      </c>
      <c r="B44" s="47">
        <v>718</v>
      </c>
      <c r="C44" s="49">
        <v>749</v>
      </c>
      <c r="D44" s="49">
        <v>808</v>
      </c>
      <c r="E44" s="49">
        <v>706</v>
      </c>
    </row>
    <row r="45" spans="1:5" ht="12.75">
      <c r="A45" s="19" t="s">
        <v>671</v>
      </c>
      <c r="B45" s="48">
        <v>15946</v>
      </c>
      <c r="C45" s="49">
        <v>11099</v>
      </c>
      <c r="D45" s="49">
        <v>9133</v>
      </c>
      <c r="E45" s="49">
        <v>5333</v>
      </c>
    </row>
    <row r="46" spans="1:5" ht="12.75">
      <c r="A46" s="19" t="s">
        <v>672</v>
      </c>
      <c r="B46" s="48">
        <v>4557</v>
      </c>
      <c r="C46" s="49">
        <v>4825</v>
      </c>
      <c r="D46" s="49">
        <v>4690</v>
      </c>
      <c r="E46" s="49">
        <v>3514</v>
      </c>
    </row>
    <row r="47" spans="1:5" ht="12.75">
      <c r="A47" s="19" t="s">
        <v>673</v>
      </c>
      <c r="B47" s="48">
        <v>4044</v>
      </c>
      <c r="C47" s="49">
        <v>4265</v>
      </c>
      <c r="D47" s="49">
        <v>3809</v>
      </c>
      <c r="E47" s="49">
        <v>3386</v>
      </c>
    </row>
    <row r="48" spans="1:5" ht="12.75">
      <c r="A48" s="19" t="s">
        <v>674</v>
      </c>
      <c r="B48" s="48">
        <v>3912</v>
      </c>
      <c r="C48" s="49">
        <v>4251</v>
      </c>
      <c r="D48" s="49">
        <v>3787</v>
      </c>
      <c r="E48" s="49">
        <v>2055</v>
      </c>
    </row>
    <row r="49" spans="1:5" ht="12.75">
      <c r="A49" s="19" t="s">
        <v>675</v>
      </c>
      <c r="B49" s="48">
        <v>5271</v>
      </c>
      <c r="C49" s="49">
        <v>4335</v>
      </c>
      <c r="D49" s="49">
        <v>3843</v>
      </c>
      <c r="E49" s="49">
        <v>2833</v>
      </c>
    </row>
    <row r="50" spans="1:5" ht="12.75">
      <c r="A50" s="19" t="s">
        <v>676</v>
      </c>
      <c r="B50" s="48">
        <v>2167</v>
      </c>
      <c r="C50" s="49">
        <v>2417</v>
      </c>
      <c r="D50" s="49">
        <v>2416</v>
      </c>
      <c r="E50" s="49">
        <v>2086</v>
      </c>
    </row>
    <row r="51" spans="1:5" ht="12.75">
      <c r="A51" s="19" t="s">
        <v>677</v>
      </c>
      <c r="B51" s="48">
        <v>16176</v>
      </c>
      <c r="C51" s="49">
        <v>15474</v>
      </c>
      <c r="D51" s="49">
        <v>16071</v>
      </c>
      <c r="E51" s="49">
        <v>15631</v>
      </c>
    </row>
    <row r="52" spans="1:5" ht="12.75">
      <c r="A52" s="19" t="s">
        <v>678</v>
      </c>
      <c r="B52" s="48">
        <v>3947</v>
      </c>
      <c r="C52" s="49">
        <v>3291</v>
      </c>
      <c r="D52" s="49">
        <v>2681</v>
      </c>
      <c r="E52" s="49">
        <v>1959</v>
      </c>
    </row>
    <row r="53" spans="1:5" ht="12.75">
      <c r="A53" s="19" t="s">
        <v>679</v>
      </c>
      <c r="B53" s="48">
        <v>1860</v>
      </c>
      <c r="C53" s="49">
        <v>1639</v>
      </c>
      <c r="D53" s="49">
        <v>1479</v>
      </c>
      <c r="E53" s="49">
        <v>1387</v>
      </c>
    </row>
    <row r="54" spans="1:5" ht="12.75">
      <c r="A54" s="19" t="s">
        <v>680</v>
      </c>
      <c r="B54" s="48">
        <v>2910</v>
      </c>
      <c r="C54" s="49">
        <v>2725</v>
      </c>
      <c r="D54" s="49">
        <v>2747</v>
      </c>
      <c r="E54" s="49">
        <v>2265</v>
      </c>
    </row>
    <row r="55" spans="1:5" ht="12.75">
      <c r="A55" s="19" t="s">
        <v>681</v>
      </c>
      <c r="B55" s="48">
        <v>2300</v>
      </c>
      <c r="C55" s="49">
        <v>2354</v>
      </c>
      <c r="D55" s="49">
        <v>2432</v>
      </c>
      <c r="E55" s="49">
        <v>2163</v>
      </c>
    </row>
    <row r="56" spans="1:5" ht="12.75">
      <c r="A56" s="19" t="s">
        <v>682</v>
      </c>
      <c r="B56" s="47">
        <v>422</v>
      </c>
      <c r="C56" s="49">
        <v>448</v>
      </c>
      <c r="D56" s="49">
        <v>462</v>
      </c>
      <c r="E56" s="49">
        <v>448</v>
      </c>
    </row>
    <row r="57" spans="1:5" ht="12.75">
      <c r="A57" s="19" t="s">
        <v>683</v>
      </c>
      <c r="B57" s="48">
        <v>4847</v>
      </c>
      <c r="C57" s="49">
        <v>5304</v>
      </c>
      <c r="D57" s="49">
        <v>5611</v>
      </c>
      <c r="E57" s="49">
        <v>5289</v>
      </c>
    </row>
    <row r="58" spans="1:5" ht="12.75">
      <c r="A58" s="19" t="s">
        <v>684</v>
      </c>
      <c r="B58" s="48">
        <v>1154</v>
      </c>
      <c r="C58" s="49">
        <v>1129</v>
      </c>
      <c r="D58" s="49">
        <v>1140</v>
      </c>
      <c r="E58" s="49">
        <v>1009</v>
      </c>
    </row>
    <row r="59" spans="1:5" ht="12.75">
      <c r="A59" s="19" t="s">
        <v>685</v>
      </c>
      <c r="B59" s="47">
        <v>587</v>
      </c>
      <c r="C59" s="49">
        <v>563</v>
      </c>
      <c r="D59" s="49">
        <v>680</v>
      </c>
      <c r="E59" s="49">
        <v>536</v>
      </c>
    </row>
    <row r="60" spans="1:5" ht="12.75">
      <c r="A60" s="19" t="s">
        <v>686</v>
      </c>
      <c r="B60" s="48">
        <v>54563</v>
      </c>
      <c r="C60" s="49">
        <v>48781</v>
      </c>
      <c r="D60" s="49">
        <v>42756</v>
      </c>
      <c r="E60" s="49">
        <v>29169</v>
      </c>
    </row>
    <row r="61" spans="1:5" ht="12.75">
      <c r="A61" s="19" t="s">
        <v>687</v>
      </c>
      <c r="B61" s="19"/>
      <c r="C61" s="49">
        <v>46</v>
      </c>
      <c r="D61" s="49">
        <v>46</v>
      </c>
      <c r="E61" s="49">
        <v>24</v>
      </c>
    </row>
  </sheetData>
  <mergeCells count="1">
    <mergeCell ref="B2:E2"/>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2:E40"/>
  <sheetViews>
    <sheetView workbookViewId="0" topLeftCell="A1">
      <selection activeCell="A1" sqref="A1"/>
    </sheetView>
  </sheetViews>
  <sheetFormatPr defaultColWidth="9.140625" defaultRowHeight="12.75"/>
  <cols>
    <col min="1" max="1" width="18.57421875" style="0" customWidth="1"/>
    <col min="3" max="4" width="10.28125" style="0" bestFit="1" customWidth="1"/>
    <col min="5" max="5" width="8.7109375" style="0" customWidth="1"/>
  </cols>
  <sheetData>
    <row r="2" spans="1:5" ht="12.75">
      <c r="A2" s="400" t="s">
        <v>287</v>
      </c>
      <c r="B2" s="408" t="s">
        <v>288</v>
      </c>
      <c r="C2" s="408"/>
      <c r="D2" s="408"/>
      <c r="E2" s="408"/>
    </row>
    <row r="3" spans="1:5" ht="12.75">
      <c r="A3" s="282" t="s">
        <v>633</v>
      </c>
      <c r="B3" s="19">
        <v>2000</v>
      </c>
      <c r="C3" s="19">
        <v>1990</v>
      </c>
      <c r="D3" s="19">
        <v>1980</v>
      </c>
      <c r="E3" s="19">
        <v>1970</v>
      </c>
    </row>
    <row r="4" spans="1:5" ht="12.75">
      <c r="A4" s="282" t="s">
        <v>41</v>
      </c>
      <c r="B4" s="48">
        <v>1452709</v>
      </c>
      <c r="C4" s="26">
        <f>SUM(C5:C40)</f>
        <v>1193567</v>
      </c>
      <c r="D4" s="26">
        <f>SUM(D5:D40)</f>
        <v>1083303</v>
      </c>
      <c r="E4" s="26">
        <f>SUM(E5:E40)</f>
        <v>744784</v>
      </c>
    </row>
    <row r="5" spans="1:5" ht="12.75">
      <c r="A5" s="19" t="s">
        <v>688</v>
      </c>
      <c r="B5" s="48">
        <v>8402</v>
      </c>
      <c r="C5" s="49">
        <v>7525</v>
      </c>
      <c r="D5" s="49">
        <v>7308</v>
      </c>
      <c r="E5" s="49">
        <v>5829</v>
      </c>
    </row>
    <row r="6" spans="1:5" ht="12.75">
      <c r="A6" s="19" t="s">
        <v>596</v>
      </c>
      <c r="B6" s="48">
        <v>31980</v>
      </c>
      <c r="C6" s="49">
        <v>27024</v>
      </c>
      <c r="D6" s="49">
        <v>25189</v>
      </c>
      <c r="E6" s="49">
        <v>16617</v>
      </c>
    </row>
    <row r="7" spans="1:5" ht="12.75">
      <c r="A7" s="19" t="s">
        <v>689</v>
      </c>
      <c r="B7" s="48">
        <v>136954</v>
      </c>
      <c r="C7" s="49">
        <v>109003</v>
      </c>
      <c r="D7" s="49">
        <v>90238</v>
      </c>
      <c r="E7" s="49">
        <v>54603</v>
      </c>
    </row>
    <row r="8" spans="1:5" ht="12.75">
      <c r="A8" s="19" t="s">
        <v>690</v>
      </c>
      <c r="B8" s="48">
        <v>19685</v>
      </c>
      <c r="C8" s="49">
        <v>17367</v>
      </c>
      <c r="D8" s="49">
        <v>16613</v>
      </c>
      <c r="E8" s="49">
        <v>12502</v>
      </c>
    </row>
    <row r="9" spans="1:5" ht="12.75">
      <c r="A9" s="19" t="s">
        <v>600</v>
      </c>
      <c r="B9" s="48">
        <v>17572</v>
      </c>
      <c r="C9" s="49">
        <v>14576</v>
      </c>
      <c r="D9" s="49">
        <v>13640</v>
      </c>
      <c r="E9" s="49">
        <v>9540</v>
      </c>
    </row>
    <row r="10" spans="1:5" ht="12.75">
      <c r="A10" s="19" t="s">
        <v>691</v>
      </c>
      <c r="B10" s="48">
        <v>29247</v>
      </c>
      <c r="C10" s="49">
        <v>26668</v>
      </c>
      <c r="D10" s="49">
        <v>25686</v>
      </c>
      <c r="E10" s="49">
        <v>19337</v>
      </c>
    </row>
    <row r="11" spans="1:5" ht="12.75">
      <c r="A11" s="19" t="s">
        <v>692</v>
      </c>
      <c r="B11" s="48">
        <v>8264</v>
      </c>
      <c r="C11" s="49">
        <v>6066</v>
      </c>
      <c r="D11" s="49">
        <v>5633</v>
      </c>
      <c r="E11" s="49">
        <v>3605</v>
      </c>
    </row>
    <row r="12" spans="1:5" ht="12.75">
      <c r="A12" s="19" t="s">
        <v>693</v>
      </c>
      <c r="B12" s="48">
        <v>11406</v>
      </c>
      <c r="C12" s="49">
        <v>9885</v>
      </c>
      <c r="D12" s="49">
        <v>7486</v>
      </c>
      <c r="E12" s="49">
        <v>4641</v>
      </c>
    </row>
    <row r="13" spans="1:5" ht="12.75">
      <c r="A13" s="19" t="s">
        <v>694</v>
      </c>
      <c r="B13" s="48">
        <v>54583</v>
      </c>
      <c r="C13" s="49">
        <v>35928</v>
      </c>
      <c r="D13" s="49">
        <v>28108</v>
      </c>
      <c r="E13" s="49">
        <v>11563</v>
      </c>
    </row>
    <row r="14" spans="1:5" ht="12.75">
      <c r="A14" s="19" t="s">
        <v>602</v>
      </c>
      <c r="B14" s="48">
        <v>43284</v>
      </c>
      <c r="C14" s="49">
        <v>38298</v>
      </c>
      <c r="D14" s="49">
        <v>35644</v>
      </c>
      <c r="E14" s="49">
        <v>23851</v>
      </c>
    </row>
    <row r="15" spans="1:5" ht="12.75">
      <c r="A15" s="19" t="s">
        <v>695</v>
      </c>
      <c r="B15" s="48">
        <v>1043</v>
      </c>
      <c r="C15" s="49">
        <v>932</v>
      </c>
      <c r="D15" s="49">
        <v>1049</v>
      </c>
      <c r="E15" s="49">
        <v>945</v>
      </c>
    </row>
    <row r="16" spans="1:5" ht="12.75">
      <c r="A16" s="19" t="s">
        <v>606</v>
      </c>
      <c r="B16" s="48">
        <v>4004</v>
      </c>
      <c r="C16" s="49">
        <v>3774</v>
      </c>
      <c r="D16" s="49">
        <v>3812</v>
      </c>
      <c r="E16" s="49">
        <v>2791</v>
      </c>
    </row>
    <row r="17" spans="1:5" ht="12.75">
      <c r="A17" s="19" t="s">
        <v>696</v>
      </c>
      <c r="B17" s="48">
        <v>3533</v>
      </c>
      <c r="C17" s="49">
        <v>3305</v>
      </c>
      <c r="D17" s="49">
        <v>3375</v>
      </c>
      <c r="E17" s="49">
        <v>2647</v>
      </c>
    </row>
    <row r="18" spans="1:5" ht="12.75">
      <c r="A18" s="19" t="s">
        <v>697</v>
      </c>
      <c r="B18" s="48">
        <v>7818</v>
      </c>
      <c r="C18" s="49">
        <v>7569</v>
      </c>
      <c r="D18" s="49">
        <v>7152</v>
      </c>
      <c r="E18" s="49">
        <v>6545</v>
      </c>
    </row>
    <row r="19" spans="1:5" ht="12.75">
      <c r="A19" s="19" t="s">
        <v>698</v>
      </c>
      <c r="B19" s="48">
        <v>75737</v>
      </c>
      <c r="C19" s="49">
        <v>60376</v>
      </c>
      <c r="D19" s="49">
        <v>52261</v>
      </c>
      <c r="E19" s="49">
        <v>33562</v>
      </c>
    </row>
    <row r="20" spans="1:5" ht="12.75">
      <c r="A20" s="19" t="s">
        <v>609</v>
      </c>
      <c r="B20" s="48">
        <v>8319</v>
      </c>
      <c r="C20" s="49">
        <v>6311</v>
      </c>
      <c r="D20" s="49">
        <v>5198</v>
      </c>
      <c r="E20" s="49">
        <v>2976</v>
      </c>
    </row>
    <row r="21" spans="1:5" ht="12.75">
      <c r="A21" s="19" t="s">
        <v>699</v>
      </c>
      <c r="B21" s="48">
        <v>33239</v>
      </c>
      <c r="C21" s="49">
        <v>26912</v>
      </c>
      <c r="D21" s="49">
        <v>23326</v>
      </c>
      <c r="E21" s="49">
        <v>13141</v>
      </c>
    </row>
    <row r="22" spans="1:5" ht="12.75">
      <c r="A22" s="19" t="s">
        <v>700</v>
      </c>
      <c r="B22" s="48">
        <v>28883</v>
      </c>
      <c r="C22" s="49">
        <v>25954</v>
      </c>
      <c r="D22" s="49">
        <v>25363</v>
      </c>
      <c r="E22" s="49">
        <v>18317</v>
      </c>
    </row>
    <row r="23" spans="1:5" ht="12.75">
      <c r="A23" s="19" t="s">
        <v>655</v>
      </c>
      <c r="B23" s="48">
        <v>3999</v>
      </c>
      <c r="C23" s="49">
        <v>3434</v>
      </c>
      <c r="D23" s="49">
        <v>3326</v>
      </c>
      <c r="E23" s="49">
        <v>2405</v>
      </c>
    </row>
    <row r="24" spans="1:5" ht="12.75">
      <c r="A24" s="19" t="s">
        <v>701</v>
      </c>
      <c r="B24" s="48">
        <v>138946</v>
      </c>
      <c r="C24" s="49">
        <v>116676</v>
      </c>
      <c r="D24" s="49">
        <v>111084</v>
      </c>
      <c r="E24" s="49">
        <v>71997</v>
      </c>
    </row>
    <row r="25" spans="1:5" ht="12.75">
      <c r="A25" s="19" t="s">
        <v>615</v>
      </c>
      <c r="B25" s="48">
        <v>26889</v>
      </c>
      <c r="C25" s="49">
        <v>22389</v>
      </c>
      <c r="D25" s="49">
        <v>20952</v>
      </c>
      <c r="E25" s="49">
        <v>12521</v>
      </c>
    </row>
    <row r="26" spans="1:5" ht="12.75">
      <c r="A26" s="19" t="s">
        <v>702</v>
      </c>
      <c r="B26" s="48">
        <v>42521</v>
      </c>
      <c r="C26" s="49">
        <v>36482</v>
      </c>
      <c r="D26" s="49">
        <v>35162</v>
      </c>
      <c r="E26" s="49">
        <v>24197</v>
      </c>
    </row>
    <row r="27" spans="1:5" ht="12.75">
      <c r="A27" s="19" t="s">
        <v>703</v>
      </c>
      <c r="B27" s="48">
        <v>11233</v>
      </c>
      <c r="C27" s="49">
        <v>10649</v>
      </c>
      <c r="D27" s="49">
        <v>10636</v>
      </c>
      <c r="E27" s="49">
        <v>7856</v>
      </c>
    </row>
    <row r="28" spans="1:5" ht="12.75">
      <c r="A28" s="19" t="s">
        <v>704</v>
      </c>
      <c r="B28" s="48">
        <v>108174</v>
      </c>
      <c r="C28" s="49">
        <v>86869</v>
      </c>
      <c r="D28" s="49">
        <v>79652</v>
      </c>
      <c r="E28" s="49">
        <v>51920</v>
      </c>
    </row>
    <row r="29" spans="1:5" ht="12.75">
      <c r="A29" s="19" t="s">
        <v>705</v>
      </c>
      <c r="B29" s="48">
        <v>4276</v>
      </c>
      <c r="C29" s="49">
        <v>3412</v>
      </c>
      <c r="D29" s="49">
        <v>3213</v>
      </c>
      <c r="E29" s="49">
        <v>1764</v>
      </c>
    </row>
    <row r="30" spans="1:5" ht="12.75">
      <c r="A30" s="19" t="s">
        <v>706</v>
      </c>
      <c r="B30" s="48">
        <v>288561</v>
      </c>
      <c r="C30" s="49">
        <v>255751</v>
      </c>
      <c r="D30" s="49">
        <v>246136</v>
      </c>
      <c r="E30" s="49">
        <v>208271</v>
      </c>
    </row>
    <row r="31" spans="1:5" ht="12.75">
      <c r="A31" s="19" t="s">
        <v>707</v>
      </c>
      <c r="B31" s="48">
        <v>24461</v>
      </c>
      <c r="C31" s="49">
        <v>18978</v>
      </c>
      <c r="D31" s="49">
        <v>17553</v>
      </c>
      <c r="E31" s="49">
        <v>11808</v>
      </c>
    </row>
    <row r="32" spans="1:5" ht="12.75">
      <c r="A32" s="19" t="s">
        <v>708</v>
      </c>
      <c r="B32" s="47">
        <v>935</v>
      </c>
      <c r="C32" s="49">
        <v>900</v>
      </c>
      <c r="D32" s="49">
        <v>983</v>
      </c>
      <c r="E32" s="49">
        <v>874</v>
      </c>
    </row>
    <row r="33" spans="1:5" ht="12.75">
      <c r="A33" s="19" t="s">
        <v>709</v>
      </c>
      <c r="B33" s="48">
        <v>15906</v>
      </c>
      <c r="C33" s="49">
        <v>13324</v>
      </c>
      <c r="D33" s="49">
        <v>12744</v>
      </c>
      <c r="E33" s="49">
        <v>8137</v>
      </c>
    </row>
    <row r="34" spans="1:5" ht="12.75">
      <c r="A34" s="19" t="s">
        <v>710</v>
      </c>
      <c r="B34" s="48">
        <v>27676</v>
      </c>
      <c r="C34" s="49">
        <v>24333</v>
      </c>
      <c r="D34" s="49">
        <v>23504</v>
      </c>
      <c r="E34" s="49">
        <v>16264</v>
      </c>
    </row>
    <row r="35" spans="1:5" ht="12.75">
      <c r="A35" s="19" t="s">
        <v>711</v>
      </c>
      <c r="B35" s="48">
        <v>10603</v>
      </c>
      <c r="C35" s="49">
        <v>9974</v>
      </c>
      <c r="D35" s="49">
        <v>9693</v>
      </c>
      <c r="E35" s="49">
        <v>7116</v>
      </c>
    </row>
    <row r="36" spans="1:5" ht="12.75">
      <c r="A36" s="19" t="s">
        <v>712</v>
      </c>
      <c r="B36" s="48">
        <v>3900</v>
      </c>
      <c r="C36" s="49">
        <v>3755</v>
      </c>
      <c r="D36" s="49">
        <v>3636</v>
      </c>
      <c r="E36" s="49">
        <v>2821</v>
      </c>
    </row>
    <row r="37" spans="1:5" ht="12.75">
      <c r="A37" s="19" t="s">
        <v>713</v>
      </c>
      <c r="B37" s="48">
        <v>10651</v>
      </c>
      <c r="C37" s="49">
        <v>10476</v>
      </c>
      <c r="D37" s="49">
        <v>9889</v>
      </c>
      <c r="E37" s="49">
        <v>7289</v>
      </c>
    </row>
    <row r="38" spans="1:5" ht="12.75">
      <c r="A38" s="19" t="s">
        <v>42</v>
      </c>
      <c r="B38" s="48">
        <v>178913</v>
      </c>
      <c r="C38" s="49">
        <v>124716</v>
      </c>
      <c r="D38" s="49">
        <v>97038</v>
      </c>
      <c r="E38" s="49">
        <v>52437</v>
      </c>
    </row>
    <row r="39" spans="1:5" ht="12.75">
      <c r="A39" s="19" t="s">
        <v>714</v>
      </c>
      <c r="B39" s="47">
        <v>842</v>
      </c>
      <c r="C39" s="49">
        <v>782</v>
      </c>
      <c r="D39" s="49">
        <v>775</v>
      </c>
      <c r="E39" s="49">
        <v>776</v>
      </c>
    </row>
    <row r="40" spans="1:5" ht="12.75">
      <c r="A40" s="19" t="s">
        <v>715</v>
      </c>
      <c r="B40" s="48">
        <v>30270</v>
      </c>
      <c r="C40" s="49">
        <v>23194</v>
      </c>
      <c r="D40" s="49">
        <v>20246</v>
      </c>
      <c r="E40" s="49">
        <v>13319</v>
      </c>
    </row>
  </sheetData>
  <mergeCells count="1">
    <mergeCell ref="B2:E2"/>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E45"/>
  <sheetViews>
    <sheetView workbookViewId="0" topLeftCell="A1">
      <selection activeCell="A2" sqref="A2"/>
    </sheetView>
  </sheetViews>
  <sheetFormatPr defaultColWidth="9.140625" defaultRowHeight="12.75"/>
  <cols>
    <col min="1" max="1" width="18.57421875" style="0" customWidth="1"/>
    <col min="3" max="5" width="10.28125" style="0" customWidth="1"/>
  </cols>
  <sheetData>
    <row r="2" spans="1:5" ht="12.75">
      <c r="A2" s="400" t="s">
        <v>287</v>
      </c>
      <c r="B2" s="408" t="s">
        <v>288</v>
      </c>
      <c r="C2" s="408"/>
      <c r="D2" s="408"/>
      <c r="E2" s="408"/>
    </row>
    <row r="3" spans="1:5" ht="12.75">
      <c r="A3" s="282" t="s">
        <v>633</v>
      </c>
      <c r="B3" s="401">
        <v>2000</v>
      </c>
      <c r="C3" s="24">
        <v>1990</v>
      </c>
      <c r="D3" s="24">
        <v>1980</v>
      </c>
      <c r="E3" s="24">
        <v>1970</v>
      </c>
    </row>
    <row r="4" spans="1:5" ht="12.75">
      <c r="A4" s="282" t="s">
        <v>593</v>
      </c>
      <c r="B4" s="48">
        <v>2451075</v>
      </c>
      <c r="C4" s="26">
        <f>SUM(C5:C43)</f>
        <v>2032378</v>
      </c>
      <c r="D4" s="26">
        <f>SUM(D5:D43)</f>
        <v>1689278</v>
      </c>
      <c r="E4" s="26">
        <f>SUM(E5:E43)</f>
        <v>1221931</v>
      </c>
    </row>
    <row r="5" spans="1:5" ht="12.75">
      <c r="A5" s="276" t="s">
        <v>594</v>
      </c>
      <c r="B5" s="48">
        <v>5773</v>
      </c>
      <c r="C5" s="49">
        <v>5263</v>
      </c>
      <c r="D5" s="49">
        <v>5049</v>
      </c>
      <c r="E5" s="49">
        <v>3936</v>
      </c>
    </row>
    <row r="6" spans="1:5" ht="12.75">
      <c r="A6" s="276" t="s">
        <v>595</v>
      </c>
      <c r="B6" s="48">
        <v>9111</v>
      </c>
      <c r="C6" s="49">
        <v>7519</v>
      </c>
      <c r="D6" s="49">
        <v>7043</v>
      </c>
      <c r="E6" s="49">
        <v>5068</v>
      </c>
    </row>
    <row r="7" spans="1:5" ht="12.75">
      <c r="A7" s="276" t="s">
        <v>596</v>
      </c>
      <c r="B7" s="48">
        <v>55963</v>
      </c>
      <c r="C7" s="49">
        <v>44877</v>
      </c>
      <c r="D7" s="49">
        <v>42651</v>
      </c>
      <c r="E7" s="49">
        <v>21826</v>
      </c>
    </row>
    <row r="8" spans="1:5" ht="12.75">
      <c r="A8" s="276" t="s">
        <v>597</v>
      </c>
      <c r="B8" s="48">
        <v>30407</v>
      </c>
      <c r="C8" s="49">
        <v>25048</v>
      </c>
      <c r="D8" s="49">
        <v>22140</v>
      </c>
      <c r="E8" s="49">
        <v>18431</v>
      </c>
    </row>
    <row r="9" spans="1:5" ht="12.75">
      <c r="A9" s="276" t="s">
        <v>598</v>
      </c>
      <c r="B9" s="48">
        <v>30683</v>
      </c>
      <c r="C9" s="49">
        <v>25225</v>
      </c>
      <c r="D9" s="49">
        <v>21851</v>
      </c>
      <c r="E9" s="49">
        <v>12842</v>
      </c>
    </row>
    <row r="10" spans="1:5" ht="12.75">
      <c r="A10" s="276" t="s">
        <v>599</v>
      </c>
      <c r="B10" s="48">
        <v>134030</v>
      </c>
      <c r="C10" s="49">
        <v>92849</v>
      </c>
      <c r="D10" s="49">
        <v>72806</v>
      </c>
      <c r="E10" s="49">
        <v>42916</v>
      </c>
    </row>
    <row r="11" spans="1:5" ht="12.75">
      <c r="A11" s="276" t="s">
        <v>600</v>
      </c>
      <c r="B11" s="48">
        <v>2018</v>
      </c>
      <c r="C11" s="49">
        <v>2046</v>
      </c>
      <c r="D11" s="49">
        <v>1819</v>
      </c>
      <c r="E11" s="49">
        <v>1845</v>
      </c>
    </row>
    <row r="12" spans="1:5" ht="12.75">
      <c r="A12" s="276" t="s">
        <v>601</v>
      </c>
      <c r="B12" s="48">
        <v>38624</v>
      </c>
      <c r="C12" s="49">
        <v>33304</v>
      </c>
      <c r="D12" s="49">
        <v>31748</v>
      </c>
      <c r="E12" s="49">
        <v>23512</v>
      </c>
    </row>
    <row r="13" spans="1:5" ht="12.75">
      <c r="A13" s="276" t="s">
        <v>602</v>
      </c>
      <c r="B13" s="48">
        <v>12944</v>
      </c>
      <c r="C13" s="49">
        <v>10640</v>
      </c>
      <c r="D13" s="49">
        <v>9139</v>
      </c>
      <c r="E13" s="49">
        <v>6211</v>
      </c>
    </row>
    <row r="14" spans="1:5" ht="12.75">
      <c r="A14" s="276" t="s">
        <v>603</v>
      </c>
      <c r="B14" s="48">
        <v>3775</v>
      </c>
      <c r="C14" s="49">
        <v>3239</v>
      </c>
      <c r="D14" s="49">
        <v>2394</v>
      </c>
      <c r="E14" s="49">
        <v>1553</v>
      </c>
    </row>
    <row r="15" spans="1:5" ht="12.75">
      <c r="A15" s="276" t="s">
        <v>604</v>
      </c>
      <c r="B15" s="48">
        <v>16084</v>
      </c>
      <c r="C15" s="49">
        <v>13664</v>
      </c>
      <c r="D15" s="49">
        <v>13316</v>
      </c>
      <c r="E15" s="49">
        <v>8425</v>
      </c>
    </row>
    <row r="16" spans="1:5" ht="12.75">
      <c r="A16" s="276" t="s">
        <v>605</v>
      </c>
      <c r="B16" s="48">
        <v>1288</v>
      </c>
      <c r="C16" s="49">
        <v>1209</v>
      </c>
      <c r="D16" s="49">
        <v>1142</v>
      </c>
      <c r="E16" s="49">
        <v>1138</v>
      </c>
    </row>
    <row r="17" spans="1:5" ht="12.75">
      <c r="A17" s="276" t="s">
        <v>606</v>
      </c>
      <c r="B17" s="48">
        <v>29081</v>
      </c>
      <c r="C17" s="49">
        <v>22809</v>
      </c>
      <c r="D17" s="49">
        <v>20271</v>
      </c>
      <c r="E17" s="49">
        <v>14825</v>
      </c>
    </row>
    <row r="18" spans="1:5" ht="12.75">
      <c r="A18" s="276" t="s">
        <v>607</v>
      </c>
      <c r="B18" s="48">
        <v>32489</v>
      </c>
      <c r="C18" s="49">
        <v>29932</v>
      </c>
      <c r="D18" s="49">
        <v>28598</v>
      </c>
      <c r="E18" s="49">
        <v>22174</v>
      </c>
    </row>
    <row r="19" spans="1:5" ht="12.75">
      <c r="A19" s="276" t="s">
        <v>608</v>
      </c>
      <c r="B19" s="48">
        <v>32378</v>
      </c>
      <c r="C19" s="49">
        <v>25860</v>
      </c>
      <c r="D19" s="49">
        <v>20672</v>
      </c>
      <c r="E19" s="49">
        <v>12084</v>
      </c>
    </row>
    <row r="20" spans="1:5" ht="12.75">
      <c r="A20" s="276" t="s">
        <v>609</v>
      </c>
      <c r="B20" s="48">
        <v>14144</v>
      </c>
      <c r="C20" s="49">
        <v>11014</v>
      </c>
      <c r="D20" s="49">
        <v>8826</v>
      </c>
      <c r="E20" s="49">
        <v>4882</v>
      </c>
    </row>
    <row r="21" spans="1:5" ht="12.75">
      <c r="A21" s="276" t="s">
        <v>610</v>
      </c>
      <c r="B21" s="48">
        <v>742237</v>
      </c>
      <c r="C21" s="49">
        <v>647343</v>
      </c>
      <c r="D21" s="49">
        <v>525562</v>
      </c>
      <c r="E21" s="49">
        <v>424837</v>
      </c>
    </row>
    <row r="22" spans="1:5" ht="12.75">
      <c r="A22" s="276" t="s">
        <v>611</v>
      </c>
      <c r="B22" s="48">
        <v>92644</v>
      </c>
      <c r="C22" s="49">
        <v>74038</v>
      </c>
      <c r="D22" s="49">
        <v>57327</v>
      </c>
      <c r="E22" s="49">
        <v>36095</v>
      </c>
    </row>
    <row r="23" spans="1:5" ht="12.75">
      <c r="A23" s="276" t="s">
        <v>612</v>
      </c>
      <c r="B23" s="48">
        <v>16475</v>
      </c>
      <c r="C23" s="49">
        <v>13215</v>
      </c>
      <c r="D23" s="49">
        <v>11709</v>
      </c>
      <c r="E23" s="49">
        <v>9127</v>
      </c>
    </row>
    <row r="24" spans="1:5" ht="12.75">
      <c r="A24" s="276" t="s">
        <v>613</v>
      </c>
      <c r="B24" s="48">
        <v>8633</v>
      </c>
      <c r="C24" s="49">
        <v>7213</v>
      </c>
      <c r="D24" s="49">
        <v>6498</v>
      </c>
      <c r="E24" s="49">
        <v>4668</v>
      </c>
    </row>
    <row r="25" spans="1:5" ht="12.75">
      <c r="A25" s="276" t="s">
        <v>614</v>
      </c>
      <c r="B25" s="48">
        <v>29585</v>
      </c>
      <c r="C25" s="49">
        <v>25487</v>
      </c>
      <c r="D25" s="49">
        <v>23119</v>
      </c>
      <c r="E25" s="49">
        <v>16690</v>
      </c>
    </row>
    <row r="26" spans="1:5" ht="12.75">
      <c r="A26" s="276" t="s">
        <v>615</v>
      </c>
      <c r="B26" s="48">
        <v>5298</v>
      </c>
      <c r="C26" s="49">
        <v>4607</v>
      </c>
      <c r="D26" s="49">
        <v>4336</v>
      </c>
      <c r="E26" s="49">
        <v>3827</v>
      </c>
    </row>
    <row r="27" spans="1:5" ht="12.75">
      <c r="A27" s="276" t="s">
        <v>616</v>
      </c>
      <c r="B27" s="48">
        <v>25515</v>
      </c>
      <c r="C27" s="49">
        <v>22292</v>
      </c>
      <c r="D27" s="49">
        <v>17532</v>
      </c>
      <c r="E27" s="49">
        <v>10591</v>
      </c>
    </row>
    <row r="28" spans="1:5" ht="12.75">
      <c r="A28" s="276" t="s">
        <v>617</v>
      </c>
      <c r="B28" s="48">
        <v>19085</v>
      </c>
      <c r="C28" s="49">
        <v>16629</v>
      </c>
      <c r="D28" s="49">
        <v>13599</v>
      </c>
      <c r="E28" s="49">
        <v>11532</v>
      </c>
    </row>
    <row r="29" spans="1:5" ht="12.75">
      <c r="A29" s="276" t="s">
        <v>618</v>
      </c>
      <c r="B29" s="48">
        <v>13991</v>
      </c>
      <c r="C29" s="49">
        <v>12404</v>
      </c>
      <c r="D29" s="49">
        <v>10949</v>
      </c>
      <c r="E29" s="49">
        <v>7677</v>
      </c>
    </row>
    <row r="30" spans="1:5" ht="12.75">
      <c r="A30" s="276" t="s">
        <v>619</v>
      </c>
      <c r="B30" s="48">
        <v>6608</v>
      </c>
      <c r="C30" s="49">
        <v>5404</v>
      </c>
      <c r="D30" s="49">
        <v>4688</v>
      </c>
      <c r="E30" s="49">
        <v>3258</v>
      </c>
    </row>
    <row r="31" spans="1:5" ht="12.75">
      <c r="A31" s="276" t="s">
        <v>620</v>
      </c>
      <c r="B31" s="48">
        <v>277060</v>
      </c>
      <c r="C31" s="49">
        <v>228842</v>
      </c>
      <c r="D31" s="49">
        <v>187443</v>
      </c>
      <c r="E31" s="49">
        <v>133716</v>
      </c>
    </row>
    <row r="32" spans="1:5" ht="12.75">
      <c r="A32" s="276" t="s">
        <v>621</v>
      </c>
      <c r="B32" s="48">
        <v>9752</v>
      </c>
      <c r="C32" s="49">
        <v>6075</v>
      </c>
      <c r="D32" s="49">
        <v>5310</v>
      </c>
      <c r="E32" s="49">
        <v>2673</v>
      </c>
    </row>
    <row r="33" spans="1:5" ht="12.75">
      <c r="A33" s="276" t="s">
        <v>622</v>
      </c>
      <c r="B33" s="48">
        <v>42681</v>
      </c>
      <c r="C33" s="49">
        <v>33580</v>
      </c>
      <c r="D33" s="49">
        <v>27775</v>
      </c>
      <c r="E33" s="49">
        <v>19575</v>
      </c>
    </row>
    <row r="34" spans="1:5" ht="12.75">
      <c r="A34" s="276" t="s">
        <v>623</v>
      </c>
      <c r="B34" s="48">
        <v>4576</v>
      </c>
      <c r="C34" s="49">
        <v>3922</v>
      </c>
      <c r="D34" s="49">
        <v>3435</v>
      </c>
      <c r="E34" s="49">
        <v>2174</v>
      </c>
    </row>
    <row r="35" spans="1:5" ht="12.75">
      <c r="A35" s="276" t="s">
        <v>624</v>
      </c>
      <c r="B35" s="48">
        <v>236205</v>
      </c>
      <c r="C35" s="49">
        <v>183942</v>
      </c>
      <c r="D35" s="49">
        <v>131206</v>
      </c>
      <c r="E35" s="49">
        <v>89425</v>
      </c>
    </row>
    <row r="36" spans="1:5" ht="12.75">
      <c r="A36" s="276" t="s">
        <v>625</v>
      </c>
      <c r="B36" s="48">
        <v>175005</v>
      </c>
      <c r="C36" s="49">
        <v>150105</v>
      </c>
      <c r="D36" s="49">
        <v>137673</v>
      </c>
      <c r="E36" s="49">
        <v>99869</v>
      </c>
    </row>
    <row r="37" spans="1:5" ht="12.75">
      <c r="A37" s="276" t="s">
        <v>626</v>
      </c>
      <c r="B37" s="48">
        <v>17599</v>
      </c>
      <c r="C37" s="49">
        <v>14601</v>
      </c>
      <c r="D37" s="49">
        <v>12550</v>
      </c>
      <c r="E37" s="49">
        <v>7167</v>
      </c>
    </row>
    <row r="38" spans="1:5" ht="12.75">
      <c r="A38" s="276" t="s">
        <v>627</v>
      </c>
      <c r="B38" s="48">
        <v>86652</v>
      </c>
      <c r="C38" s="49">
        <v>66464</v>
      </c>
      <c r="D38" s="49">
        <v>50712</v>
      </c>
      <c r="E38" s="49">
        <v>28354</v>
      </c>
    </row>
    <row r="39" spans="1:5" ht="12.75">
      <c r="A39" s="276" t="s">
        <v>628</v>
      </c>
      <c r="B39" s="48">
        <v>1792</v>
      </c>
      <c r="C39" s="49">
        <v>1496</v>
      </c>
      <c r="D39" s="49">
        <v>1504</v>
      </c>
      <c r="E39" s="49">
        <v>1279</v>
      </c>
    </row>
    <row r="40" spans="1:5" ht="12.75">
      <c r="A40" s="276" t="s">
        <v>629</v>
      </c>
      <c r="B40" s="48">
        <v>21147</v>
      </c>
      <c r="C40" s="49">
        <v>19029</v>
      </c>
      <c r="D40" s="49">
        <v>18138</v>
      </c>
      <c r="E40" s="49">
        <v>14559</v>
      </c>
    </row>
    <row r="41" spans="1:5" ht="12.75">
      <c r="A41" s="276" t="s">
        <v>630</v>
      </c>
      <c r="B41" s="48">
        <v>73893</v>
      </c>
      <c r="C41" s="49">
        <v>55742</v>
      </c>
      <c r="D41" s="49">
        <v>47479</v>
      </c>
      <c r="E41" s="49">
        <v>30423</v>
      </c>
    </row>
    <row r="42" spans="1:5" ht="12.75">
      <c r="A42" s="276" t="s">
        <v>631</v>
      </c>
      <c r="B42" s="48">
        <v>16676</v>
      </c>
      <c r="C42" s="49">
        <v>14598</v>
      </c>
      <c r="D42" s="49">
        <v>14418</v>
      </c>
      <c r="E42" s="49">
        <v>11480</v>
      </c>
    </row>
    <row r="43" spans="1:5" ht="12.75">
      <c r="A43" s="276" t="s">
        <v>632</v>
      </c>
      <c r="B43" s="48">
        <v>79174</v>
      </c>
      <c r="C43" s="49">
        <v>70852</v>
      </c>
      <c r="D43" s="49">
        <v>66851</v>
      </c>
      <c r="E43" s="49">
        <v>51267</v>
      </c>
    </row>
    <row r="45" ht="12.75">
      <c r="A45" s="13"/>
    </row>
  </sheetData>
  <mergeCells count="1">
    <mergeCell ref="B2:E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57"/>
  <sheetViews>
    <sheetView zoomScale="75" zoomScaleNormal="75" workbookViewId="0" topLeftCell="A1">
      <selection activeCell="L54" sqref="L54"/>
    </sheetView>
  </sheetViews>
  <sheetFormatPr defaultColWidth="9.140625" defaultRowHeight="12.75"/>
  <cols>
    <col min="1" max="1" width="14.7109375" style="114" customWidth="1"/>
    <col min="2" max="2" width="15.421875" style="114" customWidth="1"/>
    <col min="3" max="3" width="13.00390625" style="114" customWidth="1"/>
    <col min="4" max="4" width="16.28125" style="114" customWidth="1"/>
    <col min="5" max="5" width="13.8515625" style="114" customWidth="1"/>
    <col min="6" max="6" width="13.140625" style="114" bestFit="1" customWidth="1"/>
    <col min="7" max="7" width="12.28125" style="114" customWidth="1"/>
    <col min="8" max="9" width="15.140625" style="114" customWidth="1"/>
    <col min="10" max="10" width="13.421875" style="114" bestFit="1" customWidth="1"/>
    <col min="11" max="11" width="11.421875" style="114" customWidth="1"/>
    <col min="12" max="12" width="13.57421875" style="114" customWidth="1"/>
    <col min="13" max="13" width="17.7109375" style="114" customWidth="1"/>
    <col min="14" max="16384" width="11.421875" style="114" customWidth="1"/>
  </cols>
  <sheetData>
    <row r="1" spans="1:15" ht="15.75" thickBot="1">
      <c r="A1" s="110"/>
      <c r="B1" s="189" t="s">
        <v>343</v>
      </c>
      <c r="C1" s="112"/>
      <c r="D1" s="112"/>
      <c r="E1" s="112"/>
      <c r="F1" s="189" t="s">
        <v>516</v>
      </c>
      <c r="G1" s="112"/>
      <c r="H1" s="112"/>
      <c r="I1" s="112"/>
      <c r="J1" s="113"/>
      <c r="K1" s="421" t="s">
        <v>517</v>
      </c>
      <c r="L1" s="422"/>
      <c r="M1" s="422"/>
      <c r="N1" s="422"/>
      <c r="O1" s="423"/>
    </row>
    <row r="2" spans="1:15" ht="30.75" thickBot="1">
      <c r="A2" s="111" t="s">
        <v>313</v>
      </c>
      <c r="B2" s="115" t="s">
        <v>314</v>
      </c>
      <c r="C2" s="116" t="s">
        <v>315</v>
      </c>
      <c r="D2" s="116" t="s">
        <v>316</v>
      </c>
      <c r="E2" s="117" t="s">
        <v>81</v>
      </c>
      <c r="F2" s="118" t="s">
        <v>314</v>
      </c>
      <c r="G2" s="119" t="s">
        <v>315</v>
      </c>
      <c r="H2" s="119" t="s">
        <v>316</v>
      </c>
      <c r="I2" s="119" t="s">
        <v>317</v>
      </c>
      <c r="J2" s="120" t="s">
        <v>81</v>
      </c>
      <c r="K2" s="224" t="s">
        <v>314</v>
      </c>
      <c r="L2" s="225" t="s">
        <v>315</v>
      </c>
      <c r="M2" s="225" t="s">
        <v>316</v>
      </c>
      <c r="N2" s="225" t="s">
        <v>317</v>
      </c>
      <c r="O2" s="226" t="s">
        <v>81</v>
      </c>
    </row>
    <row r="3" spans="1:15" ht="16.5" thickBot="1">
      <c r="A3" s="191" t="s">
        <v>353</v>
      </c>
      <c r="B3" s="192">
        <f>SUM(B12:B31)</f>
        <v>991283.0000000002</v>
      </c>
      <c r="C3" s="192">
        <f aca="true" t="shared" si="0" ref="C3:H3">SUM(C12:C31)</f>
        <v>354840.00000000006</v>
      </c>
      <c r="D3" s="192">
        <f t="shared" si="0"/>
        <v>262153</v>
      </c>
      <c r="E3" s="192">
        <f t="shared" si="0"/>
        <v>1608276.0000000002</v>
      </c>
      <c r="F3" s="192">
        <f t="shared" si="0"/>
        <v>471830.74106614187</v>
      </c>
      <c r="G3" s="192">
        <f t="shared" si="0"/>
        <v>307942.8320425212</v>
      </c>
      <c r="H3" s="192">
        <f t="shared" si="0"/>
        <v>247731.08082932665</v>
      </c>
      <c r="I3" s="192">
        <f>SUM(I12:I31)</f>
        <v>779773.5731086631</v>
      </c>
      <c r="J3" s="223">
        <f>SUM(J12:J31)</f>
        <v>1027504.6539379897</v>
      </c>
      <c r="K3" s="229">
        <f>F3/B3</f>
        <v>0.4759798574838283</v>
      </c>
      <c r="L3" s="230">
        <f aca="true" t="shared" si="1" ref="L3:N5">G3/C3</f>
        <v>0.8678357345353431</v>
      </c>
      <c r="M3" s="230">
        <f t="shared" si="1"/>
        <v>0.9449866331086298</v>
      </c>
      <c r="N3" s="230">
        <f t="shared" si="1"/>
        <v>0.4848505934980457</v>
      </c>
      <c r="O3" s="231">
        <f>J3/E3</f>
        <v>0.6388857720552875</v>
      </c>
    </row>
    <row r="4" spans="1:15" ht="15.75">
      <c r="A4" s="129" t="s">
        <v>351</v>
      </c>
      <c r="B4" s="182">
        <f>SUM(B32:B$56)</f>
        <v>1893947.8914018378</v>
      </c>
      <c r="C4" s="182">
        <f>SUM(C32:C$56)</f>
        <v>570031.3315719645</v>
      </c>
      <c r="D4" s="182">
        <f>SUM(D32:D$56)</f>
        <v>283671.806297625</v>
      </c>
      <c r="E4" s="182">
        <f>SUM(E32:E$56)</f>
        <v>2747651.0292714275</v>
      </c>
      <c r="F4" s="182">
        <f>SUM(F32:F$56)</f>
        <v>483555.17694916396</v>
      </c>
      <c r="G4" s="182">
        <f>SUM(G32:G$56)</f>
        <v>399770.3795035209</v>
      </c>
      <c r="H4" s="182">
        <f>SUM(H32:H$56)</f>
        <v>216393.9293751746</v>
      </c>
      <c r="I4" s="182">
        <f>SUM(I32:I$56)</f>
        <v>883325.5564526848</v>
      </c>
      <c r="J4" s="182">
        <f>SUM(J32:J$56)</f>
        <v>1099719.4858278595</v>
      </c>
      <c r="K4" s="228">
        <f>F4/B4</f>
        <v>0.25531598791308474</v>
      </c>
      <c r="L4" s="194">
        <f t="shared" si="1"/>
        <v>0.7013129934473632</v>
      </c>
      <c r="M4" s="194">
        <f t="shared" si="1"/>
        <v>0.7628319930678508</v>
      </c>
      <c r="N4" s="194">
        <f t="shared" si="1"/>
        <v>0.32148389553199885</v>
      </c>
      <c r="O4" s="195">
        <f>J4/E4</f>
        <v>0.4002398682046108</v>
      </c>
    </row>
    <row r="5" spans="1:15" ht="16.5" thickBot="1">
      <c r="A5" s="178" t="s">
        <v>310</v>
      </c>
      <c r="B5" s="179">
        <f>SUM(B36:B$56)</f>
        <v>1629011.9104606612</v>
      </c>
      <c r="C5" s="179">
        <f>SUM(C36:C$56)</f>
        <v>501144.9957393922</v>
      </c>
      <c r="D5" s="179">
        <f>SUM(D36:D$56)</f>
        <v>252974.37733900003</v>
      </c>
      <c r="E5" s="179">
        <f>SUM(E36:E$56)</f>
        <v>2383131.2835390535</v>
      </c>
      <c r="F5" s="179">
        <f>SUM(F36:F$56)</f>
        <v>389797.72211423836</v>
      </c>
      <c r="G5" s="179">
        <f>SUM(G36:G$56)</f>
        <v>339558.02734887006</v>
      </c>
      <c r="H5" s="179">
        <f>SUM(H36:H$56)</f>
        <v>190306.59430475978</v>
      </c>
      <c r="I5" s="179">
        <f>SUM(I36:I$56)</f>
        <v>729355.7494631085</v>
      </c>
      <c r="J5" s="179">
        <f>SUM(J36:J$56)</f>
        <v>919662.3437678682</v>
      </c>
      <c r="K5" s="227">
        <f>F5/B5</f>
        <v>0.2392847588229169</v>
      </c>
      <c r="L5" s="186">
        <f t="shared" si="1"/>
        <v>0.6775644379086021</v>
      </c>
      <c r="M5" s="186">
        <f t="shared" si="1"/>
        <v>0.7522761645134446</v>
      </c>
      <c r="N5" s="186">
        <f t="shared" si="1"/>
        <v>0.30604933706379095</v>
      </c>
      <c r="O5" s="187">
        <f>J5/E5</f>
        <v>0.38590502760810125</v>
      </c>
    </row>
    <row r="6" spans="1:10" ht="16.5" thickBot="1">
      <c r="A6" s="193" t="s">
        <v>353</v>
      </c>
      <c r="B6" s="196">
        <f>B3/$E3</f>
        <v>0.616363733588016</v>
      </c>
      <c r="C6" s="196">
        <f>C3/$E3</f>
        <v>0.22063377181528543</v>
      </c>
      <c r="D6" s="196">
        <f>D3/$E3</f>
        <v>0.16300249459669855</v>
      </c>
      <c r="E6" s="196">
        <f>E3/$E3</f>
        <v>1</v>
      </c>
      <c r="F6" s="196">
        <f>F3/$J3</f>
        <v>0.45920058781029816</v>
      </c>
      <c r="G6" s="196">
        <f>G3/$J3</f>
        <v>0.29969969562892673</v>
      </c>
      <c r="H6" s="196">
        <f>H3/$J3</f>
        <v>0.2410997165607751</v>
      </c>
      <c r="I6" s="196">
        <f>I3/$J3</f>
        <v>0.7589002834392249</v>
      </c>
      <c r="J6" s="196">
        <f>J3/$J3</f>
        <v>1</v>
      </c>
    </row>
    <row r="7" spans="1:10" ht="15.75">
      <c r="A7" s="121" t="s">
        <v>351</v>
      </c>
      <c r="B7" s="194">
        <f aca="true" t="shared" si="2" ref="B7:E8">B4/$E4</f>
        <v>0.6892971018608723</v>
      </c>
      <c r="C7" s="194">
        <f t="shared" si="2"/>
        <v>0.20746132805777565</v>
      </c>
      <c r="D7" s="194">
        <f t="shared" si="2"/>
        <v>0.10324157008135199</v>
      </c>
      <c r="E7" s="194">
        <f t="shared" si="2"/>
        <v>1</v>
      </c>
      <c r="F7" s="194">
        <f aca="true" t="shared" si="3" ref="F7:J8">F4/$J4</f>
        <v>0.4397077465487917</v>
      </c>
      <c r="G7" s="194">
        <f t="shared" si="3"/>
        <v>0.363520320095608</v>
      </c>
      <c r="H7" s="194">
        <f t="shared" si="3"/>
        <v>0.1967719333556003</v>
      </c>
      <c r="I7" s="194">
        <f t="shared" si="3"/>
        <v>0.8032280666443996</v>
      </c>
      <c r="J7" s="195">
        <f t="shared" si="3"/>
        <v>1</v>
      </c>
    </row>
    <row r="8" spans="1:10" ht="16.5" thickBot="1">
      <c r="A8" s="122" t="s">
        <v>310</v>
      </c>
      <c r="B8" s="186">
        <f t="shared" si="2"/>
        <v>0.6835594504225162</v>
      </c>
      <c r="C8" s="186">
        <f t="shared" si="2"/>
        <v>0.2102884550259313</v>
      </c>
      <c r="D8" s="186">
        <f t="shared" si="2"/>
        <v>0.10615209455155239</v>
      </c>
      <c r="E8" s="186">
        <f t="shared" si="2"/>
        <v>1</v>
      </c>
      <c r="F8" s="186">
        <f t="shared" si="3"/>
        <v>0.42384873617553176</v>
      </c>
      <c r="G8" s="186">
        <f t="shared" si="3"/>
        <v>0.369220322708546</v>
      </c>
      <c r="H8" s="186">
        <f t="shared" si="3"/>
        <v>0.20693094111592225</v>
      </c>
      <c r="I8" s="186">
        <f t="shared" si="3"/>
        <v>0.7930690588840777</v>
      </c>
      <c r="J8" s="187">
        <f t="shared" si="3"/>
        <v>1</v>
      </c>
    </row>
    <row r="9" spans="1:10" ht="15.75" thickBot="1">
      <c r="A9" s="418"/>
      <c r="B9" s="419"/>
      <c r="C9" s="419"/>
      <c r="D9" s="419"/>
      <c r="E9" s="419"/>
      <c r="F9" s="419"/>
      <c r="G9" s="419"/>
      <c r="H9" s="419"/>
      <c r="I9" s="419"/>
      <c r="J9" s="420"/>
    </row>
    <row r="10" spans="1:10" ht="15.75" thickBot="1">
      <c r="A10" s="110"/>
      <c r="B10" s="111" t="s">
        <v>311</v>
      </c>
      <c r="C10" s="112"/>
      <c r="D10" s="112"/>
      <c r="E10" s="113"/>
      <c r="F10" s="111" t="s">
        <v>312</v>
      </c>
      <c r="G10" s="112"/>
      <c r="H10" s="112"/>
      <c r="I10" s="112"/>
      <c r="J10" s="113"/>
    </row>
    <row r="11" spans="1:10" ht="30.75" thickBot="1">
      <c r="A11" s="123" t="s">
        <v>38</v>
      </c>
      <c r="B11" s="115" t="s">
        <v>314</v>
      </c>
      <c r="C11" s="116" t="s">
        <v>315</v>
      </c>
      <c r="D11" s="116" t="s">
        <v>316</v>
      </c>
      <c r="E11" s="117" t="s">
        <v>81</v>
      </c>
      <c r="F11" s="115" t="s">
        <v>314</v>
      </c>
      <c r="G11" s="116" t="s">
        <v>315</v>
      </c>
      <c r="H11" s="116" t="s">
        <v>316</v>
      </c>
      <c r="I11" s="116" t="s">
        <v>317</v>
      </c>
      <c r="J11" s="117" t="s">
        <v>81</v>
      </c>
    </row>
    <row r="12" spans="1:10" ht="15.75">
      <c r="A12" s="309">
        <v>1981</v>
      </c>
      <c r="B12" s="306">
        <f>'Starts by Utility Type'!C11*'Summary for 5th Plan'!G$16</f>
        <v>34041.667908873875</v>
      </c>
      <c r="C12" s="124">
        <f>'Starts by Utility Type'!C115*'Summary for 5th Plan'!G$17</f>
        <v>10521.571534469978</v>
      </c>
      <c r="D12" s="124">
        <f>'Starts by Utility Type'!C63*'Summary for 5th Plan'!G$18</f>
        <v>12261</v>
      </c>
      <c r="E12" s="304">
        <f aca="true" t="shared" si="4" ref="E12:E56">SUM(B12:D12)</f>
        <v>56824.23944334385</v>
      </c>
      <c r="F12" s="198">
        <f>'Starts by Utility Type'!D11*'Summary for 5th Plan'!G$16</f>
        <v>21471.300380915134</v>
      </c>
      <c r="G12" s="199">
        <f>'Starts by Utility Type'!D115*'Summary for 5th Plan'!G$17</f>
        <v>9224.354277146726</v>
      </c>
      <c r="H12" s="199">
        <f>'Starts by Utility Type'!D63*'Summary for 5th Plan'!G$18</f>
        <v>11757.232826086956</v>
      </c>
      <c r="I12" s="199">
        <f aca="true" t="shared" si="5" ref="I12:I56">F12+G12</f>
        <v>30695.65465806186</v>
      </c>
      <c r="J12" s="200">
        <f aca="true" t="shared" si="6" ref="J12:J56">SUM(F12:H12)</f>
        <v>42452.887484148814</v>
      </c>
    </row>
    <row r="13" spans="1:10" ht="15.75">
      <c r="A13" s="310">
        <v>1982</v>
      </c>
      <c r="B13" s="307">
        <f>'Starts by Utility Type'!C12*'Summary for 5th Plan'!G$16</f>
        <v>23301.075334910875</v>
      </c>
      <c r="C13" s="126">
        <f>'Starts by Utility Type'!C116*'Summary for 5th Plan'!G$17</f>
        <v>7378.052766358919</v>
      </c>
      <c r="D13" s="126">
        <f>'Starts by Utility Type'!C64*'Summary for 5th Plan'!G$18</f>
        <v>8758</v>
      </c>
      <c r="E13" s="201">
        <f t="shared" si="4"/>
        <v>39437.128101269795</v>
      </c>
      <c r="F13" s="305">
        <f>'Starts by Utility Type'!D12*'Summary for 5th Plan'!G$16</f>
        <v>14859.644410208717</v>
      </c>
      <c r="G13" s="126">
        <f>'Starts by Utility Type'!D116*'Summary for 5th Plan'!G$17</f>
        <v>6475.373912605795</v>
      </c>
      <c r="H13" s="126">
        <f>'Starts by Utility Type'!D64*'Summary for 5th Plan'!G$18</f>
        <v>8493.814456459875</v>
      </c>
      <c r="I13" s="126">
        <f t="shared" si="5"/>
        <v>21335.01832281451</v>
      </c>
      <c r="J13" s="201">
        <f t="shared" si="6"/>
        <v>29828.832779274388</v>
      </c>
    </row>
    <row r="14" spans="1:10" ht="15.75">
      <c r="A14" s="310">
        <v>1983</v>
      </c>
      <c r="B14" s="307">
        <f>'Starts by Utility Type'!C13*'Summary for 5th Plan'!G$16</f>
        <v>36092.572301099215</v>
      </c>
      <c r="C14" s="126">
        <f>'Starts by Utility Type'!C117*'Summary for 5th Plan'!G$17</f>
        <v>8711.183705101423</v>
      </c>
      <c r="D14" s="126">
        <f>'Starts by Utility Type'!C65*'Summary for 5th Plan'!G$18</f>
        <v>12114</v>
      </c>
      <c r="E14" s="201">
        <f t="shared" si="4"/>
        <v>56917.75600620064</v>
      </c>
      <c r="F14" s="305">
        <f>'Starts by Utility Type'!D13*'Summary for 5th Plan'!G$16</f>
        <v>22834.186139632664</v>
      </c>
      <c r="G14" s="126">
        <f>'Starts by Utility Type'!D117*'Summary for 5th Plan'!G$17</f>
        <v>7669.969133328984</v>
      </c>
      <c r="H14" s="126">
        <f>'Starts by Utility Type'!D65*'Summary for 5th Plan'!G$18</f>
        <v>11695.196900456984</v>
      </c>
      <c r="I14" s="126">
        <f t="shared" si="5"/>
        <v>30504.15527296165</v>
      </c>
      <c r="J14" s="201">
        <f t="shared" si="6"/>
        <v>42199.352173418636</v>
      </c>
    </row>
    <row r="15" spans="1:10" ht="15.75">
      <c r="A15" s="310">
        <v>1984</v>
      </c>
      <c r="B15" s="307">
        <f>'Starts by Utility Type'!C14*'Summary for 5th Plan'!G$16</f>
        <v>33515.87539649398</v>
      </c>
      <c r="C15" s="126">
        <f>'Starts by Utility Type'!C118*'Summary for 5th Plan'!G$17</f>
        <v>13441.905451849856</v>
      </c>
      <c r="D15" s="126">
        <f>'Starts by Utility Type'!C66*'Summary for 5th Plan'!G$18</f>
        <v>11892</v>
      </c>
      <c r="E15" s="201">
        <f t="shared" si="4"/>
        <v>58849.78084834384</v>
      </c>
      <c r="F15" s="305">
        <f>'Starts by Utility Type'!D14*'Summary for 5th Plan'!G$16</f>
        <v>20699.393954005336</v>
      </c>
      <c r="G15" s="126">
        <f>'Starts by Utility Type'!D118*'Summary for 5th Plan'!G$17</f>
        <v>11728.782363031372</v>
      </c>
      <c r="H15" s="126">
        <f>'Starts by Utility Type'!D66*'Summary for 5th Plan'!G$18</f>
        <v>11415.67413441955</v>
      </c>
      <c r="I15" s="126">
        <f t="shared" si="5"/>
        <v>32428.17631703671</v>
      </c>
      <c r="J15" s="201">
        <f t="shared" si="6"/>
        <v>43843.85045145626</v>
      </c>
    </row>
    <row r="16" spans="1:10" ht="15.75">
      <c r="A16" s="310">
        <v>1985</v>
      </c>
      <c r="B16" s="307">
        <f>'Starts by Utility Type'!C15*'Summary for 5th Plan'!G$16</f>
        <v>32260.454308286724</v>
      </c>
      <c r="C16" s="126">
        <f>'Starts by Utility Type'!C119*'Summary for 5th Plan'!G$17</f>
        <v>20769.1438102298</v>
      </c>
      <c r="D16" s="126">
        <f>'Starts by Utility Type'!C67*'Summary for 5th Plan'!G$18</f>
        <v>10090</v>
      </c>
      <c r="E16" s="201">
        <f t="shared" si="4"/>
        <v>63119.59811851653</v>
      </c>
      <c r="F16" s="305">
        <f>'Starts by Utility Type'!D15*'Summary for 5th Plan'!G$16</f>
        <v>19569.190377013823</v>
      </c>
      <c r="G16" s="126">
        <f>'Starts by Utility Type'!D119*'Summary for 5th Plan'!G$17</f>
        <v>17907.438222223613</v>
      </c>
      <c r="H16" s="126">
        <f>'Starts by Utility Type'!D67*'Summary for 5th Plan'!G$18</f>
        <v>9740.708563799351</v>
      </c>
      <c r="I16" s="126">
        <f t="shared" si="5"/>
        <v>37476.62859923743</v>
      </c>
      <c r="J16" s="201">
        <f t="shared" si="6"/>
        <v>47217.337163036784</v>
      </c>
    </row>
    <row r="17" spans="1:10" ht="15.75">
      <c r="A17" s="310">
        <v>1986</v>
      </c>
      <c r="B17" s="307">
        <f>'Starts by Utility Type'!C16*'Summary for 5th Plan'!G$16</f>
        <v>34915.549698833296</v>
      </c>
      <c r="C17" s="126">
        <f>'Starts by Utility Type'!C120*'Summary for 5th Plan'!G$17</f>
        <v>18604.05148594919</v>
      </c>
      <c r="D17" s="126">
        <f>'Starts by Utility Type'!C68*'Summary for 5th Plan'!G$18</f>
        <v>8352</v>
      </c>
      <c r="E17" s="201">
        <f t="shared" si="4"/>
        <v>61871.601184782485</v>
      </c>
      <c r="F17" s="305">
        <f>'Starts by Utility Type'!D16*'Summary for 5th Plan'!G$16</f>
        <v>19383.556048148395</v>
      </c>
      <c r="G17" s="126">
        <f>'Starts by Utility Type'!D120*'Summary for 5th Plan'!G$17</f>
        <v>15936.53847147021</v>
      </c>
      <c r="H17" s="126">
        <f>'Starts by Utility Type'!D68*'Summary for 5th Plan'!G$18</f>
        <v>8018.776615384615</v>
      </c>
      <c r="I17" s="126">
        <f t="shared" si="5"/>
        <v>35320.09451961861</v>
      </c>
      <c r="J17" s="201">
        <f t="shared" si="6"/>
        <v>43338.871135003224</v>
      </c>
    </row>
    <row r="18" spans="1:10" ht="15.75">
      <c r="A18" s="310">
        <v>1987</v>
      </c>
      <c r="B18" s="307">
        <f>'Starts by Utility Type'!C17*'Summary for 5th Plan'!G$16</f>
        <v>35217.64519799391</v>
      </c>
      <c r="C18" s="126">
        <f>'Starts by Utility Type'!C121*'Summary for 5th Plan'!G$17</f>
        <v>20787.078307163556</v>
      </c>
      <c r="D18" s="126">
        <f>'Starts by Utility Type'!C69*'Summary for 5th Plan'!G$18</f>
        <v>7902</v>
      </c>
      <c r="E18" s="201">
        <f t="shared" si="4"/>
        <v>63906.72350515747</v>
      </c>
      <c r="F18" s="305">
        <f>'Starts by Utility Type'!D17*'Summary for 5th Plan'!G$16</f>
        <v>17106.3331914637</v>
      </c>
      <c r="G18" s="126">
        <f>'Starts by Utility Type'!D121*'Summary for 5th Plan'!G$17</f>
        <v>17534.887573975113</v>
      </c>
      <c r="H18" s="126">
        <f>'Starts by Utility Type'!D69*'Summary for 5th Plan'!G$18</f>
        <v>7533.926644437709</v>
      </c>
      <c r="I18" s="126">
        <f t="shared" si="5"/>
        <v>34641.22076543881</v>
      </c>
      <c r="J18" s="201">
        <f t="shared" si="6"/>
        <v>42175.14740987652</v>
      </c>
    </row>
    <row r="19" spans="1:10" ht="15.75">
      <c r="A19" s="310">
        <v>1988</v>
      </c>
      <c r="B19" s="307">
        <f>'Starts by Utility Type'!C18*'Summary for 5th Plan'!G$16</f>
        <v>38878.33183488135</v>
      </c>
      <c r="C19" s="126">
        <f>'Starts by Utility Type'!C122*'Summary for 5th Plan'!G$17</f>
        <v>25848.591886245704</v>
      </c>
      <c r="D19" s="126">
        <f>'Starts by Utility Type'!C70*'Summary for 5th Plan'!G$18</f>
        <v>9049</v>
      </c>
      <c r="E19" s="201">
        <f t="shared" si="4"/>
        <v>73775.92372112705</v>
      </c>
      <c r="F19" s="305">
        <f>'Starts by Utility Type'!D18*'Summary for 5th Plan'!G$16</f>
        <v>18656.140221383903</v>
      </c>
      <c r="G19" s="126">
        <f>'Starts by Utility Type'!D122*'Summary for 5th Plan'!G$17</f>
        <v>21630.313801405635</v>
      </c>
      <c r="H19" s="126">
        <f>'Starts by Utility Type'!D70*'Summary for 5th Plan'!G$18</f>
        <v>8649.0703991615</v>
      </c>
      <c r="I19" s="126">
        <f t="shared" si="5"/>
        <v>40286.454022789534</v>
      </c>
      <c r="J19" s="201">
        <f t="shared" si="6"/>
        <v>48935.524421951035</v>
      </c>
    </row>
    <row r="20" spans="1:10" ht="15.75">
      <c r="A20" s="310">
        <v>1989</v>
      </c>
      <c r="B20" s="307">
        <f>'Starts by Utility Type'!C19*'Summary for 5th Plan'!G$16</f>
        <v>47814.71391904774</v>
      </c>
      <c r="C20" s="126">
        <f>'Starts by Utility Type'!C123*'Summary for 5th Plan'!G$17</f>
        <v>30978.854370240584</v>
      </c>
      <c r="D20" s="126">
        <f>'Starts by Utility Type'!C71*'Summary for 5th Plan'!G$18</f>
        <v>9967</v>
      </c>
      <c r="E20" s="201">
        <f t="shared" si="4"/>
        <v>88760.56828928832</v>
      </c>
      <c r="F20" s="305">
        <f>'Starts by Utility Type'!D19*'Summary for 5th Plan'!G$16</f>
        <v>22632.05717634825</v>
      </c>
      <c r="G20" s="126">
        <f>'Starts by Utility Type'!D123*'Summary for 5th Plan'!G$17</f>
        <v>25867.571073239837</v>
      </c>
      <c r="H20" s="126">
        <f>'Starts by Utility Type'!D71*'Summary for 5th Plan'!G$18</f>
        <v>9519.258717230849</v>
      </c>
      <c r="I20" s="126">
        <f t="shared" si="5"/>
        <v>48499.62824958809</v>
      </c>
      <c r="J20" s="201">
        <f t="shared" si="6"/>
        <v>58018.886966818936</v>
      </c>
    </row>
    <row r="21" spans="1:10" ht="15.75">
      <c r="A21" s="310">
        <v>1990</v>
      </c>
      <c r="B21" s="307">
        <f>'Starts by Utility Type'!C20*'Summary for 5th Plan'!G$16</f>
        <v>54394.96017239052</v>
      </c>
      <c r="C21" s="126">
        <f>'Starts by Utility Type'!C124*'Summary for 5th Plan'!G$17</f>
        <v>26107.645730844397</v>
      </c>
      <c r="D21" s="126">
        <f>'Starts by Utility Type'!C72*'Summary for 5th Plan'!G$18</f>
        <v>11875</v>
      </c>
      <c r="E21" s="201">
        <f t="shared" si="4"/>
        <v>92377.60590323491</v>
      </c>
      <c r="F21" s="305">
        <f>'Starts by Utility Type'!D20*'Summary for 5th Plan'!G$16</f>
        <v>28532.175491604547</v>
      </c>
      <c r="G21" s="126">
        <f>'Starts by Utility Type'!D124*'Summary for 5th Plan'!G$17</f>
        <v>21841.71957072979</v>
      </c>
      <c r="H21" s="126">
        <f>'Starts by Utility Type'!D72*'Summary for 5th Plan'!G$18</f>
        <v>11479.575163398693</v>
      </c>
      <c r="I21" s="126">
        <f t="shared" si="5"/>
        <v>50373.89506233434</v>
      </c>
      <c r="J21" s="201">
        <f t="shared" si="6"/>
        <v>61853.470225733035</v>
      </c>
    </row>
    <row r="22" spans="1:10" ht="15.75">
      <c r="A22" s="310">
        <v>1991</v>
      </c>
      <c r="B22" s="307">
        <f>'Starts by Utility Type'!C21*'Summary for 5th Plan'!G$16</f>
        <v>47483.34965180236</v>
      </c>
      <c r="C22" s="126">
        <f>'Starts by Utility Type'!C125*'Summary for 5th Plan'!G$17</f>
        <v>12190.476110250018</v>
      </c>
      <c r="D22" s="126">
        <f>'Starts by Utility Type'!C73*'Summary for 5th Plan'!G$18</f>
        <v>11815</v>
      </c>
      <c r="E22" s="201">
        <f t="shared" si="4"/>
        <v>71488.82576205238</v>
      </c>
      <c r="F22" s="305">
        <f>'Starts by Utility Type'!D21*'Summary for 5th Plan'!G$16</f>
        <v>23143.677887470687</v>
      </c>
      <c r="G22" s="126">
        <f>'Starts by Utility Type'!D125*'Summary for 5th Plan'!G$17</f>
        <v>9985.102706155008</v>
      </c>
      <c r="H22" s="126">
        <f>'Starts by Utility Type'!D73*'Summary for 5th Plan'!G$18</f>
        <v>11320.16478785032</v>
      </c>
      <c r="I22" s="126">
        <f t="shared" si="5"/>
        <v>33128.78059362569</v>
      </c>
      <c r="J22" s="201">
        <f t="shared" si="6"/>
        <v>44448.94538147601</v>
      </c>
    </row>
    <row r="23" spans="1:10" ht="15.75">
      <c r="A23" s="310">
        <v>1992</v>
      </c>
      <c r="B23" s="307">
        <f>'Starts by Utility Type'!C22*'Summary for 5th Plan'!G$16</f>
        <v>58693.287828267494</v>
      </c>
      <c r="C23" s="126">
        <f>'Starts by Utility Type'!C126*'Summary for 5th Plan'!G$17</f>
        <v>12544.18424422131</v>
      </c>
      <c r="D23" s="126">
        <f>'Starts by Utility Type'!C74*'Summary for 5th Plan'!G$18</f>
        <v>13784</v>
      </c>
      <c r="E23" s="201">
        <f t="shared" si="4"/>
        <v>85021.4720724888</v>
      </c>
      <c r="F23" s="305">
        <f>'Starts by Utility Type'!D22*'Summary for 5th Plan'!G$16</f>
        <v>28340.730367657725</v>
      </c>
      <c r="G23" s="126">
        <f>'Starts by Utility Type'!D126*'Summary for 5th Plan'!G$17</f>
        <v>11266.268203563159</v>
      </c>
      <c r="H23" s="126">
        <f>'Starts by Utility Type'!D74*'Summary for 5th Plan'!G$18</f>
        <v>13130.13929526124</v>
      </c>
      <c r="I23" s="126">
        <f t="shared" si="5"/>
        <v>39606.99857122089</v>
      </c>
      <c r="J23" s="201">
        <f t="shared" si="6"/>
        <v>52737.137866482124</v>
      </c>
    </row>
    <row r="24" spans="1:10" ht="15.75">
      <c r="A24" s="310">
        <v>1993</v>
      </c>
      <c r="B24" s="307">
        <f>'Starts by Utility Type'!C23*'Summary for 5th Plan'!G$16</f>
        <v>65043.56518951569</v>
      </c>
      <c r="C24" s="126">
        <f>'Starts by Utility Type'!C127*'Summary for 5th Plan'!G$17</f>
        <v>14550.855178920412</v>
      </c>
      <c r="D24" s="126">
        <f>'Starts by Utility Type'!C75*'Summary for 5th Plan'!G$18</f>
        <v>17535</v>
      </c>
      <c r="E24" s="201">
        <f t="shared" si="4"/>
        <v>97129.4203684361</v>
      </c>
      <c r="F24" s="305">
        <f>'Starts by Utility Type'!D23*'Summary for 5th Plan'!G$16</f>
        <v>28249.857868864183</v>
      </c>
      <c r="G24" s="126">
        <f>'Starts by Utility Type'!D127*'Summary for 5th Plan'!G$17</f>
        <v>12810.171416595544</v>
      </c>
      <c r="H24" s="126">
        <f>'Starts by Utility Type'!D75*'Summary for 5th Plan'!G$18</f>
        <v>16703.206075334143</v>
      </c>
      <c r="I24" s="126">
        <f t="shared" si="5"/>
        <v>41060.02928545973</v>
      </c>
      <c r="J24" s="201">
        <f t="shared" si="6"/>
        <v>57763.23536079387</v>
      </c>
    </row>
    <row r="25" spans="1:10" ht="15.75">
      <c r="A25" s="310">
        <v>1994</v>
      </c>
      <c r="B25" s="307">
        <f>'Starts by Utility Type'!C24*'Summary for 5th Plan'!G$16</f>
        <v>68971.85199174956</v>
      </c>
      <c r="C25" s="126">
        <f>'Starts by Utility Type'!C128*'Summary for 5th Plan'!G$17</f>
        <v>17699.355751735293</v>
      </c>
      <c r="D25" s="126">
        <f>'Starts by Utility Type'!C76*'Summary for 5th Plan'!G$18</f>
        <v>20512</v>
      </c>
      <c r="E25" s="201">
        <f t="shared" si="4"/>
        <v>107183.20774348485</v>
      </c>
      <c r="F25" s="305">
        <f>'Starts by Utility Type'!D24*'Summary for 5th Plan'!G$16</f>
        <v>30758.004109478654</v>
      </c>
      <c r="G25" s="126">
        <f>'Starts by Utility Type'!D128*'Summary for 5th Plan'!G$17</f>
        <v>15577.8648954842</v>
      </c>
      <c r="H25" s="126">
        <f>'Starts by Utility Type'!D76*'Summary for 5th Plan'!G$18</f>
        <v>19356.663330617946</v>
      </c>
      <c r="I25" s="126">
        <f t="shared" si="5"/>
        <v>46335.86900496285</v>
      </c>
      <c r="J25" s="201">
        <f t="shared" si="6"/>
        <v>65692.53233558079</v>
      </c>
    </row>
    <row r="26" spans="1:10" ht="15.75">
      <c r="A26" s="310">
        <v>1995</v>
      </c>
      <c r="B26" s="307">
        <f>'Starts by Utility Type'!C25*'Summary for 5th Plan'!G$16</f>
        <v>61575.216171470995</v>
      </c>
      <c r="C26" s="126">
        <f>'Starts by Utility Type'!C129*'Summary for 5th Plan'!G$17</f>
        <v>19131.126423613452</v>
      </c>
      <c r="D26" s="126">
        <f>'Starts by Utility Type'!C77*'Summary for 5th Plan'!G$18</f>
        <v>19641</v>
      </c>
      <c r="E26" s="201">
        <f t="shared" si="4"/>
        <v>100347.34259508445</v>
      </c>
      <c r="F26" s="305">
        <f>'Starts by Utility Type'!D25*'Summary for 5th Plan'!G$16</f>
        <v>27655.526174906423</v>
      </c>
      <c r="G26" s="126">
        <f>'Starts by Utility Type'!D129*'Summary for 5th Plan'!G$17</f>
        <v>17111.25374987057</v>
      </c>
      <c r="H26" s="126">
        <f>'Starts by Utility Type'!D77*'Summary for 5th Plan'!G$18</f>
        <v>18530.30297020124</v>
      </c>
      <c r="I26" s="126">
        <f t="shared" si="5"/>
        <v>44766.779924776994</v>
      </c>
      <c r="J26" s="201">
        <f t="shared" si="6"/>
        <v>63297.08289497823</v>
      </c>
    </row>
    <row r="27" spans="1:10" ht="15.75">
      <c r="A27" s="310">
        <v>1996</v>
      </c>
      <c r="B27" s="307">
        <f>'Starts by Utility Type'!C26*'Summary for 5th Plan'!G$16</f>
        <v>64306.619421667136</v>
      </c>
      <c r="C27" s="126">
        <f>'Starts by Utility Type'!C130*'Summary for 5th Plan'!G$17</f>
        <v>19325.41680706247</v>
      </c>
      <c r="D27" s="126">
        <f>'Starts by Utility Type'!C78*'Summary for 5th Plan'!G$18</f>
        <v>17125</v>
      </c>
      <c r="E27" s="201">
        <f t="shared" si="4"/>
        <v>100757.0362287296</v>
      </c>
      <c r="F27" s="305">
        <f>'Starts by Utility Type'!D26*'Summary for 5th Plan'!G$16</f>
        <v>29171.640341683255</v>
      </c>
      <c r="G27" s="126">
        <f>'Starts by Utility Type'!D130*'Summary for 5th Plan'!G$17</f>
        <v>17450.164780655974</v>
      </c>
      <c r="H27" s="126">
        <f>'Starts by Utility Type'!D78*'Summary for 5th Plan'!G$18</f>
        <v>16166.799949225693</v>
      </c>
      <c r="I27" s="126">
        <f t="shared" si="5"/>
        <v>46621.805122339225</v>
      </c>
      <c r="J27" s="201">
        <f t="shared" si="6"/>
        <v>62788.60507156492</v>
      </c>
    </row>
    <row r="28" spans="1:10" ht="15.75">
      <c r="A28" s="310">
        <v>1997</v>
      </c>
      <c r="B28" s="307">
        <f>'Starts by Utility Type'!C27*'Summary for 5th Plan'!G$16</f>
        <v>63913.58167881457</v>
      </c>
      <c r="C28" s="126">
        <f>'Starts by Utility Type'!C131*'Summary for 5th Plan'!G$17</f>
        <v>19683.11038479682</v>
      </c>
      <c r="D28" s="126">
        <f>'Starts by Utility Type'!C79*'Summary for 5th Plan'!G$18</f>
        <v>17301</v>
      </c>
      <c r="E28" s="201">
        <f t="shared" si="4"/>
        <v>100897.69206361138</v>
      </c>
      <c r="F28" s="305">
        <f>'Starts by Utility Type'!D27*'Summary for 5th Plan'!G$16</f>
        <v>24549.529871416773</v>
      </c>
      <c r="G28" s="126">
        <f>'Starts by Utility Type'!D131*'Summary for 5th Plan'!G$17</f>
        <v>16034.522065651812</v>
      </c>
      <c r="H28" s="126">
        <f>'Starts by Utility Type'!D79*'Summary for 5th Plan'!G$18</f>
        <v>16089.93</v>
      </c>
      <c r="I28" s="126">
        <f t="shared" si="5"/>
        <v>40584.05193706859</v>
      </c>
      <c r="J28" s="201">
        <f t="shared" si="6"/>
        <v>56673.98193706859</v>
      </c>
    </row>
    <row r="29" spans="1:10" ht="15.75">
      <c r="A29" s="310">
        <v>1998</v>
      </c>
      <c r="B29" s="307">
        <f>'Starts by Utility Type'!C28*'Summary for 5th Plan'!G$16</f>
        <v>66291.66908570175</v>
      </c>
      <c r="C29" s="126">
        <f>'Starts by Utility Type'!C132*'Summary for 5th Plan'!G$17</f>
        <v>22309.51782465126</v>
      </c>
      <c r="D29" s="126">
        <f>'Starts by Utility Type'!C80*'Summary for 5th Plan'!G$18</f>
        <v>17996</v>
      </c>
      <c r="E29" s="201">
        <f t="shared" si="4"/>
        <v>106597.18691035302</v>
      </c>
      <c r="F29" s="305">
        <f>'Starts by Utility Type'!D28*'Summary for 5th Plan'!G$16</f>
        <v>25615.328818517297</v>
      </c>
      <c r="G29" s="126">
        <f>'Starts by Utility Type'!D132*'Summary for 5th Plan'!G$17</f>
        <v>18175.67431180883</v>
      </c>
      <c r="H29" s="126">
        <f>'Starts by Utility Type'!D80*'Summary for 5th Plan'!G$18</f>
        <v>16556.32</v>
      </c>
      <c r="I29" s="126">
        <f t="shared" si="5"/>
        <v>43791.00313032613</v>
      </c>
      <c r="J29" s="201">
        <f t="shared" si="6"/>
        <v>60347.32313032613</v>
      </c>
    </row>
    <row r="30" spans="1:10" ht="15.75">
      <c r="A30" s="310">
        <v>1999</v>
      </c>
      <c r="B30" s="307">
        <f>'Starts by Utility Type'!C29*'Summary for 5th Plan'!G$16</f>
        <v>64881.54165190359</v>
      </c>
      <c r="C30" s="126">
        <f>'Starts by Utility Type'!C133*'Summary for 5th Plan'!G$17</f>
        <v>18795.352786575913</v>
      </c>
      <c r="D30" s="126">
        <f>'Starts by Utility Type'!C81*'Summary for 5th Plan'!G$18</f>
        <v>14620</v>
      </c>
      <c r="E30" s="201">
        <f t="shared" si="4"/>
        <v>98296.8944384795</v>
      </c>
      <c r="F30" s="305">
        <f>'Starts by Utility Type'!D29*'Summary for 5th Plan'!G$16</f>
        <v>25256.15213801309</v>
      </c>
      <c r="G30" s="126">
        <f>'Starts by Utility Type'!D133*'Summary for 5th Plan'!G$17</f>
        <v>17042.753891771685</v>
      </c>
      <c r="H30" s="126">
        <f>'Starts by Utility Type'!D81*'Summary for 5th Plan'!G$18</f>
        <v>13158</v>
      </c>
      <c r="I30" s="126">
        <f t="shared" si="5"/>
        <v>42298.906029784775</v>
      </c>
      <c r="J30" s="201">
        <f t="shared" si="6"/>
        <v>55456.906029784775</v>
      </c>
    </row>
    <row r="31" spans="1:10" ht="15.75">
      <c r="A31" s="310">
        <v>2000</v>
      </c>
      <c r="B31" s="307">
        <f>'Starts by Utility Type'!C30*'Summary for 5th Plan'!G$16</f>
        <v>59689.4712562954</v>
      </c>
      <c r="C31" s="126">
        <f>'Starts by Utility Type'!C134*'Summary for 5th Plan'!G$17</f>
        <v>15462.525439719659</v>
      </c>
      <c r="D31" s="126">
        <f>'Starts by Utility Type'!C82*'Summary for 5th Plan'!G$18</f>
        <v>9564</v>
      </c>
      <c r="E31" s="201">
        <f t="shared" si="4"/>
        <v>84715.99669601506</v>
      </c>
      <c r="F31" s="305">
        <f>'Starts by Utility Type'!D30*'Summary for 5th Plan'!G$16</f>
        <v>23346.3160974093</v>
      </c>
      <c r="G31" s="126">
        <f>'Starts by Utility Type'!D134*'Summary for 5th Plan'!G$17</f>
        <v>16672.1076218074</v>
      </c>
      <c r="H31" s="126">
        <f>'Starts by Utility Type'!D82*'Summary for 5th Plan'!G$18</f>
        <v>8416.32</v>
      </c>
      <c r="I31" s="126">
        <f t="shared" si="5"/>
        <v>40018.423719216706</v>
      </c>
      <c r="J31" s="201">
        <f t="shared" si="6"/>
        <v>48434.743719216705</v>
      </c>
    </row>
    <row r="32" spans="1:10" ht="15.75">
      <c r="A32" s="310">
        <v>2001</v>
      </c>
      <c r="B32" s="308">
        <f>'Starts by Utility Type'!C31*'Summary for 5th Plan'!G$3</f>
        <v>65004.963405209644</v>
      </c>
      <c r="C32" s="128">
        <f>'Starts by Utility Type'!C135*'Summary for 5th Plan'!G$4</f>
        <v>16576.194975597584</v>
      </c>
      <c r="D32" s="128">
        <f>'Starts by Utility Type'!C83*'Summary for 5th Plan'!G$5</f>
        <v>7283</v>
      </c>
      <c r="E32" s="303">
        <f t="shared" si="4"/>
        <v>88864.15838080723</v>
      </c>
      <c r="F32" s="202">
        <f>'Starts by Utility Type'!D31*'Summary for 5th Plan'!G$16</f>
        <v>24043.824159935648</v>
      </c>
      <c r="G32" s="128">
        <f>'Starts by Utility Type'!D135*'Summary for 5th Plan'!G$17</f>
        <v>16961.05229462902</v>
      </c>
      <c r="H32" s="128">
        <f>'Starts by Utility Type'!D83*'Summary for 5th Plan'!G$18</f>
        <v>6263.38</v>
      </c>
      <c r="I32" s="128">
        <f t="shared" si="5"/>
        <v>41004.87645456467</v>
      </c>
      <c r="J32" s="203">
        <f t="shared" si="6"/>
        <v>47268.25645456467</v>
      </c>
    </row>
    <row r="33" spans="1:10" ht="15.75">
      <c r="A33" s="310">
        <v>2002</v>
      </c>
      <c r="B33" s="308">
        <f>'Starts by Utility Type'!C32*'Summary for 5th Plan'!G$3</f>
        <v>65817.52544777477</v>
      </c>
      <c r="C33" s="128">
        <f>'Starts by Utility Type'!C136*'Summary for 5th Plan'!G$4</f>
        <v>16999.211593923694</v>
      </c>
      <c r="D33" s="128">
        <f>'Starts by Utility Type'!C84*'Summary for 5th Plan'!G$5</f>
        <v>7537.905</v>
      </c>
      <c r="E33" s="303">
        <f t="shared" si="4"/>
        <v>90354.64204169846</v>
      </c>
      <c r="F33" s="202">
        <f>'Starts by Utility Type'!D32*'Summary for 5th Plan'!G$16</f>
        <v>24352.045160034013</v>
      </c>
      <c r="G33" s="128">
        <f>'Starts by Utility Type'!D136*'Summary for 5th Plan'!G$17</f>
        <v>16481.802682121437</v>
      </c>
      <c r="H33" s="128">
        <f>'Starts by Utility Type'!D84*'Summary for 5th Plan'!G$18</f>
        <v>6331.8402</v>
      </c>
      <c r="I33" s="128">
        <f t="shared" si="5"/>
        <v>40833.84784215545</v>
      </c>
      <c r="J33" s="203">
        <f t="shared" si="6"/>
        <v>47165.688042155445</v>
      </c>
    </row>
    <row r="34" spans="1:10" ht="15.75">
      <c r="A34" s="310">
        <v>2003</v>
      </c>
      <c r="B34" s="308">
        <f>'Starts by Utility Type'!C33*'Summary for 5th Plan'!G$3</f>
        <v>66640.24451587195</v>
      </c>
      <c r="C34" s="128">
        <f>'Starts by Utility Type'!C137*'Summary for 5th Plan'!G$4</f>
        <v>17433.023395320677</v>
      </c>
      <c r="D34" s="128">
        <f>'Starts by Utility Type'!C85*'Summary for 5th Plan'!G$5</f>
        <v>7801.731674999999</v>
      </c>
      <c r="E34" s="303">
        <f t="shared" si="4"/>
        <v>91874.99958619263</v>
      </c>
      <c r="F34" s="202">
        <f>'Starts by Utility Type'!D33*'Summary for 5th Plan'!G$16</f>
        <v>22822.937415023185</v>
      </c>
      <c r="G34" s="128">
        <f>'Starts by Utility Type'!D137*'Summary for 5th Plan'!G$17</f>
        <v>13271.925644865065</v>
      </c>
      <c r="H34" s="128">
        <f>'Starts by Utility Type'!D85*'Summary for 5th Plan'!G$18</f>
        <v>6686.521293615302</v>
      </c>
      <c r="I34" s="128">
        <f t="shared" si="5"/>
        <v>36094.86305988825</v>
      </c>
      <c r="J34" s="203">
        <f t="shared" si="6"/>
        <v>42781.384353503556</v>
      </c>
    </row>
    <row r="35" spans="1:10" ht="15.75">
      <c r="A35" s="310">
        <v>2004</v>
      </c>
      <c r="B35" s="308">
        <f>'Starts by Utility Type'!C34*'Summary for 5th Plan'!G$3</f>
        <v>67473.24757232035</v>
      </c>
      <c r="C35" s="128">
        <f>'Starts by Utility Type'!C138*'Summary for 5th Plan'!G$4</f>
        <v>17877.90586773034</v>
      </c>
      <c r="D35" s="128">
        <f>'Starts by Utility Type'!C86*'Summary for 5th Plan'!G$5</f>
        <v>8074.792283624998</v>
      </c>
      <c r="E35" s="303">
        <f t="shared" si="4"/>
        <v>93425.94572367569</v>
      </c>
      <c r="F35" s="202">
        <f>'Starts by Utility Type'!D34*'Summary for 5th Plan'!G$16</f>
        <v>22538.648099932703</v>
      </c>
      <c r="G35" s="128">
        <f>'Starts by Utility Type'!D138*'Summary for 5th Plan'!G$17</f>
        <v>13497.571533035341</v>
      </c>
      <c r="H35" s="128">
        <f>'Starts by Utility Type'!D86*'Summary for 5th Plan'!G$18</f>
        <v>6805.593576799536</v>
      </c>
      <c r="I35" s="128">
        <f t="shared" si="5"/>
        <v>36036.219632968045</v>
      </c>
      <c r="J35" s="203">
        <f t="shared" si="6"/>
        <v>42841.813209767584</v>
      </c>
    </row>
    <row r="36" spans="1:10" ht="15.75">
      <c r="A36" s="310">
        <v>2005</v>
      </c>
      <c r="B36" s="308">
        <f>'Starts by Utility Type'!C35*'Summary for 5th Plan'!G$3</f>
        <v>68316.66316697435</v>
      </c>
      <c r="C36" s="128">
        <f>'Starts by Utility Type'!C139*'Summary for 5th Plan'!G$4</f>
        <v>18334.141529415854</v>
      </c>
      <c r="D36" s="128">
        <f>'Starts by Utility Type'!C87*'Summary for 5th Plan'!G$5</f>
        <v>8357.410013551873</v>
      </c>
      <c r="E36" s="303">
        <f t="shared" si="4"/>
        <v>95008.21470994207</v>
      </c>
      <c r="F36" s="202">
        <f>'Starts by Utility Type'!D35*'Summary for 5th Plan'!G$16</f>
        <v>22245.16739431094</v>
      </c>
      <c r="G36" s="128">
        <f>'Starts by Utility Type'!D139*'Summary for 5th Plan'!G$17</f>
        <v>13725.695574511996</v>
      </c>
      <c r="H36" s="128">
        <f>'Starts by Utility Type'!D87*'Summary for 5th Plan'!G$18</f>
        <v>6924.940541988084</v>
      </c>
      <c r="I36" s="128">
        <f t="shared" si="5"/>
        <v>35970.86296882294</v>
      </c>
      <c r="J36" s="203">
        <f t="shared" si="6"/>
        <v>42895.80351081103</v>
      </c>
    </row>
    <row r="37" spans="1:10" ht="15.75">
      <c r="A37" s="310">
        <v>2006</v>
      </c>
      <c r="B37" s="308">
        <f>'Starts by Utility Type'!C36*'Summary for 5th Plan'!G$3</f>
        <v>69170.62145656152</v>
      </c>
      <c r="C37" s="128">
        <f>'Starts by Utility Type'!C140*'Summary for 5th Plan'!G$4</f>
        <v>18802.02010837219</v>
      </c>
      <c r="D37" s="128">
        <f>'Starts by Utility Type'!C88*'Summary for 5th Plan'!G$5</f>
        <v>8649.919364026187</v>
      </c>
      <c r="E37" s="303">
        <f t="shared" si="4"/>
        <v>96622.5609289599</v>
      </c>
      <c r="F37" s="202">
        <f>'Starts by Utility Type'!D36*'Summary for 5th Plan'!G$16</f>
        <v>21942.328457679112</v>
      </c>
      <c r="G37" s="128">
        <f>'Starts by Utility Type'!D140*'Summary for 5th Plan'!G$17</f>
        <v>13956.267212798608</v>
      </c>
      <c r="H37" s="128">
        <f>'Starts by Utility Type'!D88*'Summary for 5th Plan'!G$18</f>
        <v>7044.440124751124</v>
      </c>
      <c r="I37" s="128">
        <f t="shared" si="5"/>
        <v>35898.59567047772</v>
      </c>
      <c r="J37" s="203">
        <f t="shared" si="6"/>
        <v>42943.03579522885</v>
      </c>
    </row>
    <row r="38" spans="1:10" ht="15.75">
      <c r="A38" s="310">
        <v>2007</v>
      </c>
      <c r="B38" s="308">
        <f>'Starts by Utility Type'!C37*'Summary for 5th Plan'!G$3</f>
        <v>70035.25422476853</v>
      </c>
      <c r="C38" s="128">
        <f>'Starts by Utility Type'!C141*'Summary for 5th Plan'!G$4</f>
        <v>19281.838726315083</v>
      </c>
      <c r="D38" s="128">
        <f>'Starts by Utility Type'!C89*'Summary for 5th Plan'!G$5</f>
        <v>8952.666541767103</v>
      </c>
      <c r="E38" s="303">
        <f t="shared" si="4"/>
        <v>98269.75949285072</v>
      </c>
      <c r="F38" s="202">
        <f>'Starts by Utility Type'!D37*'Summary for 5th Plan'!G$16</f>
        <v>21629.9619462523</v>
      </c>
      <c r="G38" s="128">
        <f>'Starts by Utility Type'!D141*'Summary for 5th Plan'!G$17</f>
        <v>14189.252460493735</v>
      </c>
      <c r="H38" s="128">
        <f>'Starts by Utility Type'!D89*'Summary for 5th Plan'!G$18</f>
        <v>7242.658056759377</v>
      </c>
      <c r="I38" s="128">
        <f t="shared" si="5"/>
        <v>35819.21440674603</v>
      </c>
      <c r="J38" s="203">
        <f t="shared" si="6"/>
        <v>43061.87246350541</v>
      </c>
    </row>
    <row r="39" spans="1:10" ht="15.75">
      <c r="A39" s="310">
        <v>2008</v>
      </c>
      <c r="B39" s="308">
        <f>'Starts by Utility Type'!C38*'Summary for 5th Plan'!G$3</f>
        <v>70910.69490257814</v>
      </c>
      <c r="C39" s="128">
        <f>'Starts by Utility Type'!C142*'Summary for 5th Plan'!G$4</f>
        <v>19773.902087365237</v>
      </c>
      <c r="D39" s="128">
        <f>'Starts by Utility Type'!C90*'Summary for 5th Plan'!G$5</f>
        <v>9266.00987072895</v>
      </c>
      <c r="E39" s="303">
        <f t="shared" si="4"/>
        <v>99950.60686067233</v>
      </c>
      <c r="F39" s="202">
        <f>'Starts by Utility Type'!D38*'Summary for 5th Plan'!G$16</f>
        <v>21307.895979319466</v>
      </c>
      <c r="G39" s="128">
        <f>'Starts by Utility Type'!D142*'Summary for 5th Plan'!G$17</f>
        <v>14424.613737510515</v>
      </c>
      <c r="H39" s="128">
        <f>'Starts by Utility Type'!D90*'Summary for 5th Plan'!G$18</f>
        <v>7445.986305660259</v>
      </c>
      <c r="I39" s="128">
        <f t="shared" si="5"/>
        <v>35732.50971682998</v>
      </c>
      <c r="J39" s="203">
        <f t="shared" si="6"/>
        <v>43178.496022490246</v>
      </c>
    </row>
    <row r="40" spans="1:10" ht="15.75">
      <c r="A40" s="310">
        <v>2009</v>
      </c>
      <c r="B40" s="308">
        <f>'Starts by Utility Type'!C39*'Summary for 5th Plan'!G$3</f>
        <v>71797.07858886036</v>
      </c>
      <c r="C40" s="128">
        <f>'Starts by Utility Type'!C143*'Summary for 5th Plan'!G$4</f>
        <v>20278.522671547726</v>
      </c>
      <c r="D40" s="128">
        <f>'Starts by Utility Type'!C91*'Summary for 5th Plan'!G$5</f>
        <v>9590.320216204464</v>
      </c>
      <c r="E40" s="303">
        <f t="shared" si="4"/>
        <v>101665.92147661255</v>
      </c>
      <c r="F40" s="202">
        <f>'Starts by Utility Type'!D39*'Summary for 5th Plan'!G$16</f>
        <v>20975.956105211833</v>
      </c>
      <c r="G40" s="128">
        <f>'Starts by Utility Type'!D143*'Summary for 5th Plan'!G$17</f>
        <v>14662.309703106443</v>
      </c>
      <c r="H40" s="128">
        <f>'Starts by Utility Type'!D91*'Summary for 5th Plan'!G$18</f>
        <v>7654.535034197729</v>
      </c>
      <c r="I40" s="128">
        <f t="shared" si="5"/>
        <v>35638.265808318276</v>
      </c>
      <c r="J40" s="203">
        <f t="shared" si="6"/>
        <v>43292.80084251601</v>
      </c>
    </row>
    <row r="41" spans="1:10" ht="15.75">
      <c r="A41" s="310">
        <v>2010</v>
      </c>
      <c r="B41" s="308">
        <f>'Starts by Utility Type'!C40*'Summary for 5th Plan'!G$3</f>
        <v>72694.54207122112</v>
      </c>
      <c r="C41" s="128">
        <f>'Starts by Utility Type'!C144*'Summary for 5th Plan'!G$4</f>
        <v>20796.020933229353</v>
      </c>
      <c r="D41" s="128">
        <f>'Starts by Utility Type'!C92*'Summary for 5th Plan'!G$5</f>
        <v>9925.981423771618</v>
      </c>
      <c r="E41" s="303">
        <f t="shared" si="4"/>
        <v>103416.54442822209</v>
      </c>
      <c r="F41" s="202">
        <f>'Starts by Utility Type'!D40*'Summary for 5th Plan'!G$16</f>
        <v>20633.96526685182</v>
      </c>
      <c r="G41" s="128">
        <f>'Starts by Utility Type'!D144*'Summary for 5th Plan'!G$17</f>
        <v>14902.29508150734</v>
      </c>
      <c r="H41" s="128">
        <f>'Starts by Utility Type'!D92*'Summary for 5th Plan'!G$18</f>
        <v>7868.4156903830635</v>
      </c>
      <c r="I41" s="128">
        <f t="shared" si="5"/>
        <v>35536.26034835916</v>
      </c>
      <c r="J41" s="203">
        <f t="shared" si="6"/>
        <v>43404.676038742226</v>
      </c>
    </row>
    <row r="42" spans="1:10" ht="15.75">
      <c r="A42" s="310">
        <v>2011</v>
      </c>
      <c r="B42" s="308">
        <f>'Starts by Utility Type'!C41*'Summary for 5th Plan'!G$3</f>
        <v>73603.22384711138</v>
      </c>
      <c r="C42" s="128">
        <f>'Starts by Utility Type'!C145*'Summary for 5th Plan'!G$4</f>
        <v>21326.725504620084</v>
      </c>
      <c r="D42" s="128">
        <f>'Starts by Utility Type'!C93*'Summary for 5th Plan'!G$5</f>
        <v>10273.390773603624</v>
      </c>
      <c r="E42" s="303">
        <f t="shared" si="4"/>
        <v>105203.34012533509</v>
      </c>
      <c r="F42" s="202">
        <f>'Starts by Utility Type'!D41*'Summary for 5th Plan'!G$16</f>
        <v>20281.74376688024</v>
      </c>
      <c r="G42" s="128">
        <f>'Starts by Utility Type'!D145*'Summary for 5th Plan'!G$17</f>
        <v>15144.520480904352</v>
      </c>
      <c r="H42" s="128">
        <f>'Starts by Utility Type'!D93*'Summary for 5th Plan'!G$18</f>
        <v>8042.898709344932</v>
      </c>
      <c r="I42" s="128">
        <f t="shared" si="5"/>
        <v>35426.264247784595</v>
      </c>
      <c r="J42" s="203">
        <f t="shared" si="6"/>
        <v>43469.16295712953</v>
      </c>
    </row>
    <row r="43" spans="1:10" ht="15.75">
      <c r="A43" s="310">
        <v>2012</v>
      </c>
      <c r="B43" s="308">
        <f>'Starts by Utility Type'!C42*'Summary for 5th Plan'!G$3</f>
        <v>74523.26414520029</v>
      </c>
      <c r="C43" s="128">
        <f>'Starts by Utility Type'!C146*'Summary for 5th Plan'!G$4</f>
        <v>21870.9734044677</v>
      </c>
      <c r="D43" s="128">
        <f>'Starts by Utility Type'!C94*'Summary for 5th Plan'!G$5</f>
        <v>10632.95945067975</v>
      </c>
      <c r="E43" s="303">
        <f t="shared" si="4"/>
        <v>107027.19700034773</v>
      </c>
      <c r="F43" s="202">
        <f>'Starts by Utility Type'!D42*'Summary for 5th Plan'!G$16</f>
        <v>19919.109232356306</v>
      </c>
      <c r="G43" s="128">
        <f>'Starts by Utility Type'!D146*'Summary for 5th Plan'!G$17</f>
        <v>15388.932205594676</v>
      </c>
      <c r="H43" s="128">
        <f>'Starts by Utility Type'!D94*'Summary for 5th Plan'!G$18</f>
        <v>8266.293383440945</v>
      </c>
      <c r="I43" s="128">
        <f t="shared" si="5"/>
        <v>35308.04143795098</v>
      </c>
      <c r="J43" s="203">
        <f t="shared" si="6"/>
        <v>43574.33482139192</v>
      </c>
    </row>
    <row r="44" spans="1:10" ht="15.75">
      <c r="A44" s="310">
        <v>2013</v>
      </c>
      <c r="B44" s="308">
        <f>'Starts by Utility Type'!C43*'Summary for 5th Plan'!G$3</f>
        <v>75454.80494701528</v>
      </c>
      <c r="C44" s="128">
        <f>'Starts by Utility Type'!C147*'Summary for 5th Plan'!G$4</f>
        <v>22429.110252078273</v>
      </c>
      <c r="D44" s="128">
        <f>'Starts by Utility Type'!C95*'Summary for 5th Plan'!G$5</f>
        <v>11005.11303145354</v>
      </c>
      <c r="E44" s="303">
        <f t="shared" si="4"/>
        <v>108889.02823054709</v>
      </c>
      <c r="F44" s="202">
        <f>'Starts by Utility Type'!D43*'Summary for 5th Plan'!G$16</f>
        <v>19545.876579025906</v>
      </c>
      <c r="G44" s="128">
        <f>'Starts by Utility Type'!D147*'Summary for 5th Plan'!G$17</f>
        <v>15635.472061028904</v>
      </c>
      <c r="H44" s="128">
        <f>'Starts by Utility Type'!D95*'Summary for 5th Plan'!G$18</f>
        <v>8495.312203266229</v>
      </c>
      <c r="I44" s="128">
        <f t="shared" si="5"/>
        <v>35181.34864005481</v>
      </c>
      <c r="J44" s="203">
        <f t="shared" si="6"/>
        <v>43676.66084332104</v>
      </c>
    </row>
    <row r="45" spans="1:10" ht="15.75">
      <c r="A45" s="310">
        <v>2014</v>
      </c>
      <c r="B45" s="308">
        <f>'Starts by Utility Type'!C44*'Summary for 5th Plan'!G$3</f>
        <v>76397.99000885297</v>
      </c>
      <c r="C45" s="128">
        <f>'Starts by Utility Type'!C148*'Summary for 5th Plan'!G$4</f>
        <v>23001.49048679831</v>
      </c>
      <c r="D45" s="128">
        <f>'Starts by Utility Type'!C96*'Summary for 5th Plan'!G$5</f>
        <v>11390.291987554414</v>
      </c>
      <c r="E45" s="303">
        <f t="shared" si="4"/>
        <v>110789.7724832057</v>
      </c>
      <c r="F45" s="202">
        <f>'Starts by Utility Type'!D44*'Summary for 5th Plan'!G$16</f>
        <v>19161.857975152725</v>
      </c>
      <c r="G45" s="128">
        <f>'Starts by Utility Type'!D148*'Summary for 5th Plan'!G$17</f>
        <v>15884.07715152137</v>
      </c>
      <c r="H45" s="128">
        <f>'Starts by Utility Type'!D96*'Summary for 5th Plan'!G$18</f>
        <v>8730.069567977236</v>
      </c>
      <c r="I45" s="128">
        <f t="shared" si="5"/>
        <v>35045.93512667409</v>
      </c>
      <c r="J45" s="203">
        <f t="shared" si="6"/>
        <v>43776.00469465133</v>
      </c>
    </row>
    <row r="46" spans="1:10" ht="15.75">
      <c r="A46" s="310">
        <v>2015</v>
      </c>
      <c r="B46" s="308">
        <f>'Starts by Utility Type'!C45*'Summary for 5th Plan'!G$3</f>
        <v>77352.96488396364</v>
      </c>
      <c r="C46" s="128">
        <f>'Starts by Utility Type'!C149*'Summary for 5th Plan'!G$4</f>
        <v>23588.477593098007</v>
      </c>
      <c r="D46" s="128">
        <f>'Starts by Utility Type'!C97*'Summary for 5th Plan'!G$5</f>
        <v>11788.952207118817</v>
      </c>
      <c r="E46" s="303">
        <f t="shared" si="4"/>
        <v>112730.39468418046</v>
      </c>
      <c r="F46" s="202">
        <f>'Starts by Utility Type'!D45*'Summary for 5th Plan'!G$16</f>
        <v>18766.862804907723</v>
      </c>
      <c r="G46" s="128">
        <f>'Starts by Utility Type'!D149*'Summary for 5th Plan'!G$17</f>
        <v>16134.679670370304</v>
      </c>
      <c r="H46" s="128">
        <f>'Starts by Utility Type'!D97*'Summary for 5th Plan'!G$18</f>
        <v>8970.680797952948</v>
      </c>
      <c r="I46" s="128">
        <f t="shared" si="5"/>
        <v>34901.54247527802</v>
      </c>
      <c r="J46" s="203">
        <f t="shared" si="6"/>
        <v>43872.22327323097</v>
      </c>
    </row>
    <row r="47" spans="1:10" ht="15.75">
      <c r="A47" s="310">
        <v>2016</v>
      </c>
      <c r="B47" s="308">
        <f>'Starts by Utility Type'!C46*'Summary for 5th Plan'!G$3</f>
        <v>78319.87694501317</v>
      </c>
      <c r="C47" s="128">
        <f>'Starts by Utility Type'!C150*'Summary for 5th Plan'!G$4</f>
        <v>24190.4443313985</v>
      </c>
      <c r="D47" s="128">
        <f>'Starts by Utility Type'!C98*'Summary for 5th Plan'!G$5</f>
        <v>12201.565534367974</v>
      </c>
      <c r="E47" s="303">
        <f t="shared" si="4"/>
        <v>114711.88681077963</v>
      </c>
      <c r="F47" s="202">
        <f>'Starts by Utility Type'!D46*'Summary for 5th Plan'!G$16</f>
        <v>18360.6976313129</v>
      </c>
      <c r="G47" s="128">
        <f>'Starts by Utility Type'!D150*'Summary for 5th Plan'!G$17</f>
        <v>16387.206682127533</v>
      </c>
      <c r="H47" s="128">
        <f>'Starts by Utility Type'!D98*'Summary for 5th Plan'!G$18</f>
        <v>9217.262052241513</v>
      </c>
      <c r="I47" s="128">
        <f t="shared" si="5"/>
        <v>34747.904313440435</v>
      </c>
      <c r="J47" s="203">
        <f t="shared" si="6"/>
        <v>43965.166365681944</v>
      </c>
    </row>
    <row r="48" spans="1:10" ht="15.75">
      <c r="A48" s="310">
        <v>2017</v>
      </c>
      <c r="B48" s="308">
        <f>'Starts by Utility Type'!C47*'Summary for 5th Plan'!G$3</f>
        <v>79298.87540682583</v>
      </c>
      <c r="C48" s="128">
        <f>'Starts by Utility Type'!C151*'Summary for 5th Plan'!G$4</f>
        <v>24807.772974789736</v>
      </c>
      <c r="D48" s="128">
        <f>'Starts by Utility Type'!C99*'Summary for 5th Plan'!G$5</f>
        <v>12628.620328070852</v>
      </c>
      <c r="E48" s="303">
        <f t="shared" si="4"/>
        <v>116735.26870968642</v>
      </c>
      <c r="F48" s="202">
        <f>'Starts by Utility Type'!D47*'Summary for 5th Plan'!G$16</f>
        <v>17943.16615873236</v>
      </c>
      <c r="G48" s="128">
        <f>'Starts by Utility Type'!D151*'Summary for 5th Plan'!G$17</f>
        <v>16641.579896748695</v>
      </c>
      <c r="H48" s="128">
        <f>'Starts by Utility Type'!D99*'Summary for 5th Plan'!G$18</f>
        <v>9415.380717440026</v>
      </c>
      <c r="I48" s="128">
        <f t="shared" si="5"/>
        <v>34584.74605548105</v>
      </c>
      <c r="J48" s="203">
        <f t="shared" si="6"/>
        <v>44000.12677292108</v>
      </c>
    </row>
    <row r="49" spans="1:10" ht="15.75">
      <c r="A49" s="310">
        <v>2018</v>
      </c>
      <c r="B49" s="308">
        <f>'Starts by Utility Type'!C48*'Summary for 5th Plan'!G$3</f>
        <v>80290.11134941115</v>
      </c>
      <c r="C49" s="128">
        <f>'Starts by Utility Type'!C152*'Summary for 5th Plan'!G$4</f>
        <v>25440.85555178923</v>
      </c>
      <c r="D49" s="128">
        <f>'Starts by Utility Type'!C100*'Summary for 5th Plan'!G$5</f>
        <v>13070.622039553331</v>
      </c>
      <c r="E49" s="303">
        <f t="shared" si="4"/>
        <v>118801.58894075372</v>
      </c>
      <c r="F49" s="202">
        <f>'Starts by Utility Type'!D48*'Summary for 5th Plan'!G$16</f>
        <v>17514.069194908356</v>
      </c>
      <c r="G49" s="128">
        <f>'Starts by Utility Type'!D152*'Summary for 5th Plan'!G$17</f>
        <v>16897.715435346225</v>
      </c>
      <c r="H49" s="128">
        <f>'Starts by Utility Type'!D100*'Summary for 5th Plan'!G$18</f>
        <v>9672.44301398368</v>
      </c>
      <c r="I49" s="128">
        <f t="shared" si="5"/>
        <v>34411.78463025458</v>
      </c>
      <c r="J49" s="203">
        <f t="shared" si="6"/>
        <v>44084.22764423826</v>
      </c>
    </row>
    <row r="50" spans="1:10" ht="15.75">
      <c r="A50" s="310">
        <v>2019</v>
      </c>
      <c r="B50" s="308">
        <f>'Starts by Utility Type'!C49*'Summary for 5th Plan'!G$3</f>
        <v>81293.73774127878</v>
      </c>
      <c r="C50" s="128">
        <f>'Starts by Utility Type'!C153*'Summary for 5th Plan'!G$4</f>
        <v>26090.094095295986</v>
      </c>
      <c r="D50" s="128">
        <f>'Starts by Utility Type'!C101*'Summary for 5th Plan'!G$5</f>
        <v>13528.093810937697</v>
      </c>
      <c r="E50" s="303">
        <f t="shared" si="4"/>
        <v>120911.92564751247</v>
      </c>
      <c r="F50" s="202">
        <f>'Starts by Utility Type'!D49*'Summary for 5th Plan'!G$16</f>
        <v>17073.204612534406</v>
      </c>
      <c r="G50" s="128">
        <f>'Starts by Utility Type'!D153*'Summary for 5th Plan'!G$17</f>
        <v>17155.523587257583</v>
      </c>
      <c r="H50" s="128">
        <f>'Starts by Utility Type'!D101*'Summary for 5th Plan'!G$18</f>
        <v>9935.768005184951</v>
      </c>
      <c r="I50" s="128">
        <f t="shared" si="5"/>
        <v>34228.72819979199</v>
      </c>
      <c r="J50" s="203">
        <f t="shared" si="6"/>
        <v>44164.496204976946</v>
      </c>
    </row>
    <row r="51" spans="1:10" ht="15.75">
      <c r="A51" s="310">
        <v>2020</v>
      </c>
      <c r="B51" s="308">
        <f>'Starts by Utility Type'!C50*'Summary for 5th Plan'!G$3</f>
        <v>82309.90946304477</v>
      </c>
      <c r="C51" s="128">
        <f>'Starts by Utility Type'!C154*'Summary for 5th Plan'!G$4</f>
        <v>26755.900897897514</v>
      </c>
      <c r="D51" s="128">
        <f>'Starts by Utility Type'!C102*'Summary for 5th Plan'!G$5</f>
        <v>14001.577094320515</v>
      </c>
      <c r="E51" s="303">
        <f t="shared" si="4"/>
        <v>123067.3874552628</v>
      </c>
      <c r="F51" s="202">
        <f>'Starts by Utility Type'!D50*'Summary for 5th Plan'!G$16</f>
        <v>16620.367310363246</v>
      </c>
      <c r="G51" s="128">
        <f>'Starts by Utility Type'!D154*'Summary for 5th Plan'!G$17</f>
        <v>17414.90855813347</v>
      </c>
      <c r="H51" s="128">
        <f>'Starts by Utility Type'!D102*'Summary for 5th Plan'!G$18</f>
        <v>10205.472254491295</v>
      </c>
      <c r="I51" s="128">
        <f t="shared" si="5"/>
        <v>34035.27586849671</v>
      </c>
      <c r="J51" s="203">
        <f t="shared" si="6"/>
        <v>44240.74812298801</v>
      </c>
    </row>
    <row r="52" spans="1:10" ht="15.75">
      <c r="A52" s="310">
        <v>2021</v>
      </c>
      <c r="B52" s="308">
        <f>'Starts by Utility Type'!C51*'Summary for 5th Plan'!G$3</f>
        <v>83338.78333133282</v>
      </c>
      <c r="C52" s="128">
        <f>'Starts by Utility Type'!C155*'Summary for 5th Plan'!G$4</f>
        <v>27438.69877369223</v>
      </c>
      <c r="D52" s="128">
        <f>'Starts by Utility Type'!C103*'Summary for 5th Plan'!G$5</f>
        <v>14491.632292621733</v>
      </c>
      <c r="E52" s="303">
        <f t="shared" si="4"/>
        <v>125269.11439764677</v>
      </c>
      <c r="F52" s="202">
        <f>'Starts by Utility Type'!D51*'Summary for 5th Plan'!G$16</f>
        <v>16155.34917384181</v>
      </c>
      <c r="G52" s="128">
        <f>'Starts by Utility Type'!D155*'Summary for 5th Plan'!G$17</f>
        <v>17675.76820873925</v>
      </c>
      <c r="H52" s="128">
        <f>'Starts by Utility Type'!D103*'Summary for 5th Plan'!G$18</f>
        <v>10481.672570655333</v>
      </c>
      <c r="I52" s="128">
        <f t="shared" si="5"/>
        <v>33831.11738258106</v>
      </c>
      <c r="J52" s="203">
        <f t="shared" si="6"/>
        <v>44312.789953236395</v>
      </c>
    </row>
    <row r="53" spans="1:10" ht="15.75">
      <c r="A53" s="310">
        <v>2022</v>
      </c>
      <c r="B53" s="308">
        <f>'Starts by Utility Type'!C52*'Summary for 5th Plan'!G$3</f>
        <v>84380.51812297448</v>
      </c>
      <c r="C53" s="128">
        <f>'Starts by Utility Type'!C156*'Summary for 5th Plan'!G$4</f>
        <v>28138.92132679342</v>
      </c>
      <c r="D53" s="128">
        <f>'Starts by Utility Type'!C104*'Summary for 5th Plan'!G$5</f>
        <v>14998.839422863492</v>
      </c>
      <c r="E53" s="303">
        <f t="shared" si="4"/>
        <v>127518.27887263139</v>
      </c>
      <c r="F53" s="202">
        <f>'Starts by Utility Type'!D52*'Summary for 5th Plan'!G$16</f>
        <v>15677.93903527002</v>
      </c>
      <c r="G53" s="128">
        <f>'Starts by Utility Type'!D156*'Summary for 5th Plan'!G$17</f>
        <v>17937.993784154958</v>
      </c>
      <c r="H53" s="128">
        <f>'Starts by Utility Type'!D104*'Summary for 5th Plan'!G$18</f>
        <v>10746.9711782128</v>
      </c>
      <c r="I53" s="128">
        <f t="shared" si="5"/>
        <v>33615.932819424976</v>
      </c>
      <c r="J53" s="203">
        <f t="shared" si="6"/>
        <v>44362.903997637775</v>
      </c>
    </row>
    <row r="54" spans="1:10" ht="15.75">
      <c r="A54" s="310">
        <v>2023</v>
      </c>
      <c r="B54" s="308">
        <f>'Starts by Utility Type'!C53*'Summary for 5th Plan'!G$3</f>
        <v>85435.27459951164</v>
      </c>
      <c r="C54" s="128">
        <f>'Starts by Utility Type'!C157*'Summary for 5th Plan'!G$4</f>
        <v>28857.013226685274</v>
      </c>
      <c r="D54" s="128">
        <f>'Starts by Utility Type'!C105*'Summary for 5th Plan'!G$5</f>
        <v>15523.798802663712</v>
      </c>
      <c r="E54" s="303">
        <f t="shared" si="4"/>
        <v>129816.08662886063</v>
      </c>
      <c r="F54" s="202">
        <f>'Starts by Utility Type'!D53*'Summary for 5th Plan'!G$16</f>
        <v>15187.922633477463</v>
      </c>
      <c r="G54" s="128">
        <f>'Starts by Utility Type'!D157*'Summary for 5th Plan'!G$17</f>
        <v>18201.469633047043</v>
      </c>
      <c r="H54" s="128">
        <f>'Starts by Utility Type'!D105*'Summary for 5th Plan'!G$18</f>
        <v>11026.885514823578</v>
      </c>
      <c r="I54" s="128">
        <f t="shared" si="5"/>
        <v>33389.392266524505</v>
      </c>
      <c r="J54" s="203">
        <f t="shared" si="6"/>
        <v>44416.27778134808</v>
      </c>
    </row>
    <row r="55" spans="1:10" ht="15.75">
      <c r="A55" s="310">
        <v>2024</v>
      </c>
      <c r="B55" s="308">
        <f>'Starts by Utility Type'!C54*'Summary for 5th Plan'!G$3</f>
        <v>86503.21553200553</v>
      </c>
      <c r="C55" s="128">
        <f>'Starts by Utility Type'!C158*'Summary for 5th Plan'!G$4</f>
        <v>29593.43049060589</v>
      </c>
      <c r="D55" s="128">
        <f>'Starts by Utility Type'!C106*'Summary for 5th Plan'!G$5</f>
        <v>16067.131760756942</v>
      </c>
      <c r="E55" s="303">
        <f t="shared" si="4"/>
        <v>132163.77778336836</v>
      </c>
      <c r="F55" s="202">
        <f>'Starts by Utility Type'!D54*'Summary for 5th Plan'!G$16</f>
        <v>14685.082573012274</v>
      </c>
      <c r="G55" s="128">
        <f>'Starts by Utility Type'!D158*'Summary for 5th Plan'!G$17</f>
        <v>18466.072916675763</v>
      </c>
      <c r="H55" s="128">
        <f>'Starts by Utility Type'!D106*'Summary for 5th Plan'!G$18</f>
        <v>11313.027001573944</v>
      </c>
      <c r="I55" s="128">
        <f t="shared" si="5"/>
        <v>33151.15548968804</v>
      </c>
      <c r="J55" s="203">
        <f t="shared" si="6"/>
        <v>44464.182491261985</v>
      </c>
    </row>
    <row r="56" spans="1:10" ht="16.5" thickBot="1">
      <c r="A56" s="311">
        <v>2025</v>
      </c>
      <c r="B56" s="308">
        <f>'Starts by Utility Type'!C55*'Summary for 5th Plan'!G$3</f>
        <v>87584.5057261556</v>
      </c>
      <c r="C56" s="128">
        <f>'Starts by Utility Type'!C159*'Summary for 5th Plan'!G$4</f>
        <v>30348.64077313658</v>
      </c>
      <c r="D56" s="128">
        <f>'Starts by Utility Type'!C107*'Summary for 5th Plan'!G$5</f>
        <v>16629.481372383434</v>
      </c>
      <c r="E56" s="316">
        <f t="shared" si="4"/>
        <v>134562.62787167562</v>
      </c>
      <c r="F56" s="204">
        <f>'Starts by Utility Type'!D55*'Summary for 5th Plan'!G$16</f>
        <v>14169.198282837127</v>
      </c>
      <c r="G56" s="163">
        <f>'Starts by Utility Type'!D159*'Summary for 5th Plan'!G$17</f>
        <v>18731.67330729126</v>
      </c>
      <c r="H56" s="163">
        <f>'Starts by Utility Type'!D107*'Summary for 5th Plan'!G$18</f>
        <v>11605.481580430771</v>
      </c>
      <c r="I56" s="163">
        <f t="shared" si="5"/>
        <v>32900.87159012839</v>
      </c>
      <c r="J56" s="205">
        <f t="shared" si="6"/>
        <v>44506.35317055916</v>
      </c>
    </row>
    <row r="57" ht="15">
      <c r="B57" s="273"/>
    </row>
  </sheetData>
  <mergeCells count="2">
    <mergeCell ref="A9:J9"/>
    <mergeCell ref="K1:O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T49"/>
  <sheetViews>
    <sheetView workbookViewId="0" topLeftCell="A1">
      <selection activeCell="E21" sqref="E21"/>
    </sheetView>
  </sheetViews>
  <sheetFormatPr defaultColWidth="9.140625" defaultRowHeight="12.75"/>
  <cols>
    <col min="2" max="2" width="14.57421875" style="11" customWidth="1"/>
    <col min="3" max="11" width="9.140625" style="6" customWidth="1"/>
    <col min="13" max="13" width="12.8515625" style="0" bestFit="1" customWidth="1"/>
    <col min="15" max="15" width="13.8515625" style="0" customWidth="1"/>
  </cols>
  <sheetData>
    <row r="1" ht="13.5" thickBot="1"/>
    <row r="2" spans="1:20" ht="63.75">
      <c r="A2" s="73">
        <v>2000</v>
      </c>
      <c r="B2" s="236" t="s">
        <v>5</v>
      </c>
      <c r="C2" s="242" t="s">
        <v>442</v>
      </c>
      <c r="D2" s="242" t="s">
        <v>443</v>
      </c>
      <c r="E2" s="242" t="s">
        <v>444</v>
      </c>
      <c r="F2" s="242" t="s">
        <v>445</v>
      </c>
      <c r="G2" s="242" t="s">
        <v>446</v>
      </c>
      <c r="H2" s="242" t="s">
        <v>447</v>
      </c>
      <c r="I2" s="242" t="s">
        <v>448</v>
      </c>
      <c r="J2" s="242" t="s">
        <v>449</v>
      </c>
      <c r="K2" s="247" t="s">
        <v>450</v>
      </c>
      <c r="M2" s="216" t="str">
        <f aca="true" t="shared" si="0" ref="M2:T2">C2&amp;" Heated Units"</f>
        <v>Utility gas Heated Units</v>
      </c>
      <c r="N2" s="216" t="str">
        <f t="shared" si="0"/>
        <v>Bottled, tank, or LP gas Heated Units</v>
      </c>
      <c r="O2" s="216" t="str">
        <f t="shared" si="0"/>
        <v>Electricity Heated Units</v>
      </c>
      <c r="P2" s="216" t="str">
        <f t="shared" si="0"/>
        <v>Fuel oil, kerosene, etc. Heated Units</v>
      </c>
      <c r="Q2" s="216" t="str">
        <f t="shared" si="0"/>
        <v>Coal or coke Heated Units</v>
      </c>
      <c r="R2" s="216" t="str">
        <f t="shared" si="0"/>
        <v>Wood Heated Units</v>
      </c>
      <c r="S2" s="216" t="str">
        <f t="shared" si="0"/>
        <v>Solar energy Heated Units</v>
      </c>
      <c r="T2" s="216" t="str">
        <f t="shared" si="0"/>
        <v>Other fuel Heated Units</v>
      </c>
    </row>
    <row r="3" spans="1:20" ht="12.75">
      <c r="A3" s="58" t="s">
        <v>0</v>
      </c>
      <c r="B3" s="49">
        <v>468236</v>
      </c>
      <c r="C3" s="67">
        <v>0.38704568189396465</v>
      </c>
      <c r="D3" s="67">
        <v>0.06226696777713783</v>
      </c>
      <c r="E3" s="67">
        <v>0.28896374549092124</v>
      </c>
      <c r="F3" s="67">
        <v>0.051034056806814394</v>
      </c>
      <c r="G3" s="67">
        <v>0.0031165691594167754</v>
      </c>
      <c r="H3" s="67">
        <v>0.0861234047712874</v>
      </c>
      <c r="I3" s="67">
        <v>0.0001004122586316651</v>
      </c>
      <c r="J3" s="67">
        <v>0.0071311649337658005</v>
      </c>
      <c r="K3" s="248">
        <v>0.0013243050713874322</v>
      </c>
      <c r="M3" s="49">
        <f aca="true" t="shared" si="1" ref="M3:N6">$B3*C3</f>
        <v>181228.72190730245</v>
      </c>
      <c r="N3" s="49">
        <f t="shared" si="1"/>
        <v>29155.63592409591</v>
      </c>
      <c r="O3" s="49">
        <f>$B3*E3</f>
        <v>135303.228333687</v>
      </c>
      <c r="P3" s="49">
        <f aca="true" t="shared" si="2" ref="P3:T6">$B3*F3</f>
        <v>23895.982622995543</v>
      </c>
      <c r="Q3" s="49">
        <f t="shared" si="2"/>
        <v>1459.2898769286733</v>
      </c>
      <c r="R3" s="49">
        <f t="shared" si="2"/>
        <v>40326.07855648852</v>
      </c>
      <c r="S3" s="49">
        <f t="shared" si="2"/>
        <v>47.01663433265634</v>
      </c>
      <c r="T3" s="49">
        <f t="shared" si="2"/>
        <v>3339.0681439267632</v>
      </c>
    </row>
    <row r="4" spans="1:20" ht="12.75">
      <c r="A4" s="58" t="s">
        <v>1</v>
      </c>
      <c r="B4" s="49">
        <v>360066</v>
      </c>
      <c r="C4" s="67">
        <v>0.4845238152939409</v>
      </c>
      <c r="D4" s="67">
        <v>0.11709650683172013</v>
      </c>
      <c r="E4" s="67">
        <v>0.14384175807131744</v>
      </c>
      <c r="F4" s="67">
        <v>0.04690597478637243</v>
      </c>
      <c r="G4" s="67">
        <v>0.0010493560879617288</v>
      </c>
      <c r="H4" s="67">
        <v>0.06727026856730177</v>
      </c>
      <c r="I4" s="67">
        <v>0.00018902950314322135</v>
      </c>
      <c r="J4" s="67">
        <v>0.009432087515813046</v>
      </c>
      <c r="K4" s="248">
        <v>0.0022950120445721874</v>
      </c>
      <c r="M4" s="49">
        <f t="shared" si="1"/>
        <v>174460.55207762812</v>
      </c>
      <c r="N4" s="49">
        <f t="shared" si="1"/>
        <v>42162.47082887014</v>
      </c>
      <c r="O4" s="49">
        <f>$B4*E4</f>
        <v>51792.526461706984</v>
      </c>
      <c r="P4" s="49">
        <f t="shared" si="2"/>
        <v>16889.246717429975</v>
      </c>
      <c r="Q4" s="49">
        <f t="shared" si="2"/>
        <v>377.83744916802783</v>
      </c>
      <c r="R4" s="49">
        <f t="shared" si="2"/>
        <v>24221.736521954077</v>
      </c>
      <c r="S4" s="49">
        <f t="shared" si="2"/>
        <v>68.06309707876714</v>
      </c>
      <c r="T4" s="49">
        <f t="shared" si="2"/>
        <v>3396.17402346874</v>
      </c>
    </row>
    <row r="5" spans="1:20" ht="12.75">
      <c r="A5" s="58" t="s">
        <v>2</v>
      </c>
      <c r="B5" s="49">
        <v>1374153</v>
      </c>
      <c r="C5" s="67">
        <v>0.37270781691309135</v>
      </c>
      <c r="D5" s="67">
        <v>0.018216311732081235</v>
      </c>
      <c r="E5" s="67">
        <v>0.4299326293152999</v>
      </c>
      <c r="F5" s="67">
        <v>0.05888860053871767</v>
      </c>
      <c r="G5" s="67">
        <v>1.789759683460349E-05</v>
      </c>
      <c r="H5" s="67">
        <v>0.05739828141768241</v>
      </c>
      <c r="I5" s="67">
        <v>0.00015763652596631535</v>
      </c>
      <c r="J5" s="67">
        <v>0.006633813103656685</v>
      </c>
      <c r="K5" s="248">
        <v>0.001971489128242477</v>
      </c>
      <c r="M5" s="49">
        <f t="shared" si="1"/>
        <v>512157.5647345752</v>
      </c>
      <c r="N5" s="49">
        <f t="shared" si="1"/>
        <v>25031.999415574624</v>
      </c>
      <c r="O5" s="49">
        <f>$B5*E5</f>
        <v>590793.2123715073</v>
      </c>
      <c r="P5" s="49">
        <f t="shared" si="2"/>
        <v>80921.9470960805</v>
      </c>
      <c r="Q5" s="49">
        <f t="shared" si="2"/>
        <v>24.59403638306089</v>
      </c>
      <c r="R5" s="49">
        <f t="shared" si="2"/>
        <v>78874.02060495254</v>
      </c>
      <c r="S5" s="49">
        <f t="shared" si="2"/>
        <v>216.61670506619012</v>
      </c>
      <c r="T5" s="49">
        <f t="shared" si="2"/>
        <v>9115.874177829146</v>
      </c>
    </row>
    <row r="6" spans="1:20" ht="12.75">
      <c r="A6" s="58" t="s">
        <v>3</v>
      </c>
      <c r="B6" s="49">
        <v>2275300</v>
      </c>
      <c r="C6" s="67">
        <v>0.28347468621943994</v>
      </c>
      <c r="D6" s="67">
        <v>0.03657903712491983</v>
      </c>
      <c r="E6" s="67">
        <v>0.5097830503827707</v>
      </c>
      <c r="F6" s="67">
        <v>0.04829185223142816</v>
      </c>
      <c r="G6" s="67">
        <v>8.975649877849564E-06</v>
      </c>
      <c r="H6" s="67">
        <v>0.04100117662610217</v>
      </c>
      <c r="I6" s="67">
        <v>0.0002239832628608823</v>
      </c>
      <c r="J6" s="67">
        <v>0.006756216453508581</v>
      </c>
      <c r="K6" s="248">
        <v>0.002167211461415313</v>
      </c>
      <c r="M6" s="49">
        <f t="shared" si="1"/>
        <v>644989.9535550917</v>
      </c>
      <c r="N6" s="49">
        <f t="shared" si="1"/>
        <v>83228.28317033009</v>
      </c>
      <c r="O6" s="49">
        <f>$B6*E6</f>
        <v>1159909.3745359182</v>
      </c>
      <c r="P6" s="49">
        <f t="shared" si="2"/>
        <v>109878.45138216848</v>
      </c>
      <c r="Q6" s="49">
        <f t="shared" si="2"/>
        <v>20.422296167071114</v>
      </c>
      <c r="R6" s="49">
        <f t="shared" si="2"/>
        <v>93289.97717737027</v>
      </c>
      <c r="S6" s="49">
        <f t="shared" si="2"/>
        <v>509.62911798736553</v>
      </c>
      <c r="T6" s="49">
        <f t="shared" si="2"/>
        <v>15372.419296668075</v>
      </c>
    </row>
    <row r="7" spans="1:20" ht="13.5" thickBot="1">
      <c r="A7" s="237" t="s">
        <v>284</v>
      </c>
      <c r="B7" s="238">
        <f>SUM(B3:B6)</f>
        <v>4477755</v>
      </c>
      <c r="C7" s="243">
        <f>M7/$B7</f>
        <v>0.3378560891059465</v>
      </c>
      <c r="D7" s="243">
        <f>N7/$B7</f>
        <v>0.04010455894502284</v>
      </c>
      <c r="E7" s="243">
        <f>O7/$B7</f>
        <v>0.4327611362619928</v>
      </c>
      <c r="F7" s="243">
        <f aca="true" t="shared" si="3" ref="F7:K7">P7/$B7</f>
        <v>0.051719137786385025</v>
      </c>
      <c r="G7" s="243">
        <f t="shared" si="3"/>
        <v>0.00042033198749079245</v>
      </c>
      <c r="H7" s="243">
        <f t="shared" si="3"/>
        <v>0.05286394920239393</v>
      </c>
      <c r="I7" s="243">
        <f t="shared" si="3"/>
        <v>0.00018789003741048342</v>
      </c>
      <c r="J7" s="243">
        <f t="shared" si="3"/>
        <v>0.0069730335049355595</v>
      </c>
      <c r="K7" s="249">
        <f t="shared" si="3"/>
        <v>0</v>
      </c>
      <c r="M7" s="26">
        <f aca="true" t="shared" si="4" ref="M7:T7">SUM(M3:M6)</f>
        <v>1512836.7922745976</v>
      </c>
      <c r="N7" s="26">
        <f t="shared" si="4"/>
        <v>179578.38933887077</v>
      </c>
      <c r="O7" s="26">
        <f t="shared" si="4"/>
        <v>1937798.3417028196</v>
      </c>
      <c r="P7" s="26">
        <f t="shared" si="4"/>
        <v>231585.6278186745</v>
      </c>
      <c r="Q7" s="26">
        <f t="shared" si="4"/>
        <v>1882.1436586468333</v>
      </c>
      <c r="R7" s="26">
        <f t="shared" si="4"/>
        <v>236711.81286076544</v>
      </c>
      <c r="S7" s="26">
        <f t="shared" si="4"/>
        <v>841.3255544649792</v>
      </c>
      <c r="T7" s="26">
        <f t="shared" si="4"/>
        <v>31223.535641892726</v>
      </c>
    </row>
    <row r="8" spans="1:11" ht="13.5" thickBot="1">
      <c r="A8" s="239"/>
      <c r="B8" s="240"/>
      <c r="C8" s="244"/>
      <c r="D8" s="244"/>
      <c r="E8" s="244"/>
      <c r="F8" s="244"/>
      <c r="G8" s="244"/>
      <c r="H8" s="244"/>
      <c r="I8" s="244"/>
      <c r="J8" s="244"/>
      <c r="K8" s="244"/>
    </row>
    <row r="9" spans="1:20" ht="63.75">
      <c r="A9" s="73">
        <v>1990</v>
      </c>
      <c r="B9" s="236" t="s">
        <v>5</v>
      </c>
      <c r="C9" s="242" t="s">
        <v>442</v>
      </c>
      <c r="D9" s="242" t="s">
        <v>443</v>
      </c>
      <c r="E9" s="242" t="s">
        <v>444</v>
      </c>
      <c r="F9" s="242" t="s">
        <v>445</v>
      </c>
      <c r="G9" s="242" t="s">
        <v>446</v>
      </c>
      <c r="H9" s="242" t="s">
        <v>447</v>
      </c>
      <c r="I9" s="242" t="s">
        <v>448</v>
      </c>
      <c r="J9" s="242" t="s">
        <v>449</v>
      </c>
      <c r="K9" s="247" t="s">
        <v>450</v>
      </c>
      <c r="M9" s="216" t="str">
        <f aca="true" t="shared" si="5" ref="M9:T9">C9&amp;" Heated Units"</f>
        <v>Utility gas Heated Units</v>
      </c>
      <c r="N9" s="216" t="str">
        <f t="shared" si="5"/>
        <v>Bottled, tank, or LP gas Heated Units</v>
      </c>
      <c r="O9" s="216" t="str">
        <f t="shared" si="5"/>
        <v>Electricity Heated Units</v>
      </c>
      <c r="P9" s="216" t="str">
        <f t="shared" si="5"/>
        <v>Fuel oil, kerosene, etc. Heated Units</v>
      </c>
      <c r="Q9" s="216" t="str">
        <f t="shared" si="5"/>
        <v>Coal or coke Heated Units</v>
      </c>
      <c r="R9" s="216" t="str">
        <f t="shared" si="5"/>
        <v>Wood Heated Units</v>
      </c>
      <c r="S9" s="216" t="str">
        <f t="shared" si="5"/>
        <v>Solar energy Heated Units</v>
      </c>
      <c r="T9" s="216" t="str">
        <f t="shared" si="5"/>
        <v>Other fuel Heated Units</v>
      </c>
    </row>
    <row r="10" spans="1:20" ht="12.75">
      <c r="A10" s="58" t="s">
        <v>0</v>
      </c>
      <c r="B10" s="49">
        <v>360723</v>
      </c>
      <c r="C10" s="67">
        <v>0.282</v>
      </c>
      <c r="D10" s="67">
        <v>0.031</v>
      </c>
      <c r="E10" s="67">
        <v>0.398</v>
      </c>
      <c r="F10" s="67">
        <v>0.09</v>
      </c>
      <c r="G10" s="67">
        <v>0.013</v>
      </c>
      <c r="H10" s="67">
        <v>0.18</v>
      </c>
      <c r="I10" s="67">
        <v>0</v>
      </c>
      <c r="J10" s="67">
        <v>0.006</v>
      </c>
      <c r="K10" s="248">
        <v>0.001</v>
      </c>
      <c r="M10" s="49">
        <f aca="true" t="shared" si="6" ref="M10:T13">$B10*C10</f>
        <v>101723.88599999998</v>
      </c>
      <c r="N10" s="49">
        <f t="shared" si="6"/>
        <v>11182.413</v>
      </c>
      <c r="O10" s="49">
        <f t="shared" si="6"/>
        <v>143567.75400000002</v>
      </c>
      <c r="P10" s="49">
        <f t="shared" si="6"/>
        <v>32465.07</v>
      </c>
      <c r="Q10" s="49">
        <f t="shared" si="6"/>
        <v>4689.398999999999</v>
      </c>
      <c r="R10" s="49">
        <f t="shared" si="6"/>
        <v>64930.14</v>
      </c>
      <c r="S10" s="49">
        <f t="shared" si="6"/>
        <v>0</v>
      </c>
      <c r="T10" s="49">
        <f t="shared" si="6"/>
        <v>2164.338</v>
      </c>
    </row>
    <row r="11" spans="1:20" ht="12.75">
      <c r="A11" s="58" t="s">
        <v>1</v>
      </c>
      <c r="B11" s="49">
        <v>306163</v>
      </c>
      <c r="C11" s="67">
        <v>0.542</v>
      </c>
      <c r="D11" s="67">
        <v>0.075</v>
      </c>
      <c r="E11" s="67">
        <v>0.179</v>
      </c>
      <c r="F11" s="67">
        <v>0.041</v>
      </c>
      <c r="G11" s="67">
        <v>0.008</v>
      </c>
      <c r="H11" s="67">
        <v>0.147</v>
      </c>
      <c r="I11" s="67">
        <v>0</v>
      </c>
      <c r="J11" s="67">
        <v>0.006</v>
      </c>
      <c r="K11" s="248">
        <v>0.001</v>
      </c>
      <c r="M11" s="49">
        <f t="shared" si="6"/>
        <v>165940.34600000002</v>
      </c>
      <c r="N11" s="49">
        <f t="shared" si="6"/>
        <v>22962.225</v>
      </c>
      <c r="O11" s="49">
        <f t="shared" si="6"/>
        <v>54803.176999999996</v>
      </c>
      <c r="P11" s="49">
        <f t="shared" si="6"/>
        <v>12552.683</v>
      </c>
      <c r="Q11" s="49">
        <f t="shared" si="6"/>
        <v>2449.304</v>
      </c>
      <c r="R11" s="49">
        <f t="shared" si="6"/>
        <v>45005.960999999996</v>
      </c>
      <c r="S11" s="49">
        <f t="shared" si="6"/>
        <v>0</v>
      </c>
      <c r="T11" s="49">
        <f t="shared" si="6"/>
        <v>1836.978</v>
      </c>
    </row>
    <row r="12" spans="1:20" ht="12.75">
      <c r="A12" s="58" t="s">
        <v>2</v>
      </c>
      <c r="B12" s="49">
        <v>1103313</v>
      </c>
      <c r="C12" s="67">
        <v>0.247</v>
      </c>
      <c r="D12" s="67">
        <v>0.015</v>
      </c>
      <c r="E12" s="67">
        <v>0.446</v>
      </c>
      <c r="F12" s="67">
        <v>0.114</v>
      </c>
      <c r="G12" s="67">
        <v>0</v>
      </c>
      <c r="H12" s="67">
        <v>0.169</v>
      </c>
      <c r="I12" s="67">
        <v>0</v>
      </c>
      <c r="J12" s="67">
        <v>0.006</v>
      </c>
      <c r="K12" s="248">
        <v>0.002</v>
      </c>
      <c r="M12" s="49">
        <f t="shared" si="6"/>
        <v>272518.311</v>
      </c>
      <c r="N12" s="49">
        <f t="shared" si="6"/>
        <v>16549.695</v>
      </c>
      <c r="O12" s="49">
        <f t="shared" si="6"/>
        <v>492077.598</v>
      </c>
      <c r="P12" s="49">
        <f t="shared" si="6"/>
        <v>125777.682</v>
      </c>
      <c r="Q12" s="49">
        <f t="shared" si="6"/>
        <v>0</v>
      </c>
      <c r="R12" s="49">
        <f t="shared" si="6"/>
        <v>186459.89700000003</v>
      </c>
      <c r="S12" s="49">
        <f t="shared" si="6"/>
        <v>0</v>
      </c>
      <c r="T12" s="49">
        <f t="shared" si="6"/>
        <v>6619.878</v>
      </c>
    </row>
    <row r="13" spans="1:20" ht="12.75">
      <c r="A13" s="58" t="s">
        <v>3</v>
      </c>
      <c r="B13" s="49">
        <v>1872431</v>
      </c>
      <c r="C13" s="67">
        <v>0.224</v>
      </c>
      <c r="D13" s="67">
        <v>0.011</v>
      </c>
      <c r="E13" s="67">
        <v>0.551</v>
      </c>
      <c r="F13" s="67">
        <v>0.099</v>
      </c>
      <c r="G13" s="67">
        <v>0.001</v>
      </c>
      <c r="H13" s="67">
        <v>0.106</v>
      </c>
      <c r="I13" s="67">
        <v>0</v>
      </c>
      <c r="J13" s="67">
        <v>0.006</v>
      </c>
      <c r="K13" s="248">
        <v>0.002</v>
      </c>
      <c r="M13" s="49">
        <f t="shared" si="6"/>
        <v>419424.544</v>
      </c>
      <c r="N13" s="49">
        <f t="shared" si="6"/>
        <v>20596.740999999998</v>
      </c>
      <c r="O13" s="49">
        <f t="shared" si="6"/>
        <v>1031709.481</v>
      </c>
      <c r="P13" s="49">
        <f t="shared" si="6"/>
        <v>185370.669</v>
      </c>
      <c r="Q13" s="49">
        <f t="shared" si="6"/>
        <v>1872.431</v>
      </c>
      <c r="R13" s="49">
        <f t="shared" si="6"/>
        <v>198477.686</v>
      </c>
      <c r="S13" s="49">
        <f t="shared" si="6"/>
        <v>0</v>
      </c>
      <c r="T13" s="49">
        <f t="shared" si="6"/>
        <v>11234.586</v>
      </c>
    </row>
    <row r="14" spans="1:20" ht="13.5" thickBot="1">
      <c r="A14" s="237" t="s">
        <v>284</v>
      </c>
      <c r="B14" s="238">
        <f>SUM(B10:B13)</f>
        <v>3642630</v>
      </c>
      <c r="C14" s="243">
        <f aca="true" t="shared" si="7" ref="C14:K14">M14/$B14</f>
        <v>0.2634379794269525</v>
      </c>
      <c r="D14" s="243">
        <f t="shared" si="7"/>
        <v>0.01957131907440503</v>
      </c>
      <c r="E14" s="243">
        <f t="shared" si="7"/>
        <v>0.4727787367918235</v>
      </c>
      <c r="F14" s="243">
        <f t="shared" si="7"/>
        <v>0.09777718406755559</v>
      </c>
      <c r="G14" s="243">
        <f t="shared" si="7"/>
        <v>0.0024737988760867836</v>
      </c>
      <c r="H14" s="243">
        <f t="shared" si="7"/>
        <v>0.13585614899125084</v>
      </c>
      <c r="I14" s="243">
        <f t="shared" si="7"/>
        <v>0</v>
      </c>
      <c r="J14" s="243">
        <f t="shared" si="7"/>
        <v>0.005999999999999999</v>
      </c>
      <c r="K14" s="249">
        <f t="shared" si="7"/>
        <v>0</v>
      </c>
      <c r="M14" s="26">
        <f aca="true" t="shared" si="8" ref="M14:T14">SUM(M10:M13)</f>
        <v>959607.087</v>
      </c>
      <c r="N14" s="26">
        <f t="shared" si="8"/>
        <v>71291.074</v>
      </c>
      <c r="O14" s="26">
        <f t="shared" si="8"/>
        <v>1722158.01</v>
      </c>
      <c r="P14" s="26">
        <f t="shared" si="8"/>
        <v>356166.104</v>
      </c>
      <c r="Q14" s="26">
        <f t="shared" si="8"/>
        <v>9011.134</v>
      </c>
      <c r="R14" s="26">
        <f t="shared" si="8"/>
        <v>494873.684</v>
      </c>
      <c r="S14" s="26">
        <f t="shared" si="8"/>
        <v>0</v>
      </c>
      <c r="T14" s="26">
        <f t="shared" si="8"/>
        <v>21855.78</v>
      </c>
    </row>
    <row r="15" spans="1:11" ht="13.5" thickBot="1">
      <c r="A15" s="241"/>
      <c r="B15" s="82"/>
      <c r="C15" s="245"/>
      <c r="D15" s="245"/>
      <c r="E15" s="245"/>
      <c r="F15" s="245"/>
      <c r="G15" s="245"/>
      <c r="H15" s="245"/>
      <c r="I15" s="245"/>
      <c r="J15" s="245"/>
      <c r="K15" s="245"/>
    </row>
    <row r="16" spans="1:20" ht="63.75">
      <c r="A16" s="73">
        <v>1980</v>
      </c>
      <c r="B16" s="236" t="s">
        <v>5</v>
      </c>
      <c r="C16" s="242" t="s">
        <v>442</v>
      </c>
      <c r="D16" s="242" t="s">
        <v>443</v>
      </c>
      <c r="E16" s="242" t="s">
        <v>444</v>
      </c>
      <c r="F16" s="242" t="s">
        <v>445</v>
      </c>
      <c r="G16" s="242" t="s">
        <v>446</v>
      </c>
      <c r="H16" s="242" t="s">
        <v>447</v>
      </c>
      <c r="I16" s="242" t="s">
        <v>448</v>
      </c>
      <c r="J16" s="242" t="s">
        <v>449</v>
      </c>
      <c r="K16" s="247" t="s">
        <v>450</v>
      </c>
      <c r="M16" s="216" t="str">
        <f aca="true" t="shared" si="9" ref="M16:T16">C16&amp;" Heated Units"</f>
        <v>Utility gas Heated Units</v>
      </c>
      <c r="N16" s="216" t="str">
        <f t="shared" si="9"/>
        <v>Bottled, tank, or LP gas Heated Units</v>
      </c>
      <c r="O16" s="216" t="str">
        <f t="shared" si="9"/>
        <v>Electricity Heated Units</v>
      </c>
      <c r="P16" s="216" t="str">
        <f t="shared" si="9"/>
        <v>Fuel oil, kerosene, etc. Heated Units</v>
      </c>
      <c r="Q16" s="216" t="str">
        <f t="shared" si="9"/>
        <v>Coal or coke Heated Units</v>
      </c>
      <c r="R16" s="216" t="str">
        <f t="shared" si="9"/>
        <v>Wood Heated Units</v>
      </c>
      <c r="S16" s="216" t="str">
        <f t="shared" si="9"/>
        <v>Solar energy Heated Units</v>
      </c>
      <c r="T16" s="216" t="str">
        <f t="shared" si="9"/>
        <v>Other fuel Heated Units</v>
      </c>
    </row>
    <row r="17" spans="1:20" ht="12.75">
      <c r="A17" s="58" t="s">
        <v>0</v>
      </c>
      <c r="B17" s="49">
        <v>324107</v>
      </c>
      <c r="C17" s="67">
        <v>0.267</v>
      </c>
      <c r="D17" s="67">
        <v>0.037</v>
      </c>
      <c r="E17" s="67">
        <v>0.391</v>
      </c>
      <c r="F17" s="67">
        <v>0.163</v>
      </c>
      <c r="G17" s="67">
        <v>0.029</v>
      </c>
      <c r="H17" s="67">
        <v>0.11</v>
      </c>
      <c r="I17" s="67">
        <v>0</v>
      </c>
      <c r="J17" s="67">
        <v>0.003</v>
      </c>
      <c r="K17" s="248">
        <v>0.001</v>
      </c>
      <c r="M17" s="49">
        <f aca="true" t="shared" si="10" ref="M17:T20">$B17*C17</f>
        <v>86536.569</v>
      </c>
      <c r="N17" s="49">
        <f t="shared" si="10"/>
        <v>11991.958999999999</v>
      </c>
      <c r="O17" s="49">
        <f t="shared" si="10"/>
        <v>126725.837</v>
      </c>
      <c r="P17" s="49">
        <f t="shared" si="10"/>
        <v>52829.441</v>
      </c>
      <c r="Q17" s="49">
        <f t="shared" si="10"/>
        <v>9399.103000000001</v>
      </c>
      <c r="R17" s="49">
        <f t="shared" si="10"/>
        <v>35651.77</v>
      </c>
      <c r="S17" s="49">
        <f t="shared" si="10"/>
        <v>0</v>
      </c>
      <c r="T17" s="49">
        <f t="shared" si="10"/>
        <v>972.321</v>
      </c>
    </row>
    <row r="18" spans="1:20" ht="12.75">
      <c r="A18" s="58" t="s">
        <v>1</v>
      </c>
      <c r="B18" s="49">
        <v>283742</v>
      </c>
      <c r="C18" s="67">
        <v>0.609</v>
      </c>
      <c r="D18" s="67">
        <v>0.074</v>
      </c>
      <c r="E18" s="67">
        <v>0.146</v>
      </c>
      <c r="F18" s="67">
        <v>0.067</v>
      </c>
      <c r="G18" s="67">
        <v>0.01</v>
      </c>
      <c r="H18" s="67">
        <v>0.091</v>
      </c>
      <c r="I18" s="67">
        <v>0</v>
      </c>
      <c r="J18" s="67">
        <v>0.002</v>
      </c>
      <c r="K18" s="248">
        <v>0</v>
      </c>
      <c r="M18" s="49">
        <f t="shared" si="10"/>
        <v>172798.878</v>
      </c>
      <c r="N18" s="49">
        <f t="shared" si="10"/>
        <v>20996.908</v>
      </c>
      <c r="O18" s="49">
        <f t="shared" si="10"/>
        <v>41426.331999999995</v>
      </c>
      <c r="P18" s="49">
        <f t="shared" si="10"/>
        <v>19010.714</v>
      </c>
      <c r="Q18" s="49">
        <f t="shared" si="10"/>
        <v>2837.42</v>
      </c>
      <c r="R18" s="49">
        <f t="shared" si="10"/>
        <v>25820.522</v>
      </c>
      <c r="S18" s="49">
        <f t="shared" si="10"/>
        <v>0</v>
      </c>
      <c r="T18" s="49">
        <f t="shared" si="10"/>
        <v>567.484</v>
      </c>
    </row>
    <row r="19" spans="1:20" ht="12.75">
      <c r="A19" s="58" t="s">
        <v>2</v>
      </c>
      <c r="B19" s="49">
        <v>991593</v>
      </c>
      <c r="C19" s="67">
        <v>0.225</v>
      </c>
      <c r="D19" s="67">
        <v>0.019</v>
      </c>
      <c r="E19" s="67">
        <v>0.438</v>
      </c>
      <c r="F19" s="67">
        <v>0.188</v>
      </c>
      <c r="G19" s="67">
        <v>0.001</v>
      </c>
      <c r="H19" s="67">
        <v>0.125</v>
      </c>
      <c r="I19" s="67">
        <v>0</v>
      </c>
      <c r="J19" s="67">
        <v>0.003</v>
      </c>
      <c r="K19" s="248">
        <v>0.001</v>
      </c>
      <c r="M19" s="49">
        <f t="shared" si="10"/>
        <v>223108.42500000002</v>
      </c>
      <c r="N19" s="49">
        <f t="shared" si="10"/>
        <v>18840.267</v>
      </c>
      <c r="O19" s="49">
        <f t="shared" si="10"/>
        <v>434317.734</v>
      </c>
      <c r="P19" s="49">
        <f t="shared" si="10"/>
        <v>186419.484</v>
      </c>
      <c r="Q19" s="49">
        <f t="shared" si="10"/>
        <v>991.5930000000001</v>
      </c>
      <c r="R19" s="49">
        <f t="shared" si="10"/>
        <v>123949.125</v>
      </c>
      <c r="S19" s="49">
        <f t="shared" si="10"/>
        <v>0</v>
      </c>
      <c r="T19" s="49">
        <f t="shared" si="10"/>
        <v>2974.779</v>
      </c>
    </row>
    <row r="20" spans="1:20" ht="12.75">
      <c r="A20" s="58" t="s">
        <v>3</v>
      </c>
      <c r="B20" s="49">
        <v>1540510</v>
      </c>
      <c r="C20" s="67">
        <v>0.221</v>
      </c>
      <c r="D20" s="67">
        <v>0.011</v>
      </c>
      <c r="E20" s="67">
        <v>0.525</v>
      </c>
      <c r="F20" s="67">
        <v>0.186</v>
      </c>
      <c r="G20" s="67">
        <v>0.002</v>
      </c>
      <c r="H20" s="67">
        <v>0.05</v>
      </c>
      <c r="I20" s="67">
        <v>0</v>
      </c>
      <c r="J20" s="67">
        <v>0.003</v>
      </c>
      <c r="K20" s="248">
        <v>0.001</v>
      </c>
      <c r="M20" s="49">
        <f t="shared" si="10"/>
        <v>340452.71</v>
      </c>
      <c r="N20" s="49">
        <f t="shared" si="10"/>
        <v>16945.61</v>
      </c>
      <c r="O20" s="49">
        <f t="shared" si="10"/>
        <v>808767.75</v>
      </c>
      <c r="P20" s="49">
        <f t="shared" si="10"/>
        <v>286534.86</v>
      </c>
      <c r="Q20" s="49">
        <f t="shared" si="10"/>
        <v>3081.02</v>
      </c>
      <c r="R20" s="49">
        <f t="shared" si="10"/>
        <v>77025.5</v>
      </c>
      <c r="S20" s="49">
        <f t="shared" si="10"/>
        <v>0</v>
      </c>
      <c r="T20" s="49">
        <f t="shared" si="10"/>
        <v>4621.53</v>
      </c>
    </row>
    <row r="21" spans="1:20" ht="13.5" thickBot="1">
      <c r="A21" s="237" t="s">
        <v>284</v>
      </c>
      <c r="B21" s="238">
        <f>SUM(B17:B20)</f>
        <v>3139952</v>
      </c>
      <c r="C21" s="243">
        <f aca="true" t="shared" si="11" ref="C21:K21">M21/$B21</f>
        <v>0.26207298137041585</v>
      </c>
      <c r="D21" s="243">
        <f t="shared" si="11"/>
        <v>0.021903119538133068</v>
      </c>
      <c r="E21" s="243">
        <f t="shared" si="11"/>
        <v>0.4494456134998242</v>
      </c>
      <c r="F21" s="243">
        <f t="shared" si="11"/>
        <v>0.1735040850942944</v>
      </c>
      <c r="G21" s="243">
        <f t="shared" si="11"/>
        <v>0.005194071756510928</v>
      </c>
      <c r="H21" s="243">
        <f t="shared" si="11"/>
        <v>0.08358309840405204</v>
      </c>
      <c r="I21" s="243">
        <f t="shared" si="11"/>
        <v>0</v>
      </c>
      <c r="J21" s="243">
        <f t="shared" si="11"/>
        <v>0.0029096349243555313</v>
      </c>
      <c r="K21" s="249">
        <f t="shared" si="11"/>
        <v>0</v>
      </c>
      <c r="M21" s="26">
        <f aca="true" t="shared" si="12" ref="M21:T21">SUM(M17:M20)</f>
        <v>822896.5819999999</v>
      </c>
      <c r="N21" s="26">
        <f t="shared" si="12"/>
        <v>68774.744</v>
      </c>
      <c r="O21" s="26">
        <f t="shared" si="12"/>
        <v>1411237.653</v>
      </c>
      <c r="P21" s="26">
        <f t="shared" si="12"/>
        <v>544794.499</v>
      </c>
      <c r="Q21" s="26">
        <f t="shared" si="12"/>
        <v>16309.136000000002</v>
      </c>
      <c r="R21" s="26">
        <f t="shared" si="12"/>
        <v>262446.917</v>
      </c>
      <c r="S21" s="26">
        <f t="shared" si="12"/>
        <v>0</v>
      </c>
      <c r="T21" s="26">
        <f t="shared" si="12"/>
        <v>9136.114</v>
      </c>
    </row>
    <row r="22" spans="1:11" ht="12.75">
      <c r="A22" s="19"/>
      <c r="B22" s="49"/>
      <c r="C22" s="67"/>
      <c r="D22" s="67"/>
      <c r="E22" s="67"/>
      <c r="F22" s="67"/>
      <c r="G22" s="67"/>
      <c r="H22" s="67"/>
      <c r="I22" s="67"/>
      <c r="J22" s="67"/>
      <c r="K22" s="67"/>
    </row>
    <row r="23" spans="1:20" ht="63.75">
      <c r="A23" s="234">
        <v>1970</v>
      </c>
      <c r="B23" s="235" t="s">
        <v>5</v>
      </c>
      <c r="C23" s="246" t="s">
        <v>442</v>
      </c>
      <c r="D23" s="246" t="s">
        <v>443</v>
      </c>
      <c r="E23" s="246" t="s">
        <v>444</v>
      </c>
      <c r="F23" s="246" t="s">
        <v>445</v>
      </c>
      <c r="G23" s="246" t="s">
        <v>446</v>
      </c>
      <c r="H23" s="246" t="s">
        <v>447</v>
      </c>
      <c r="I23" s="246" t="s">
        <v>448</v>
      </c>
      <c r="J23" s="246" t="s">
        <v>449</v>
      </c>
      <c r="K23" s="246" t="s">
        <v>450</v>
      </c>
      <c r="M23" s="216" t="str">
        <f aca="true" t="shared" si="13" ref="M23:T23">C23&amp;" Heated Units"</f>
        <v>Utility gas Heated Units</v>
      </c>
      <c r="N23" s="216" t="str">
        <f t="shared" si="13"/>
        <v>Bottled, tank, or LP gas Heated Units</v>
      </c>
      <c r="O23" s="216" t="str">
        <f t="shared" si="13"/>
        <v>Electricity Heated Units</v>
      </c>
      <c r="P23" s="216" t="str">
        <f t="shared" si="13"/>
        <v>Fuel oil, kerosene, etc. Heated Units</v>
      </c>
      <c r="Q23" s="216" t="str">
        <f t="shared" si="13"/>
        <v>Coal or coke Heated Units</v>
      </c>
      <c r="R23" s="216" t="str">
        <f t="shared" si="13"/>
        <v>Wood Heated Units</v>
      </c>
      <c r="S23" s="216" t="str">
        <f t="shared" si="13"/>
        <v>Solar energy Heated Units</v>
      </c>
      <c r="T23" s="216" t="str">
        <f t="shared" si="13"/>
        <v>Other fuel Heated Units</v>
      </c>
    </row>
    <row r="24" spans="1:20" ht="12.75">
      <c r="A24" s="19" t="s">
        <v>0</v>
      </c>
      <c r="B24" s="49">
        <v>218960</v>
      </c>
      <c r="C24" s="67">
        <v>0.322</v>
      </c>
      <c r="D24" s="67">
        <v>0.054</v>
      </c>
      <c r="E24" s="67">
        <v>0.098</v>
      </c>
      <c r="F24" s="67">
        <v>0.402</v>
      </c>
      <c r="G24" s="67">
        <v>0.094</v>
      </c>
      <c r="H24" s="67">
        <v>0.025</v>
      </c>
      <c r="I24" s="67">
        <v>0</v>
      </c>
      <c r="J24" s="67">
        <v>0.006</v>
      </c>
      <c r="K24" s="67">
        <v>0</v>
      </c>
      <c r="M24" s="49">
        <f aca="true" t="shared" si="14" ref="M24:T27">$B24*C24</f>
        <v>70505.12</v>
      </c>
      <c r="N24" s="49">
        <f t="shared" si="14"/>
        <v>11823.84</v>
      </c>
      <c r="O24" s="49">
        <f t="shared" si="14"/>
        <v>21458.08</v>
      </c>
      <c r="P24" s="49">
        <f t="shared" si="14"/>
        <v>88021.92</v>
      </c>
      <c r="Q24" s="49">
        <f t="shared" si="14"/>
        <v>20582.24</v>
      </c>
      <c r="R24" s="49">
        <f t="shared" si="14"/>
        <v>5474</v>
      </c>
      <c r="S24" s="49">
        <f t="shared" si="14"/>
        <v>0</v>
      </c>
      <c r="T24" s="49">
        <f t="shared" si="14"/>
        <v>1313.76</v>
      </c>
    </row>
    <row r="25" spans="1:20" ht="12.75">
      <c r="A25" s="19" t="s">
        <v>1</v>
      </c>
      <c r="B25" s="49">
        <v>217304</v>
      </c>
      <c r="C25" s="67">
        <v>0.695</v>
      </c>
      <c r="D25" s="67">
        <v>0.085</v>
      </c>
      <c r="E25" s="67">
        <v>0.039</v>
      </c>
      <c r="F25" s="67">
        <v>0.137</v>
      </c>
      <c r="G25" s="67">
        <v>0.021</v>
      </c>
      <c r="H25" s="67">
        <v>0.019</v>
      </c>
      <c r="I25" s="67">
        <v>0</v>
      </c>
      <c r="J25" s="67">
        <v>0.003</v>
      </c>
      <c r="K25" s="67">
        <v>0</v>
      </c>
      <c r="M25" s="49">
        <f t="shared" si="14"/>
        <v>151026.28</v>
      </c>
      <c r="N25" s="49">
        <f t="shared" si="14"/>
        <v>18470.84</v>
      </c>
      <c r="O25" s="49">
        <f t="shared" si="14"/>
        <v>8474.856</v>
      </c>
      <c r="P25" s="49">
        <f t="shared" si="14"/>
        <v>29770.648</v>
      </c>
      <c r="Q25" s="49">
        <f t="shared" si="14"/>
        <v>4563.384</v>
      </c>
      <c r="R25" s="49">
        <f t="shared" si="14"/>
        <v>4128.776</v>
      </c>
      <c r="S25" s="49">
        <f t="shared" si="14"/>
        <v>0</v>
      </c>
      <c r="T25" s="49">
        <f t="shared" si="14"/>
        <v>651.912</v>
      </c>
    </row>
    <row r="26" spans="1:20" ht="12.75">
      <c r="A26" s="19" t="s">
        <v>2</v>
      </c>
      <c r="B26" s="49">
        <v>691631</v>
      </c>
      <c r="C26" s="67">
        <v>0.236</v>
      </c>
      <c r="D26" s="67">
        <v>0.027</v>
      </c>
      <c r="E26" s="67">
        <v>0.298</v>
      </c>
      <c r="F26" s="67">
        <v>0.378</v>
      </c>
      <c r="G26" s="67">
        <v>0.004</v>
      </c>
      <c r="H26" s="67">
        <v>0.047</v>
      </c>
      <c r="I26" s="67">
        <v>0</v>
      </c>
      <c r="J26" s="67">
        <v>0.009</v>
      </c>
      <c r="K26" s="67">
        <v>0.001</v>
      </c>
      <c r="M26" s="49">
        <f t="shared" si="14"/>
        <v>163224.916</v>
      </c>
      <c r="N26" s="49">
        <f t="shared" si="14"/>
        <v>18674.037</v>
      </c>
      <c r="O26" s="49">
        <f t="shared" si="14"/>
        <v>206106.038</v>
      </c>
      <c r="P26" s="49">
        <f t="shared" si="14"/>
        <v>261436.518</v>
      </c>
      <c r="Q26" s="49">
        <f t="shared" si="14"/>
        <v>2766.524</v>
      </c>
      <c r="R26" s="49">
        <f t="shared" si="14"/>
        <v>32506.657</v>
      </c>
      <c r="S26" s="49">
        <f t="shared" si="14"/>
        <v>0</v>
      </c>
      <c r="T26" s="49">
        <f t="shared" si="14"/>
        <v>6224.678999999999</v>
      </c>
    </row>
    <row r="27" spans="1:20" ht="12.75">
      <c r="A27" s="19" t="s">
        <v>3</v>
      </c>
      <c r="B27" s="49">
        <v>1105587</v>
      </c>
      <c r="C27" s="67">
        <v>0.234</v>
      </c>
      <c r="D27" s="67">
        <v>0.018</v>
      </c>
      <c r="E27" s="67">
        <v>0.304</v>
      </c>
      <c r="F27" s="67">
        <v>0.408</v>
      </c>
      <c r="G27" s="67">
        <v>0.011</v>
      </c>
      <c r="H27" s="67">
        <v>0.016</v>
      </c>
      <c r="I27" s="67">
        <v>0</v>
      </c>
      <c r="J27" s="67">
        <v>0.008</v>
      </c>
      <c r="K27" s="67">
        <v>0.001</v>
      </c>
      <c r="M27" s="49">
        <f t="shared" si="14"/>
        <v>258707.358</v>
      </c>
      <c r="N27" s="49">
        <f t="shared" si="14"/>
        <v>19900.566</v>
      </c>
      <c r="O27" s="49">
        <f t="shared" si="14"/>
        <v>336098.448</v>
      </c>
      <c r="P27" s="49">
        <f t="shared" si="14"/>
        <v>451079.496</v>
      </c>
      <c r="Q27" s="49">
        <f t="shared" si="14"/>
        <v>12161.456999999999</v>
      </c>
      <c r="R27" s="49">
        <f t="shared" si="14"/>
        <v>17689.392</v>
      </c>
      <c r="S27" s="49">
        <f t="shared" si="14"/>
        <v>0</v>
      </c>
      <c r="T27" s="49">
        <f t="shared" si="14"/>
        <v>8844.696</v>
      </c>
    </row>
    <row r="28" spans="1:20" ht="13.5" thickBot="1">
      <c r="A28" s="237" t="s">
        <v>284</v>
      </c>
      <c r="B28" s="238">
        <f>SUM(B24:B27)</f>
        <v>2233482</v>
      </c>
      <c r="C28" s="243">
        <f aca="true" t="shared" si="15" ref="C28:K28">M28/$B28</f>
        <v>0.28809888505929304</v>
      </c>
      <c r="D28" s="243">
        <f t="shared" si="15"/>
        <v>0.030834939793560008</v>
      </c>
      <c r="E28" s="243">
        <f t="shared" si="15"/>
        <v>0.25616388312061616</v>
      </c>
      <c r="F28" s="243">
        <f t="shared" si="15"/>
        <v>0.3717552153990943</v>
      </c>
      <c r="G28" s="243">
        <f t="shared" si="15"/>
        <v>0.017942210861784425</v>
      </c>
      <c r="H28" s="243">
        <f t="shared" si="15"/>
        <v>0.02677381102690776</v>
      </c>
      <c r="I28" s="243">
        <f t="shared" si="15"/>
        <v>0</v>
      </c>
      <c r="J28" s="243">
        <f t="shared" si="15"/>
        <v>0.007627125268974632</v>
      </c>
      <c r="K28" s="249">
        <f t="shared" si="15"/>
        <v>0</v>
      </c>
      <c r="M28" s="26">
        <f aca="true" t="shared" si="16" ref="M28:T28">SUM(M24:M27)</f>
        <v>643463.674</v>
      </c>
      <c r="N28" s="26">
        <f t="shared" si="16"/>
        <v>68869.283</v>
      </c>
      <c r="O28" s="26">
        <f t="shared" si="16"/>
        <v>572137.422</v>
      </c>
      <c r="P28" s="26">
        <f t="shared" si="16"/>
        <v>830308.5819999999</v>
      </c>
      <c r="Q28" s="26">
        <f t="shared" si="16"/>
        <v>40073.605</v>
      </c>
      <c r="R28" s="26">
        <f t="shared" si="16"/>
        <v>59798.825</v>
      </c>
      <c r="S28" s="26">
        <f t="shared" si="16"/>
        <v>0</v>
      </c>
      <c r="T28" s="26">
        <f t="shared" si="16"/>
        <v>17035.047</v>
      </c>
    </row>
    <row r="29" spans="1:11" ht="12.75">
      <c r="A29" s="19"/>
      <c r="B29" s="49"/>
      <c r="C29" s="67"/>
      <c r="D29" s="67"/>
      <c r="E29" s="67"/>
      <c r="F29" s="67"/>
      <c r="G29" s="67"/>
      <c r="H29" s="67"/>
      <c r="I29" s="67"/>
      <c r="J29" s="67"/>
      <c r="K29" s="67"/>
    </row>
    <row r="30" spans="1:20" ht="63.75">
      <c r="A30" s="234">
        <v>1960</v>
      </c>
      <c r="B30" s="235" t="s">
        <v>5</v>
      </c>
      <c r="C30" s="246" t="s">
        <v>442</v>
      </c>
      <c r="D30" s="246" t="s">
        <v>443</v>
      </c>
      <c r="E30" s="246" t="s">
        <v>444</v>
      </c>
      <c r="F30" s="246" t="s">
        <v>445</v>
      </c>
      <c r="G30" s="246" t="s">
        <v>446</v>
      </c>
      <c r="H30" s="246" t="s">
        <v>447</v>
      </c>
      <c r="I30" s="246" t="s">
        <v>448</v>
      </c>
      <c r="J30" s="246" t="s">
        <v>449</v>
      </c>
      <c r="K30" s="246" t="s">
        <v>450</v>
      </c>
      <c r="M30" s="216" t="str">
        <f aca="true" t="shared" si="17" ref="M30:T30">C30&amp;" Heated Units"</f>
        <v>Utility gas Heated Units</v>
      </c>
      <c r="N30" s="216" t="str">
        <f t="shared" si="17"/>
        <v>Bottled, tank, or LP gas Heated Units</v>
      </c>
      <c r="O30" s="216" t="str">
        <f t="shared" si="17"/>
        <v>Electricity Heated Units</v>
      </c>
      <c r="P30" s="216" t="str">
        <f t="shared" si="17"/>
        <v>Fuel oil, kerosene, etc. Heated Units</v>
      </c>
      <c r="Q30" s="216" t="str">
        <f t="shared" si="17"/>
        <v>Coal or coke Heated Units</v>
      </c>
      <c r="R30" s="216" t="str">
        <f t="shared" si="17"/>
        <v>Wood Heated Units</v>
      </c>
      <c r="S30" s="216" t="str">
        <f t="shared" si="17"/>
        <v>Solar energy Heated Units</v>
      </c>
      <c r="T30" s="216" t="str">
        <f t="shared" si="17"/>
        <v>Other fuel Heated Units</v>
      </c>
    </row>
    <row r="31" spans="1:20" ht="12.75">
      <c r="A31" s="19" t="s">
        <v>0</v>
      </c>
      <c r="B31" s="49">
        <v>193839</v>
      </c>
      <c r="C31" s="67">
        <v>0.109</v>
      </c>
      <c r="D31" s="67">
        <v>0.031</v>
      </c>
      <c r="E31" s="67">
        <v>0.029</v>
      </c>
      <c r="F31" s="67">
        <v>0.5</v>
      </c>
      <c r="G31" s="67">
        <v>0.241</v>
      </c>
      <c r="H31" s="67">
        <v>0.082</v>
      </c>
      <c r="I31" s="67">
        <v>0</v>
      </c>
      <c r="J31" s="67">
        <v>0.007</v>
      </c>
      <c r="K31" s="67">
        <v>0</v>
      </c>
      <c r="M31" s="49">
        <f aca="true" t="shared" si="18" ref="M31:T34">$B31*C31</f>
        <v>21128.451</v>
      </c>
      <c r="N31" s="49">
        <f t="shared" si="18"/>
        <v>6009.009</v>
      </c>
      <c r="O31" s="49">
        <f t="shared" si="18"/>
        <v>5621.331</v>
      </c>
      <c r="P31" s="49">
        <f t="shared" si="18"/>
        <v>96919.5</v>
      </c>
      <c r="Q31" s="49">
        <f t="shared" si="18"/>
        <v>46715.199</v>
      </c>
      <c r="R31" s="49">
        <f t="shared" si="18"/>
        <v>15894.798</v>
      </c>
      <c r="S31" s="49">
        <f t="shared" si="18"/>
        <v>0</v>
      </c>
      <c r="T31" s="49">
        <f t="shared" si="18"/>
        <v>1356.873</v>
      </c>
    </row>
    <row r="32" spans="1:20" ht="12.75">
      <c r="A32" s="19" t="s">
        <v>1</v>
      </c>
      <c r="B32" s="49">
        <v>202240</v>
      </c>
      <c r="C32" s="67">
        <v>0.61</v>
      </c>
      <c r="D32" s="67">
        <v>0.052</v>
      </c>
      <c r="E32" s="67">
        <v>0.013</v>
      </c>
      <c r="F32" s="67">
        <v>0.19</v>
      </c>
      <c r="G32" s="67">
        <v>0.069</v>
      </c>
      <c r="H32" s="67">
        <v>0.058</v>
      </c>
      <c r="I32" s="67">
        <v>0</v>
      </c>
      <c r="J32" s="67">
        <v>0.006</v>
      </c>
      <c r="K32" s="67">
        <v>0.001</v>
      </c>
      <c r="M32" s="49">
        <f t="shared" si="18"/>
        <v>123366.4</v>
      </c>
      <c r="N32" s="49">
        <f t="shared" si="18"/>
        <v>10516.48</v>
      </c>
      <c r="O32" s="49">
        <f t="shared" si="18"/>
        <v>2629.12</v>
      </c>
      <c r="P32" s="49">
        <f t="shared" si="18"/>
        <v>38425.6</v>
      </c>
      <c r="Q32" s="49">
        <f t="shared" si="18"/>
        <v>13954.560000000001</v>
      </c>
      <c r="R32" s="49">
        <f t="shared" si="18"/>
        <v>11729.92</v>
      </c>
      <c r="S32" s="49">
        <f t="shared" si="18"/>
        <v>0</v>
      </c>
      <c r="T32" s="49">
        <f t="shared" si="18"/>
        <v>1213.44</v>
      </c>
    </row>
    <row r="33" spans="1:20" ht="11.25" customHeight="1">
      <c r="A33" s="19" t="s">
        <v>2</v>
      </c>
      <c r="B33" s="49">
        <v>558144</v>
      </c>
      <c r="C33" s="67">
        <v>0.105</v>
      </c>
      <c r="D33" s="67">
        <v>0.024</v>
      </c>
      <c r="E33" s="67">
        <v>0.141</v>
      </c>
      <c r="F33" s="67">
        <v>0.546</v>
      </c>
      <c r="G33" s="67">
        <v>0.014</v>
      </c>
      <c r="H33" s="67">
        <v>0.151</v>
      </c>
      <c r="I33" s="67">
        <v>0</v>
      </c>
      <c r="J33" s="67">
        <v>0.019</v>
      </c>
      <c r="K33" s="67">
        <v>0.001</v>
      </c>
      <c r="M33" s="49">
        <f t="shared" si="18"/>
        <v>58605.119999999995</v>
      </c>
      <c r="N33" s="49">
        <f t="shared" si="18"/>
        <v>13395.456</v>
      </c>
      <c r="O33" s="49">
        <f t="shared" si="18"/>
        <v>78698.30399999999</v>
      </c>
      <c r="P33" s="49">
        <f t="shared" si="18"/>
        <v>304746.624</v>
      </c>
      <c r="Q33" s="49">
        <f t="shared" si="18"/>
        <v>7814.0160000000005</v>
      </c>
      <c r="R33" s="49">
        <f t="shared" si="18"/>
        <v>84279.74399999999</v>
      </c>
      <c r="S33" s="49">
        <f t="shared" si="18"/>
        <v>0</v>
      </c>
      <c r="T33" s="49">
        <f t="shared" si="18"/>
        <v>10604.735999999999</v>
      </c>
    </row>
    <row r="34" spans="1:20" ht="13.5" customHeight="1">
      <c r="A34" s="19" t="s">
        <v>3</v>
      </c>
      <c r="B34" s="49">
        <v>894163</v>
      </c>
      <c r="C34" s="67">
        <v>0.077</v>
      </c>
      <c r="D34" s="67">
        <v>0.012</v>
      </c>
      <c r="E34" s="67">
        <v>0.117</v>
      </c>
      <c r="F34" s="67">
        <v>0.652</v>
      </c>
      <c r="G34" s="67">
        <v>0.057</v>
      </c>
      <c r="H34" s="67">
        <v>0.071</v>
      </c>
      <c r="I34" s="67">
        <v>0</v>
      </c>
      <c r="J34" s="67">
        <v>0.012</v>
      </c>
      <c r="K34" s="67">
        <v>0.001</v>
      </c>
      <c r="M34" s="49">
        <f t="shared" si="18"/>
        <v>68850.55099999999</v>
      </c>
      <c r="N34" s="49">
        <f t="shared" si="18"/>
        <v>10729.956</v>
      </c>
      <c r="O34" s="49">
        <f t="shared" si="18"/>
        <v>104617.07100000001</v>
      </c>
      <c r="P34" s="49">
        <f t="shared" si="18"/>
        <v>582994.2760000001</v>
      </c>
      <c r="Q34" s="49">
        <f t="shared" si="18"/>
        <v>50967.291000000005</v>
      </c>
      <c r="R34" s="49">
        <f t="shared" si="18"/>
        <v>63485.573</v>
      </c>
      <c r="S34" s="49">
        <f t="shared" si="18"/>
        <v>0</v>
      </c>
      <c r="T34" s="49">
        <f t="shared" si="18"/>
        <v>10729.956</v>
      </c>
    </row>
    <row r="35" spans="1:20" ht="13.5" customHeight="1" thickBot="1">
      <c r="A35" s="237" t="s">
        <v>284</v>
      </c>
      <c r="B35" s="238">
        <f>SUM(B31:B34)</f>
        <v>1848386</v>
      </c>
      <c r="C35" s="243">
        <f aca="true" t="shared" si="19" ref="C35:K35">M35/$B35</f>
        <v>0.1471286419611488</v>
      </c>
      <c r="D35" s="243">
        <f t="shared" si="19"/>
        <v>0.021992647098603862</v>
      </c>
      <c r="E35" s="243">
        <f t="shared" si="19"/>
        <v>0.10363951360808836</v>
      </c>
      <c r="F35" s="243">
        <f t="shared" si="19"/>
        <v>0.5535023528635253</v>
      </c>
      <c r="G35" s="243">
        <f t="shared" si="19"/>
        <v>0.06462452431472648</v>
      </c>
      <c r="H35" s="243">
        <f t="shared" si="19"/>
        <v>0.09488820787432928</v>
      </c>
      <c r="I35" s="243">
        <f t="shared" si="19"/>
        <v>0</v>
      </c>
      <c r="J35" s="243">
        <f t="shared" si="19"/>
        <v>0.01293290741219637</v>
      </c>
      <c r="K35" s="249">
        <f t="shared" si="19"/>
        <v>0</v>
      </c>
      <c r="M35" s="26">
        <f aca="true" t="shared" si="20" ref="M35:T35">SUM(M31:M34)</f>
        <v>271950.522</v>
      </c>
      <c r="N35" s="26">
        <f t="shared" si="20"/>
        <v>40650.901</v>
      </c>
      <c r="O35" s="26">
        <f t="shared" si="20"/>
        <v>191565.826</v>
      </c>
      <c r="P35" s="26">
        <f t="shared" si="20"/>
        <v>1023086.0000000001</v>
      </c>
      <c r="Q35" s="26">
        <f t="shared" si="20"/>
        <v>119451.06600000002</v>
      </c>
      <c r="R35" s="26">
        <f t="shared" si="20"/>
        <v>175390.035</v>
      </c>
      <c r="S35" s="26">
        <f t="shared" si="20"/>
        <v>0</v>
      </c>
      <c r="T35" s="26">
        <f t="shared" si="20"/>
        <v>23905.004999999997</v>
      </c>
    </row>
    <row r="36" spans="1:11" ht="12.75">
      <c r="A36" s="19"/>
      <c r="B36" s="49"/>
      <c r="C36" s="67"/>
      <c r="D36" s="67"/>
      <c r="E36" s="67"/>
      <c r="F36" s="67"/>
      <c r="G36" s="67"/>
      <c r="H36" s="67"/>
      <c r="I36" s="67"/>
      <c r="J36" s="67"/>
      <c r="K36" s="67"/>
    </row>
    <row r="37" spans="1:20" ht="63.75">
      <c r="A37" s="234">
        <v>1950</v>
      </c>
      <c r="B37" s="235" t="s">
        <v>5</v>
      </c>
      <c r="C37" s="246" t="s">
        <v>442</v>
      </c>
      <c r="D37" s="246" t="s">
        <v>443</v>
      </c>
      <c r="E37" s="246" t="s">
        <v>444</v>
      </c>
      <c r="F37" s="246" t="s">
        <v>445</v>
      </c>
      <c r="G37" s="246" t="s">
        <v>446</v>
      </c>
      <c r="H37" s="246" t="s">
        <v>447</v>
      </c>
      <c r="I37" s="246" t="s">
        <v>448</v>
      </c>
      <c r="J37" s="246" t="s">
        <v>449</v>
      </c>
      <c r="K37" s="246" t="s">
        <v>450</v>
      </c>
      <c r="M37" s="216" t="str">
        <f aca="true" t="shared" si="21" ref="M37:T37">C37&amp;" Heated Units"</f>
        <v>Utility gas Heated Units</v>
      </c>
      <c r="N37" s="216" t="str">
        <f t="shared" si="21"/>
        <v>Bottled, tank, or LP gas Heated Units</v>
      </c>
      <c r="O37" s="216" t="str">
        <f t="shared" si="21"/>
        <v>Electricity Heated Units</v>
      </c>
      <c r="P37" s="216" t="str">
        <f t="shared" si="21"/>
        <v>Fuel oil, kerosene, etc. Heated Units</v>
      </c>
      <c r="Q37" s="216" t="str">
        <f t="shared" si="21"/>
        <v>Coal or coke Heated Units</v>
      </c>
      <c r="R37" s="216" t="str">
        <f t="shared" si="21"/>
        <v>Wood Heated Units</v>
      </c>
      <c r="S37" s="216" t="str">
        <f t="shared" si="21"/>
        <v>Solar energy Heated Units</v>
      </c>
      <c r="T37" s="216" t="str">
        <f t="shared" si="21"/>
        <v>Other fuel Heated Units</v>
      </c>
    </row>
    <row r="38" spans="1:20" ht="12.75">
      <c r="A38" s="19" t="s">
        <v>0</v>
      </c>
      <c r="B38" s="49">
        <v>165620</v>
      </c>
      <c r="C38" s="67">
        <v>0.003</v>
      </c>
      <c r="D38" s="67">
        <v>0.013</v>
      </c>
      <c r="E38" s="67">
        <v>0.016</v>
      </c>
      <c r="F38" s="67">
        <v>0.34</v>
      </c>
      <c r="G38" s="67">
        <v>0.436</v>
      </c>
      <c r="H38" s="67">
        <v>0.148</v>
      </c>
      <c r="I38" s="67">
        <v>0</v>
      </c>
      <c r="J38" s="67">
        <v>0.043</v>
      </c>
      <c r="K38" s="67">
        <v>0.002</v>
      </c>
      <c r="M38" s="49">
        <f aca="true" t="shared" si="22" ref="M38:T41">$B38*C38</f>
        <v>496.86</v>
      </c>
      <c r="N38" s="49">
        <f t="shared" si="22"/>
        <v>2153.06</v>
      </c>
      <c r="O38" s="49">
        <f t="shared" si="22"/>
        <v>2649.92</v>
      </c>
      <c r="P38" s="49">
        <f t="shared" si="22"/>
        <v>56310.8</v>
      </c>
      <c r="Q38" s="49">
        <f t="shared" si="22"/>
        <v>72210.32</v>
      </c>
      <c r="R38" s="49">
        <f t="shared" si="22"/>
        <v>24511.76</v>
      </c>
      <c r="S38" s="49">
        <f t="shared" si="22"/>
        <v>0</v>
      </c>
      <c r="T38" s="49">
        <f t="shared" si="22"/>
        <v>7121.66</v>
      </c>
    </row>
    <row r="39" spans="1:20" ht="12.75">
      <c r="A39" s="19" t="s">
        <v>1</v>
      </c>
      <c r="B39" s="49">
        <v>171940</v>
      </c>
      <c r="C39" s="67">
        <v>0.431</v>
      </c>
      <c r="D39" s="67">
        <v>0.016</v>
      </c>
      <c r="E39" s="67">
        <v>0.007</v>
      </c>
      <c r="F39" s="67">
        <v>0.21</v>
      </c>
      <c r="G39" s="67">
        <v>0.205</v>
      </c>
      <c r="H39" s="67">
        <v>0.113</v>
      </c>
      <c r="I39" s="67">
        <v>0</v>
      </c>
      <c r="J39" s="67">
        <v>0.017</v>
      </c>
      <c r="K39" s="67">
        <v>0.001</v>
      </c>
      <c r="M39" s="49">
        <f t="shared" si="22"/>
        <v>74106.14</v>
      </c>
      <c r="N39" s="49">
        <f t="shared" si="22"/>
        <v>2751.04</v>
      </c>
      <c r="O39" s="49">
        <f t="shared" si="22"/>
        <v>1203.58</v>
      </c>
      <c r="P39" s="49">
        <f t="shared" si="22"/>
        <v>36107.4</v>
      </c>
      <c r="Q39" s="49">
        <f t="shared" si="22"/>
        <v>35247.7</v>
      </c>
      <c r="R39" s="49">
        <f t="shared" si="22"/>
        <v>19429.22</v>
      </c>
      <c r="S39" s="49">
        <f t="shared" si="22"/>
        <v>0</v>
      </c>
      <c r="T39" s="49">
        <f t="shared" si="22"/>
        <v>2922.98</v>
      </c>
    </row>
    <row r="40" spans="1:20" ht="12.75">
      <c r="A40" s="19" t="s">
        <v>2</v>
      </c>
      <c r="B40" s="49">
        <v>470820</v>
      </c>
      <c r="C40" s="67">
        <v>0.059</v>
      </c>
      <c r="D40" s="67">
        <v>0.016</v>
      </c>
      <c r="E40" s="67">
        <v>0.033</v>
      </c>
      <c r="F40" s="67">
        <v>0.472</v>
      </c>
      <c r="G40" s="67">
        <v>0.058</v>
      </c>
      <c r="H40" s="67">
        <v>0.3</v>
      </c>
      <c r="I40" s="67">
        <v>0</v>
      </c>
      <c r="J40" s="67">
        <v>0.06</v>
      </c>
      <c r="K40" s="67">
        <v>0.002</v>
      </c>
      <c r="M40" s="49">
        <f t="shared" si="22"/>
        <v>27778.379999999997</v>
      </c>
      <c r="N40" s="49">
        <f t="shared" si="22"/>
        <v>7533.12</v>
      </c>
      <c r="O40" s="49">
        <f t="shared" si="22"/>
        <v>15537.060000000001</v>
      </c>
      <c r="P40" s="49">
        <f t="shared" si="22"/>
        <v>222227.03999999998</v>
      </c>
      <c r="Q40" s="49">
        <f t="shared" si="22"/>
        <v>27307.56</v>
      </c>
      <c r="R40" s="49">
        <f t="shared" si="22"/>
        <v>141246</v>
      </c>
      <c r="S40" s="49">
        <f t="shared" si="22"/>
        <v>0</v>
      </c>
      <c r="T40" s="49">
        <f t="shared" si="22"/>
        <v>28249.2</v>
      </c>
    </row>
    <row r="41" spans="1:20" ht="12.75">
      <c r="A41" s="19" t="s">
        <v>3</v>
      </c>
      <c r="B41" s="49">
        <v>717830</v>
      </c>
      <c r="C41" s="67">
        <v>0.022</v>
      </c>
      <c r="D41" s="67">
        <v>0.006</v>
      </c>
      <c r="E41" s="67">
        <v>0.027</v>
      </c>
      <c r="F41" s="67">
        <v>0.567</v>
      </c>
      <c r="G41" s="67">
        <v>0.171</v>
      </c>
      <c r="H41" s="67">
        <v>0.165</v>
      </c>
      <c r="I41" s="67">
        <v>0</v>
      </c>
      <c r="J41" s="67">
        <v>0.041</v>
      </c>
      <c r="K41" s="67">
        <v>0.002</v>
      </c>
      <c r="M41" s="49">
        <f t="shared" si="22"/>
        <v>15792.259999999998</v>
      </c>
      <c r="N41" s="49">
        <f t="shared" si="22"/>
        <v>4306.9800000000005</v>
      </c>
      <c r="O41" s="49">
        <f t="shared" si="22"/>
        <v>19381.41</v>
      </c>
      <c r="P41" s="49">
        <f t="shared" si="22"/>
        <v>407009.61</v>
      </c>
      <c r="Q41" s="49">
        <f t="shared" si="22"/>
        <v>122748.93000000001</v>
      </c>
      <c r="R41" s="49">
        <f t="shared" si="22"/>
        <v>118441.95000000001</v>
      </c>
      <c r="S41" s="49">
        <f t="shared" si="22"/>
        <v>0</v>
      </c>
      <c r="T41" s="49">
        <f t="shared" si="22"/>
        <v>29431.030000000002</v>
      </c>
    </row>
    <row r="42" spans="1:20" ht="13.5" thickBot="1">
      <c r="A42" s="237" t="s">
        <v>284</v>
      </c>
      <c r="B42" s="238">
        <f>SUM(B38:B41)</f>
        <v>1526210</v>
      </c>
      <c r="C42" s="243">
        <f aca="true" t="shared" si="23" ref="C42:K42">M42/$B42</f>
        <v>0.07742947562917292</v>
      </c>
      <c r="D42" s="243">
        <f t="shared" si="23"/>
        <v>0.01097109834164368</v>
      </c>
      <c r="E42" s="243">
        <f t="shared" si="23"/>
        <v>0.02540408593837021</v>
      </c>
      <c r="F42" s="243">
        <f t="shared" si="23"/>
        <v>0.4728411227812686</v>
      </c>
      <c r="G42" s="243">
        <f t="shared" si="23"/>
        <v>0.16872809770608238</v>
      </c>
      <c r="H42" s="243">
        <f t="shared" si="23"/>
        <v>0.1989430877795323</v>
      </c>
      <c r="I42" s="243">
        <f t="shared" si="23"/>
        <v>0</v>
      </c>
      <c r="J42" s="243">
        <f t="shared" si="23"/>
        <v>0.04437454216654326</v>
      </c>
      <c r="K42" s="249">
        <f t="shared" si="23"/>
        <v>0</v>
      </c>
      <c r="M42" s="26">
        <f aca="true" t="shared" si="24" ref="M42:T42">SUM(M38:M41)</f>
        <v>118173.64</v>
      </c>
      <c r="N42" s="26">
        <f t="shared" si="24"/>
        <v>16744.2</v>
      </c>
      <c r="O42" s="26">
        <f t="shared" si="24"/>
        <v>38771.97</v>
      </c>
      <c r="P42" s="26">
        <f t="shared" si="24"/>
        <v>721654.85</v>
      </c>
      <c r="Q42" s="26">
        <f t="shared" si="24"/>
        <v>257514.51</v>
      </c>
      <c r="R42" s="26">
        <f t="shared" si="24"/>
        <v>303628.93</v>
      </c>
      <c r="S42" s="26">
        <f t="shared" si="24"/>
        <v>0</v>
      </c>
      <c r="T42" s="26">
        <f t="shared" si="24"/>
        <v>67724.87</v>
      </c>
    </row>
    <row r="43" spans="1:11" ht="12.75">
      <c r="A43" s="19"/>
      <c r="B43" s="49"/>
      <c r="C43" s="67"/>
      <c r="D43" s="67"/>
      <c r="E43" s="67"/>
      <c r="F43" s="67"/>
      <c r="G43" s="67"/>
      <c r="H43" s="67"/>
      <c r="I43" s="67"/>
      <c r="J43" s="67"/>
      <c r="K43" s="67"/>
    </row>
    <row r="44" spans="1:20" ht="63.75">
      <c r="A44" s="234">
        <v>1940</v>
      </c>
      <c r="B44" s="235" t="s">
        <v>5</v>
      </c>
      <c r="C44" s="246" t="s">
        <v>442</v>
      </c>
      <c r="D44" s="246" t="s">
        <v>443</v>
      </c>
      <c r="E44" s="246" t="s">
        <v>444</v>
      </c>
      <c r="F44" s="246" t="s">
        <v>445</v>
      </c>
      <c r="G44" s="246" t="s">
        <v>446</v>
      </c>
      <c r="H44" s="246" t="s">
        <v>447</v>
      </c>
      <c r="I44" s="246" t="s">
        <v>448</v>
      </c>
      <c r="J44" s="246" t="s">
        <v>449</v>
      </c>
      <c r="K44" s="246" t="s">
        <v>450</v>
      </c>
      <c r="M44" s="216" t="str">
        <f aca="true" t="shared" si="25" ref="M44:T44">C44&amp;" Heated Units"</f>
        <v>Utility gas Heated Units</v>
      </c>
      <c r="N44" s="216" t="str">
        <f t="shared" si="25"/>
        <v>Bottled, tank, or LP gas Heated Units</v>
      </c>
      <c r="O44" s="216" t="str">
        <f t="shared" si="25"/>
        <v>Electricity Heated Units</v>
      </c>
      <c r="P44" s="216" t="str">
        <f t="shared" si="25"/>
        <v>Fuel oil, kerosene, etc. Heated Units</v>
      </c>
      <c r="Q44" s="216" t="str">
        <f t="shared" si="25"/>
        <v>Coal or coke Heated Units</v>
      </c>
      <c r="R44" s="216" t="str">
        <f t="shared" si="25"/>
        <v>Wood Heated Units</v>
      </c>
      <c r="S44" s="216" t="str">
        <f t="shared" si="25"/>
        <v>Solar energy Heated Units</v>
      </c>
      <c r="T44" s="216" t="str">
        <f t="shared" si="25"/>
        <v>Other fuel Heated Units</v>
      </c>
    </row>
    <row r="45" spans="1:20" ht="12.75">
      <c r="A45" s="19" t="s">
        <v>0</v>
      </c>
      <c r="B45" s="49">
        <v>136597</v>
      </c>
      <c r="C45" s="67">
        <v>0.001</v>
      </c>
      <c r="D45" s="67" t="s">
        <v>4</v>
      </c>
      <c r="E45" s="67" t="s">
        <v>4</v>
      </c>
      <c r="F45" s="67">
        <v>0.036</v>
      </c>
      <c r="G45" s="67">
        <v>0.541</v>
      </c>
      <c r="H45" s="67">
        <v>0.397</v>
      </c>
      <c r="I45" s="67">
        <v>0</v>
      </c>
      <c r="J45" s="67">
        <v>0.01</v>
      </c>
      <c r="K45" s="67">
        <v>0.015</v>
      </c>
      <c r="M45" s="49">
        <f aca="true" t="shared" si="26" ref="M45:T48">$B45*C45</f>
        <v>136.597</v>
      </c>
      <c r="N45" s="49" t="e">
        <f t="shared" si="26"/>
        <v>#VALUE!</v>
      </c>
      <c r="O45" s="49" t="e">
        <f t="shared" si="26"/>
        <v>#VALUE!</v>
      </c>
      <c r="P45" s="49">
        <f t="shared" si="26"/>
        <v>4917.491999999999</v>
      </c>
      <c r="Q45" s="49">
        <f t="shared" si="26"/>
        <v>73898.977</v>
      </c>
      <c r="R45" s="49">
        <f t="shared" si="26"/>
        <v>54229.009000000005</v>
      </c>
      <c r="S45" s="49">
        <f t="shared" si="26"/>
        <v>0</v>
      </c>
      <c r="T45" s="49">
        <f t="shared" si="26"/>
        <v>1365.97</v>
      </c>
    </row>
    <row r="46" spans="1:20" ht="12.75">
      <c r="A46" s="19" t="s">
        <v>1</v>
      </c>
      <c r="B46" s="49">
        <v>155713</v>
      </c>
      <c r="C46" s="67">
        <v>0.256</v>
      </c>
      <c r="D46" s="67" t="s">
        <v>4</v>
      </c>
      <c r="E46" s="67" t="s">
        <v>4</v>
      </c>
      <c r="F46" s="67">
        <v>0.036</v>
      </c>
      <c r="G46" s="67">
        <v>0.458</v>
      </c>
      <c r="H46" s="67">
        <v>0.241</v>
      </c>
      <c r="I46" s="67">
        <v>0</v>
      </c>
      <c r="J46" s="67">
        <v>0.003</v>
      </c>
      <c r="K46" s="67">
        <v>0.006</v>
      </c>
      <c r="M46" s="49">
        <f t="shared" si="26"/>
        <v>39862.528</v>
      </c>
      <c r="N46" s="49" t="e">
        <f t="shared" si="26"/>
        <v>#VALUE!</v>
      </c>
      <c r="O46" s="49" t="e">
        <f t="shared" si="26"/>
        <v>#VALUE!</v>
      </c>
      <c r="P46" s="49">
        <f t="shared" si="26"/>
        <v>5605.668</v>
      </c>
      <c r="Q46" s="49">
        <f t="shared" si="26"/>
        <v>71316.554</v>
      </c>
      <c r="R46" s="49">
        <f t="shared" si="26"/>
        <v>37526.833</v>
      </c>
      <c r="S46" s="49">
        <f t="shared" si="26"/>
        <v>0</v>
      </c>
      <c r="T46" s="49">
        <f t="shared" si="26"/>
        <v>467.139</v>
      </c>
    </row>
    <row r="47" spans="1:20" ht="12.75">
      <c r="A47" s="19" t="s">
        <v>2</v>
      </c>
      <c r="B47" s="49">
        <v>327047</v>
      </c>
      <c r="C47" s="67">
        <v>0.024</v>
      </c>
      <c r="D47" s="67" t="s">
        <v>4</v>
      </c>
      <c r="E47" s="67" t="s">
        <v>4</v>
      </c>
      <c r="F47" s="67">
        <v>0.15</v>
      </c>
      <c r="G47" s="67">
        <v>0.042</v>
      </c>
      <c r="H47" s="67">
        <v>0.733</v>
      </c>
      <c r="I47" s="67">
        <v>0</v>
      </c>
      <c r="J47" s="67">
        <v>0.038</v>
      </c>
      <c r="K47" s="67">
        <v>0.012</v>
      </c>
      <c r="M47" s="49">
        <f t="shared" si="26"/>
        <v>7849.128000000001</v>
      </c>
      <c r="N47" s="49" t="e">
        <f t="shared" si="26"/>
        <v>#VALUE!</v>
      </c>
      <c r="O47" s="49" t="e">
        <f t="shared" si="26"/>
        <v>#VALUE!</v>
      </c>
      <c r="P47" s="49">
        <f t="shared" si="26"/>
        <v>49057.049999999996</v>
      </c>
      <c r="Q47" s="49">
        <f t="shared" si="26"/>
        <v>13735.974</v>
      </c>
      <c r="R47" s="49">
        <f t="shared" si="26"/>
        <v>239725.451</v>
      </c>
      <c r="S47" s="49">
        <f t="shared" si="26"/>
        <v>0</v>
      </c>
      <c r="T47" s="49">
        <f t="shared" si="26"/>
        <v>12427.786</v>
      </c>
    </row>
    <row r="48" spans="1:20" ht="12.75">
      <c r="A48" s="19" t="s">
        <v>3</v>
      </c>
      <c r="B48" s="49">
        <v>518760</v>
      </c>
      <c r="C48" s="67">
        <v>0.008</v>
      </c>
      <c r="D48" s="67" t="s">
        <v>4</v>
      </c>
      <c r="E48" s="67" t="s">
        <v>4</v>
      </c>
      <c r="F48" s="67">
        <v>0.223</v>
      </c>
      <c r="G48" s="67">
        <v>0.201</v>
      </c>
      <c r="H48" s="67">
        <v>0.528</v>
      </c>
      <c r="I48" s="67">
        <v>0</v>
      </c>
      <c r="J48" s="67">
        <v>0.021</v>
      </c>
      <c r="K48" s="67">
        <v>0.018</v>
      </c>
      <c r="M48" s="49">
        <f t="shared" si="26"/>
        <v>4150.08</v>
      </c>
      <c r="N48" s="49" t="e">
        <f t="shared" si="26"/>
        <v>#VALUE!</v>
      </c>
      <c r="O48" s="49" t="e">
        <f t="shared" si="26"/>
        <v>#VALUE!</v>
      </c>
      <c r="P48" s="49">
        <f t="shared" si="26"/>
        <v>115683.48</v>
      </c>
      <c r="Q48" s="49">
        <f t="shared" si="26"/>
        <v>104270.76000000001</v>
      </c>
      <c r="R48" s="49">
        <f t="shared" si="26"/>
        <v>273905.28</v>
      </c>
      <c r="S48" s="49">
        <f t="shared" si="26"/>
        <v>0</v>
      </c>
      <c r="T48" s="49">
        <f t="shared" si="26"/>
        <v>10893.960000000001</v>
      </c>
    </row>
    <row r="49" spans="1:20" ht="13.5" thickBot="1">
      <c r="A49" s="237" t="s">
        <v>284</v>
      </c>
      <c r="B49" s="238">
        <f>SUM(B45:B48)</f>
        <v>1138117</v>
      </c>
      <c r="C49" s="243">
        <f aca="true" t="shared" si="27" ref="C49:K49">M49/$B49</f>
        <v>0.04568803822454106</v>
      </c>
      <c r="D49" s="243" t="e">
        <f t="shared" si="27"/>
        <v>#VALUE!</v>
      </c>
      <c r="E49" s="243" t="e">
        <f t="shared" si="27"/>
        <v>#VALUE!</v>
      </c>
      <c r="F49" s="243">
        <f t="shared" si="27"/>
        <v>0.1539944399389518</v>
      </c>
      <c r="G49" s="243">
        <f t="shared" si="27"/>
        <v>0.2312787393563228</v>
      </c>
      <c r="H49" s="243">
        <f t="shared" si="27"/>
        <v>0.5319194537995655</v>
      </c>
      <c r="I49" s="243">
        <f t="shared" si="27"/>
        <v>0</v>
      </c>
      <c r="J49" s="243">
        <f t="shared" si="27"/>
        <v>0.022102169636337918</v>
      </c>
      <c r="K49" s="249">
        <f t="shared" si="27"/>
        <v>0</v>
      </c>
      <c r="M49" s="26">
        <f aca="true" t="shared" si="28" ref="M49:T49">SUM(M45:M48)</f>
        <v>51998.333</v>
      </c>
      <c r="N49" s="26" t="e">
        <f t="shared" si="28"/>
        <v>#VALUE!</v>
      </c>
      <c r="O49" s="26" t="e">
        <f t="shared" si="28"/>
        <v>#VALUE!</v>
      </c>
      <c r="P49" s="26">
        <f t="shared" si="28"/>
        <v>175263.69</v>
      </c>
      <c r="Q49" s="26">
        <f t="shared" si="28"/>
        <v>263222.265</v>
      </c>
      <c r="R49" s="26">
        <f t="shared" si="28"/>
        <v>605386.5730000001</v>
      </c>
      <c r="S49" s="26">
        <f t="shared" si="28"/>
        <v>0</v>
      </c>
      <c r="T49" s="26">
        <f t="shared" si="28"/>
        <v>25154.855000000003</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I141"/>
  <sheetViews>
    <sheetView workbookViewId="0" topLeftCell="A25">
      <pane xSplit="3" topLeftCell="D1" activePane="topRight" state="frozen"/>
      <selection pane="topLeft" activeCell="A1" sqref="A1"/>
      <selection pane="topRight" activeCell="Q68" sqref="Q68:R68"/>
    </sheetView>
  </sheetViews>
  <sheetFormatPr defaultColWidth="9.140625" defaultRowHeight="12.75"/>
  <cols>
    <col min="1" max="1" width="26.00390625" style="13" customWidth="1"/>
    <col min="2" max="2" width="17.00390625" style="13" customWidth="1"/>
    <col min="3" max="3" width="9.421875" style="13" customWidth="1"/>
    <col min="4" max="4" width="2.28125" style="13" customWidth="1"/>
    <col min="5" max="5" width="26.00390625" style="13" customWidth="1"/>
    <col min="6" max="6" width="10.28125" style="13" customWidth="1"/>
    <col min="7" max="7" width="7.140625" style="13" customWidth="1"/>
    <col min="8" max="8" width="2.00390625" style="13" customWidth="1"/>
    <col min="9" max="9" width="26.00390625" style="13" customWidth="1"/>
    <col min="10" max="10" width="9.140625" style="13" customWidth="1"/>
    <col min="11" max="11" width="8.421875" style="13" customWidth="1"/>
    <col min="12" max="12" width="2.140625" style="13" customWidth="1"/>
    <col min="13" max="13" width="26.00390625" style="13" customWidth="1"/>
    <col min="14" max="14" width="12.421875" style="13" customWidth="1"/>
    <col min="15" max="15" width="9.7109375" style="13" customWidth="1"/>
    <col min="16" max="16" width="2.57421875" style="13" customWidth="1"/>
    <col min="17" max="17" width="26.00390625" style="13" customWidth="1"/>
    <col min="18" max="18" width="11.421875" style="13" customWidth="1"/>
    <col min="19" max="19" width="8.00390625" style="13" customWidth="1"/>
    <col min="20" max="20" width="26.00390625" style="281" customWidth="1"/>
    <col min="21" max="21" width="11.8515625" style="13" customWidth="1"/>
    <col min="22" max="22" width="10.7109375" style="13" customWidth="1"/>
    <col min="23" max="23" width="11.8515625" style="13" customWidth="1"/>
    <col min="24" max="24" width="11.28125" style="13" customWidth="1"/>
    <col min="25" max="25" width="11.8515625" style="13" customWidth="1"/>
    <col min="26" max="26" width="9.140625" style="13" customWidth="1"/>
    <col min="27" max="27" width="7.8515625" style="13" customWidth="1"/>
    <col min="28" max="28" width="8.28125" style="13" customWidth="1"/>
    <col min="29" max="29" width="7.8515625" style="13" customWidth="1"/>
    <col min="30" max="30" width="10.140625" style="13" customWidth="1"/>
    <col min="31" max="31" width="7.8515625" style="13" customWidth="1"/>
    <col min="32" max="32" width="10.140625" style="13" customWidth="1"/>
    <col min="33" max="33" width="7.421875" style="13" customWidth="1"/>
    <col min="34" max="34" width="9.8515625" style="13" customWidth="1"/>
    <col min="35" max="35" width="12.57421875" style="13" customWidth="1"/>
    <col min="36" max="16384" width="26.00390625" style="13" customWidth="1"/>
  </cols>
  <sheetData>
    <row r="1" spans="1:18" ht="12.75">
      <c r="A1" s="9" t="s">
        <v>291</v>
      </c>
      <c r="B1" s="313">
        <f>'PNW and State Population'!F26</f>
        <v>11511668</v>
      </c>
      <c r="E1" s="9" t="s">
        <v>291</v>
      </c>
      <c r="F1" s="313">
        <f>'PNW and State Population'!B26</f>
        <v>1293953</v>
      </c>
      <c r="I1" s="9" t="s">
        <v>291</v>
      </c>
      <c r="J1" s="313">
        <f>'PNW and State Population'!C26</f>
        <v>902195</v>
      </c>
      <c r="M1" s="9" t="s">
        <v>291</v>
      </c>
      <c r="N1" s="313">
        <f>'PNW and State Population'!D26</f>
        <v>3421399</v>
      </c>
      <c r="Q1" s="9" t="s">
        <v>291</v>
      </c>
      <c r="R1" s="313">
        <f>'PNW and State Population'!E26</f>
        <v>5894121</v>
      </c>
    </row>
    <row r="2" spans="1:35" s="277" customFormat="1" ht="40.5" customHeight="1">
      <c r="A2" s="446" t="s">
        <v>510</v>
      </c>
      <c r="B2" s="447"/>
      <c r="C2" s="448"/>
      <c r="E2" s="449" t="s">
        <v>506</v>
      </c>
      <c r="F2" s="450"/>
      <c r="G2" s="451"/>
      <c r="H2" s="276"/>
      <c r="I2" s="449" t="s">
        <v>507</v>
      </c>
      <c r="J2" s="450"/>
      <c r="K2" s="451"/>
      <c r="L2" s="276"/>
      <c r="M2" s="443" t="s">
        <v>508</v>
      </c>
      <c r="N2" s="444"/>
      <c r="O2" s="445"/>
      <c r="P2" s="276"/>
      <c r="Q2" s="443" t="s">
        <v>509</v>
      </c>
      <c r="R2" s="444"/>
      <c r="S2" s="445"/>
      <c r="T2" s="278"/>
      <c r="U2" t="s">
        <v>533</v>
      </c>
      <c r="V2"/>
      <c r="W2"/>
      <c r="X2"/>
      <c r="Y2"/>
      <c r="Z2"/>
      <c r="AA2"/>
      <c r="AB2"/>
      <c r="AC2"/>
      <c r="AD2"/>
      <c r="AE2"/>
      <c r="AF2"/>
      <c r="AG2"/>
      <c r="AH2"/>
      <c r="AI2"/>
    </row>
    <row r="3" spans="1:35" ht="25.5" customHeight="1">
      <c r="A3" s="279" t="s">
        <v>402</v>
      </c>
      <c r="B3" s="280">
        <f>F3+J3+N3+R3</f>
        <v>4844243</v>
      </c>
      <c r="C3" s="232">
        <f>B3/B$3</f>
        <v>1</v>
      </c>
      <c r="E3" s="279" t="s">
        <v>402</v>
      </c>
      <c r="F3" s="280">
        <v>527824</v>
      </c>
      <c r="G3" s="232">
        <f>F3/F$3</f>
        <v>1</v>
      </c>
      <c r="H3" s="23"/>
      <c r="I3" s="279" t="s">
        <v>402</v>
      </c>
      <c r="J3" s="280">
        <v>412634</v>
      </c>
      <c r="K3" s="232">
        <f>J3/J$3</f>
        <v>1</v>
      </c>
      <c r="L3" s="23"/>
      <c r="M3" s="279" t="s">
        <v>402</v>
      </c>
      <c r="N3" s="280">
        <v>1452709</v>
      </c>
      <c r="O3" s="232">
        <f>N3/N$3</f>
        <v>1</v>
      </c>
      <c r="P3" s="23"/>
      <c r="Q3" s="279" t="s">
        <v>402</v>
      </c>
      <c r="R3" s="280">
        <v>2451076</v>
      </c>
      <c r="S3" s="232">
        <f>R3/R$3</f>
        <v>1</v>
      </c>
      <c r="U3" s="19">
        <v>2000</v>
      </c>
      <c r="V3" s="434" t="s">
        <v>525</v>
      </c>
      <c r="W3" s="434"/>
      <c r="X3" s="434" t="s">
        <v>526</v>
      </c>
      <c r="Y3" s="434"/>
      <c r="Z3" s="434" t="s">
        <v>527</v>
      </c>
      <c r="AA3" s="434"/>
      <c r="AB3" s="434" t="s">
        <v>528</v>
      </c>
      <c r="AC3" s="434"/>
      <c r="AD3" s="452" t="s">
        <v>529</v>
      </c>
      <c r="AE3" s="453"/>
      <c r="AF3" s="434" t="s">
        <v>530</v>
      </c>
      <c r="AG3" s="434"/>
      <c r="AH3" s="434" t="s">
        <v>81</v>
      </c>
      <c r="AI3" s="434"/>
    </row>
    <row r="4" spans="1:35" ht="12.75">
      <c r="A4" s="282" t="s">
        <v>403</v>
      </c>
      <c r="B4" s="284"/>
      <c r="C4" s="232"/>
      <c r="E4" s="282" t="s">
        <v>403</v>
      </c>
      <c r="F4" s="282"/>
      <c r="G4" s="232"/>
      <c r="H4" s="23"/>
      <c r="I4" s="282" t="s">
        <v>403</v>
      </c>
      <c r="J4" s="282"/>
      <c r="K4" s="232"/>
      <c r="L4" s="23"/>
      <c r="M4" s="282" t="s">
        <v>403</v>
      </c>
      <c r="N4" s="282"/>
      <c r="O4" s="232"/>
      <c r="P4" s="23"/>
      <c r="Q4" s="282" t="s">
        <v>403</v>
      </c>
      <c r="R4" s="282"/>
      <c r="S4" s="232"/>
      <c r="U4" s="19"/>
      <c r="V4" s="19" t="s">
        <v>531</v>
      </c>
      <c r="W4" s="19" t="s">
        <v>61</v>
      </c>
      <c r="X4" s="19" t="s">
        <v>531</v>
      </c>
      <c r="Y4" s="19" t="s">
        <v>61</v>
      </c>
      <c r="Z4" s="19" t="s">
        <v>531</v>
      </c>
      <c r="AA4" s="19" t="s">
        <v>61</v>
      </c>
      <c r="AB4" s="19" t="s">
        <v>531</v>
      </c>
      <c r="AC4" s="19" t="s">
        <v>61</v>
      </c>
      <c r="AD4" s="19" t="s">
        <v>531</v>
      </c>
      <c r="AE4" s="19" t="s">
        <v>61</v>
      </c>
      <c r="AF4" s="19" t="s">
        <v>531</v>
      </c>
      <c r="AG4" s="19" t="s">
        <v>61</v>
      </c>
      <c r="AH4" s="19" t="s">
        <v>531</v>
      </c>
      <c r="AI4" s="19" t="s">
        <v>61</v>
      </c>
    </row>
    <row r="5" spans="1:35" ht="12.75">
      <c r="A5" s="276" t="s">
        <v>404</v>
      </c>
      <c r="B5" s="280">
        <f aca="true" t="shared" si="0" ref="B5:B13">F5+J5+N5+R5</f>
        <v>3050443</v>
      </c>
      <c r="C5" s="232">
        <f>B5/B$3</f>
        <v>0.6297047856600092</v>
      </c>
      <c r="D5" s="283"/>
      <c r="E5" s="276" t="s">
        <v>404</v>
      </c>
      <c r="F5" s="48">
        <v>369447</v>
      </c>
      <c r="G5" s="232">
        <f>F5/F$3</f>
        <v>0.6999435417866562</v>
      </c>
      <c r="H5" s="23"/>
      <c r="I5" s="276" t="s">
        <v>404</v>
      </c>
      <c r="J5" s="48">
        <v>286020</v>
      </c>
      <c r="K5" s="232">
        <f>J5/J$3</f>
        <v>0.6931566472951817</v>
      </c>
      <c r="L5" s="23"/>
      <c r="M5" s="276" t="s">
        <v>404</v>
      </c>
      <c r="N5" s="48">
        <v>905469</v>
      </c>
      <c r="O5" s="232">
        <f>N5/N$3</f>
        <v>0.6232968887781379</v>
      </c>
      <c r="P5" s="23"/>
      <c r="Q5" s="276" t="s">
        <v>404</v>
      </c>
      <c r="R5" s="48">
        <v>1489507</v>
      </c>
      <c r="S5" s="232">
        <f>R5/R$3</f>
        <v>0.6076951510275487</v>
      </c>
      <c r="U5" s="19" t="s">
        <v>0</v>
      </c>
      <c r="V5" s="51">
        <f>F5</f>
        <v>369447</v>
      </c>
      <c r="W5" s="66">
        <f>G5</f>
        <v>0.6999435417866562</v>
      </c>
      <c r="X5" s="51">
        <f>J6</f>
        <v>14952</v>
      </c>
      <c r="Y5" s="66">
        <f>K6</f>
        <v>0.036235501679454434</v>
      </c>
      <c r="Z5" s="51">
        <f>SUM(J7:J8)</f>
        <v>30630</v>
      </c>
      <c r="AA5" s="66">
        <f>SUM(K7:K8)</f>
        <v>0.07423043181124192</v>
      </c>
      <c r="AB5" s="51">
        <f>SUM(J9:J11)</f>
        <v>29428</v>
      </c>
      <c r="AC5" s="66">
        <f>SUM(K9:K11)</f>
        <v>0.07131743869870151</v>
      </c>
      <c r="AD5" s="51">
        <f>J12</f>
        <v>51511</v>
      </c>
      <c r="AE5" s="66">
        <f>K12</f>
        <v>0.12483459918474968</v>
      </c>
      <c r="AF5" s="51">
        <f>J13</f>
        <v>93</v>
      </c>
      <c r="AG5" s="66">
        <f>K13</f>
        <v>0.0002253813306707639</v>
      </c>
      <c r="AH5" s="51">
        <f>V5+X5+Z5+AB5+AD5+AF5</f>
        <v>496061</v>
      </c>
      <c r="AI5" s="66">
        <f>AH5/AH$9</f>
        <v>0.10240217098935789</v>
      </c>
    </row>
    <row r="6" spans="1:35" ht="12.75">
      <c r="A6" s="276" t="s">
        <v>405</v>
      </c>
      <c r="B6" s="280">
        <f t="shared" si="0"/>
        <v>155416</v>
      </c>
      <c r="C6" s="232">
        <f aca="true" t="shared" si="1" ref="C6:C13">B6/B$3</f>
        <v>0.032082618481360244</v>
      </c>
      <c r="E6" s="276" t="s">
        <v>405</v>
      </c>
      <c r="F6" s="48">
        <v>12418</v>
      </c>
      <c r="G6" s="232">
        <f aca="true" t="shared" si="2" ref="G6:G13">F6/F$3</f>
        <v>0.023526781654490892</v>
      </c>
      <c r="H6" s="23"/>
      <c r="I6" s="276" t="s">
        <v>405</v>
      </c>
      <c r="J6" s="48">
        <v>14952</v>
      </c>
      <c r="K6" s="232">
        <f aca="true" t="shared" si="3" ref="K6:K13">J6/J$3</f>
        <v>0.036235501679454434</v>
      </c>
      <c r="L6" s="23"/>
      <c r="M6" s="276" t="s">
        <v>405</v>
      </c>
      <c r="N6" s="48">
        <v>51152</v>
      </c>
      <c r="O6" s="232">
        <f aca="true" t="shared" si="4" ref="O6:O13">N6/N$3</f>
        <v>0.035211456664755295</v>
      </c>
      <c r="P6" s="23"/>
      <c r="Q6" s="276" t="s">
        <v>405</v>
      </c>
      <c r="R6" s="48">
        <v>76894</v>
      </c>
      <c r="S6" s="232">
        <f aca="true" t="shared" si="5" ref="S6:S13">R6/R$3</f>
        <v>0.03137152825942566</v>
      </c>
      <c r="U6" s="19" t="s">
        <v>1</v>
      </c>
      <c r="V6" s="51">
        <f>J5</f>
        <v>286020</v>
      </c>
      <c r="W6" s="66">
        <f>K5</f>
        <v>0.6931566472951817</v>
      </c>
      <c r="X6" s="51">
        <f>F6</f>
        <v>12418</v>
      </c>
      <c r="Y6" s="66">
        <f>G6</f>
        <v>0.023526781654490892</v>
      </c>
      <c r="Z6" s="51">
        <f>SUM(F7:F8)</f>
        <v>38104</v>
      </c>
      <c r="AA6" s="66">
        <f>SUM(G7:G8)</f>
        <v>0.07219073024341446</v>
      </c>
      <c r="AB6" s="51">
        <f>SUM(F9:F11)</f>
        <v>38130</v>
      </c>
      <c r="AC6" s="66">
        <f>SUM(G9:G11)</f>
        <v>0.07223998908727151</v>
      </c>
      <c r="AD6" s="51">
        <f>F12</f>
        <v>68642</v>
      </c>
      <c r="AE6" s="66">
        <f>G12</f>
        <v>0.13004713692442935</v>
      </c>
      <c r="AF6" s="51">
        <f>F13</f>
        <v>1083</v>
      </c>
      <c r="AG6" s="66">
        <f>G13</f>
        <v>0.0020518203037376095</v>
      </c>
      <c r="AH6" s="51">
        <f>V6+X6+Z6+AB6+AD6+AF6</f>
        <v>444397</v>
      </c>
      <c r="AI6" s="66">
        <f>AH6/AH$9</f>
        <v>0.09173714035402436</v>
      </c>
    </row>
    <row r="7" spans="1:35" ht="12.75">
      <c r="A7" s="276" t="s">
        <v>406</v>
      </c>
      <c r="B7" s="280">
        <f t="shared" si="0"/>
        <v>182751</v>
      </c>
      <c r="C7" s="232">
        <f t="shared" si="1"/>
        <v>0.03772539899422882</v>
      </c>
      <c r="E7" s="276" t="s">
        <v>406</v>
      </c>
      <c r="F7" s="48">
        <v>17273</v>
      </c>
      <c r="G7" s="232">
        <f t="shared" si="2"/>
        <v>0.03272492345933493</v>
      </c>
      <c r="H7" s="23"/>
      <c r="I7" s="276" t="s">
        <v>406</v>
      </c>
      <c r="J7" s="48">
        <v>13829</v>
      </c>
      <c r="K7" s="232">
        <f t="shared" si="3"/>
        <v>0.03351396152522575</v>
      </c>
      <c r="L7" s="23"/>
      <c r="M7" s="276" t="s">
        <v>406</v>
      </c>
      <c r="N7" s="48">
        <v>54707</v>
      </c>
      <c r="O7" s="232">
        <f t="shared" si="4"/>
        <v>0.03765860884733281</v>
      </c>
      <c r="P7" s="23"/>
      <c r="Q7" s="276" t="s">
        <v>406</v>
      </c>
      <c r="R7" s="48">
        <v>96942</v>
      </c>
      <c r="S7" s="232">
        <f t="shared" si="5"/>
        <v>0.03955079320265875</v>
      </c>
      <c r="U7" s="19" t="s">
        <v>2</v>
      </c>
      <c r="V7" s="51">
        <f>N5</f>
        <v>905469</v>
      </c>
      <c r="W7" s="66">
        <f>O5</f>
        <v>0.6232968887781379</v>
      </c>
      <c r="X7" s="51">
        <f>N6</f>
        <v>51152</v>
      </c>
      <c r="Y7" s="66">
        <f>O6</f>
        <v>0.035211456664755295</v>
      </c>
      <c r="Z7" s="51">
        <f>SUM(N7:N8)</f>
        <v>121751</v>
      </c>
      <c r="AA7" s="66">
        <f>SUM(O7:O8)</f>
        <v>0.08380962739268498</v>
      </c>
      <c r="AB7" s="51">
        <f>SUM(N9:N11)</f>
        <v>221005</v>
      </c>
      <c r="AC7" s="66">
        <f>SUM(O9:O11)</f>
        <v>0.15213301493967477</v>
      </c>
      <c r="AD7" s="51">
        <f>N12</f>
        <v>150492</v>
      </c>
      <c r="AE7" s="66">
        <f>O12</f>
        <v>0.10359404395512109</v>
      </c>
      <c r="AF7" s="51">
        <f>N13</f>
        <v>2840</v>
      </c>
      <c r="AG7" s="66">
        <f>O13</f>
        <v>0.0019549682696259198</v>
      </c>
      <c r="AH7" s="51">
        <f>V7+X7+Z7+AB7+AD7+AF7</f>
        <v>1452709</v>
      </c>
      <c r="AI7" s="66">
        <f>AH7/AH$9</f>
        <v>0.2998835937833837</v>
      </c>
    </row>
    <row r="8" spans="1:35" ht="12.75">
      <c r="A8" s="276" t="s">
        <v>407</v>
      </c>
      <c r="B8" s="280">
        <f t="shared" si="0"/>
        <v>215073</v>
      </c>
      <c r="C8" s="232">
        <f t="shared" si="1"/>
        <v>0.044397648920584704</v>
      </c>
      <c r="E8" s="276" t="s">
        <v>407</v>
      </c>
      <c r="F8" s="48">
        <v>20831</v>
      </c>
      <c r="G8" s="232">
        <f t="shared" si="2"/>
        <v>0.03946580678407954</v>
      </c>
      <c r="H8" s="23"/>
      <c r="I8" s="276" t="s">
        <v>407</v>
      </c>
      <c r="J8" s="48">
        <v>16801</v>
      </c>
      <c r="K8" s="232">
        <f t="shared" si="3"/>
        <v>0.04071647028601618</v>
      </c>
      <c r="L8" s="23"/>
      <c r="M8" s="276" t="s">
        <v>407</v>
      </c>
      <c r="N8" s="48">
        <v>67044</v>
      </c>
      <c r="O8" s="232">
        <f t="shared" si="4"/>
        <v>0.04615101854535217</v>
      </c>
      <c r="P8" s="23"/>
      <c r="Q8" s="276" t="s">
        <v>407</v>
      </c>
      <c r="R8" s="48">
        <v>110397</v>
      </c>
      <c r="S8" s="232">
        <f t="shared" si="5"/>
        <v>0.04504021907113447</v>
      </c>
      <c r="U8" s="19" t="s">
        <v>3</v>
      </c>
      <c r="V8" s="51">
        <f>R5</f>
        <v>1489507</v>
      </c>
      <c r="W8" s="66">
        <f>S5</f>
        <v>0.6076951510275487</v>
      </c>
      <c r="X8" s="51">
        <f>R6</f>
        <v>76894</v>
      </c>
      <c r="Y8" s="66">
        <f>S6</f>
        <v>0.03137152825942566</v>
      </c>
      <c r="Z8" s="51">
        <f>SUM(R7:R8)</f>
        <v>207339</v>
      </c>
      <c r="AA8" s="66">
        <f>SUM(S7:S8)</f>
        <v>0.08459101227379323</v>
      </c>
      <c r="AB8" s="51">
        <f>SUM(R9:R11)</f>
        <v>480177</v>
      </c>
      <c r="AC8" s="66">
        <f>SUM(S9:S11)</f>
        <v>0.1959045741543714</v>
      </c>
      <c r="AD8" s="51">
        <f>R12</f>
        <v>191257</v>
      </c>
      <c r="AE8" s="66">
        <f>S12</f>
        <v>0.07802981221308519</v>
      </c>
      <c r="AF8" s="51">
        <f>R13</f>
        <v>5902</v>
      </c>
      <c r="AG8" s="66">
        <f>S13</f>
        <v>0.0024079220717758243</v>
      </c>
      <c r="AH8" s="51">
        <f>V8+X8+Z8+AB8+AD8+AF8</f>
        <v>2451076</v>
      </c>
      <c r="AI8" s="66">
        <f>AH8/AH$9</f>
        <v>0.5059770948732341</v>
      </c>
    </row>
    <row r="9" spans="1:35" ht="12.75">
      <c r="A9" s="276" t="s">
        <v>408</v>
      </c>
      <c r="B9" s="280">
        <f t="shared" si="0"/>
        <v>225400</v>
      </c>
      <c r="C9" s="232">
        <f t="shared" si="1"/>
        <v>0.04652945775015828</v>
      </c>
      <c r="E9" s="276" t="s">
        <v>408</v>
      </c>
      <c r="F9" s="48">
        <v>11744</v>
      </c>
      <c r="G9" s="232">
        <f t="shared" si="2"/>
        <v>0.022249840856042924</v>
      </c>
      <c r="H9" s="23"/>
      <c r="I9" s="276" t="s">
        <v>408</v>
      </c>
      <c r="J9" s="48">
        <v>11902</v>
      </c>
      <c r="K9" s="232">
        <f t="shared" si="3"/>
        <v>0.028843963415520778</v>
      </c>
      <c r="L9" s="23"/>
      <c r="M9" s="276" t="s">
        <v>408</v>
      </c>
      <c r="N9" s="48">
        <v>75482</v>
      </c>
      <c r="O9" s="232">
        <f t="shared" si="4"/>
        <v>0.05195947708729002</v>
      </c>
      <c r="P9" s="23"/>
      <c r="Q9" s="276" t="s">
        <v>408</v>
      </c>
      <c r="R9" s="48">
        <v>126272</v>
      </c>
      <c r="S9" s="232">
        <f t="shared" si="5"/>
        <v>0.05151696642617365</v>
      </c>
      <c r="U9" s="215" t="s">
        <v>284</v>
      </c>
      <c r="V9" s="51">
        <f>SUM(V5:V8)</f>
        <v>3050443</v>
      </c>
      <c r="W9" s="66">
        <f>V9/$AH9</f>
        <v>0.6297047856600092</v>
      </c>
      <c r="X9" s="51">
        <f>SUM(X5:X8)</f>
        <v>155416</v>
      </c>
      <c r="Y9" s="66">
        <f>X9/$AH9</f>
        <v>0.032082618481360244</v>
      </c>
      <c r="Z9" s="51">
        <f>SUM(Z5:Z8)</f>
        <v>397824</v>
      </c>
      <c r="AA9" s="66">
        <f>SUM(AA5:AA8)</f>
        <v>0.3148218017211346</v>
      </c>
      <c r="AB9" s="51">
        <f>SUM(AB5:AB8)</f>
        <v>768740</v>
      </c>
      <c r="AC9" s="66">
        <f>AB9/$AH9</f>
        <v>0.1586914611839249</v>
      </c>
      <c r="AD9" s="51">
        <f>SUM(AD5:AD8)</f>
        <v>461902</v>
      </c>
      <c r="AE9" s="66">
        <f>AD9/$AH9</f>
        <v>0.09535070804664424</v>
      </c>
      <c r="AF9" s="51">
        <f>SUM(AF5:AF8)</f>
        <v>9918</v>
      </c>
      <c r="AG9" s="66">
        <f>AF9/$AH9</f>
        <v>0.0020473787132478695</v>
      </c>
      <c r="AH9" s="51">
        <f>V9+X9+Z9+AB9+AD9+AF9</f>
        <v>4844243</v>
      </c>
      <c r="AI9" s="66">
        <f>AH9/AH$9</f>
        <v>1</v>
      </c>
    </row>
    <row r="10" spans="1:19" ht="12.75">
      <c r="A10" s="276" t="s">
        <v>409</v>
      </c>
      <c r="B10" s="280">
        <f t="shared" si="0"/>
        <v>228545</v>
      </c>
      <c r="C10" s="232">
        <f t="shared" si="1"/>
        <v>0.04717868199427651</v>
      </c>
      <c r="E10" s="276" t="s">
        <v>409</v>
      </c>
      <c r="F10" s="48">
        <v>11408</v>
      </c>
      <c r="G10" s="232">
        <f t="shared" si="2"/>
        <v>0.021613265027736518</v>
      </c>
      <c r="H10" s="23"/>
      <c r="I10" s="276" t="s">
        <v>409</v>
      </c>
      <c r="J10" s="48">
        <v>7141</v>
      </c>
      <c r="K10" s="232">
        <f t="shared" si="3"/>
        <v>0.017305893358278764</v>
      </c>
      <c r="L10" s="23"/>
      <c r="M10" s="276" t="s">
        <v>409</v>
      </c>
      <c r="N10" s="48">
        <v>52760</v>
      </c>
      <c r="O10" s="232">
        <f t="shared" si="4"/>
        <v>0.03631835419206462</v>
      </c>
      <c r="P10" s="23"/>
      <c r="Q10" s="276" t="s">
        <v>409</v>
      </c>
      <c r="R10" s="48">
        <v>157236</v>
      </c>
      <c r="S10" s="232">
        <f t="shared" si="5"/>
        <v>0.06414978564516155</v>
      </c>
    </row>
    <row r="11" spans="1:19" ht="12.75">
      <c r="A11" s="276" t="s">
        <v>410</v>
      </c>
      <c r="B11" s="280">
        <f t="shared" si="0"/>
        <v>314795</v>
      </c>
      <c r="C11" s="232">
        <f t="shared" si="1"/>
        <v>0.06498332143949014</v>
      </c>
      <c r="E11" s="276" t="s">
        <v>410</v>
      </c>
      <c r="F11" s="48">
        <v>14978</v>
      </c>
      <c r="G11" s="232">
        <f t="shared" si="2"/>
        <v>0.028376883203492072</v>
      </c>
      <c r="H11" s="23"/>
      <c r="I11" s="276" t="s">
        <v>410</v>
      </c>
      <c r="J11" s="48">
        <v>10385</v>
      </c>
      <c r="K11" s="232">
        <f t="shared" si="3"/>
        <v>0.025167581924901972</v>
      </c>
      <c r="L11" s="23"/>
      <c r="M11" s="276" t="s">
        <v>410</v>
      </c>
      <c r="N11" s="48">
        <v>92763</v>
      </c>
      <c r="O11" s="232">
        <f t="shared" si="4"/>
        <v>0.06385518366032013</v>
      </c>
      <c r="P11" s="23"/>
      <c r="Q11" s="276" t="s">
        <v>410</v>
      </c>
      <c r="R11" s="48">
        <v>196669</v>
      </c>
      <c r="S11" s="232">
        <f t="shared" si="5"/>
        <v>0.08023782208303619</v>
      </c>
    </row>
    <row r="12" spans="1:35" ht="12.75">
      <c r="A12" s="276" t="s">
        <v>411</v>
      </c>
      <c r="B12" s="280">
        <f t="shared" si="0"/>
        <v>461902</v>
      </c>
      <c r="C12" s="232">
        <f t="shared" si="1"/>
        <v>0.09535070804664424</v>
      </c>
      <c r="E12" s="276" t="s">
        <v>411</v>
      </c>
      <c r="F12" s="48">
        <v>68642</v>
      </c>
      <c r="G12" s="232">
        <f t="shared" si="2"/>
        <v>0.13004713692442935</v>
      </c>
      <c r="H12" s="23"/>
      <c r="I12" s="276" t="s">
        <v>411</v>
      </c>
      <c r="J12" s="48">
        <v>51511</v>
      </c>
      <c r="K12" s="232">
        <f t="shared" si="3"/>
        <v>0.12483459918474968</v>
      </c>
      <c r="L12" s="23"/>
      <c r="M12" s="276" t="s">
        <v>411</v>
      </c>
      <c r="N12" s="48">
        <v>150492</v>
      </c>
      <c r="O12" s="232">
        <f t="shared" si="4"/>
        <v>0.10359404395512109</v>
      </c>
      <c r="P12" s="23"/>
      <c r="Q12" s="276" t="s">
        <v>411</v>
      </c>
      <c r="R12" s="48">
        <v>191257</v>
      </c>
      <c r="S12" s="232">
        <f t="shared" si="5"/>
        <v>0.07802981221308519</v>
      </c>
      <c r="U12"/>
      <c r="V12"/>
      <c r="W12"/>
      <c r="X12"/>
      <c r="Y12"/>
      <c r="Z12"/>
      <c r="AA12"/>
      <c r="AB12"/>
      <c r="AC12"/>
      <c r="AD12"/>
      <c r="AE12"/>
      <c r="AF12"/>
      <c r="AG12"/>
      <c r="AH12"/>
      <c r="AI12"/>
    </row>
    <row r="13" spans="1:35" ht="12.75">
      <c r="A13" s="276" t="s">
        <v>412</v>
      </c>
      <c r="B13" s="280">
        <f t="shared" si="0"/>
        <v>9918</v>
      </c>
      <c r="C13" s="232">
        <f t="shared" si="1"/>
        <v>0.0020473787132478695</v>
      </c>
      <c r="E13" s="276" t="s">
        <v>412</v>
      </c>
      <c r="F13" s="48">
        <v>1083</v>
      </c>
      <c r="G13" s="232">
        <f t="shared" si="2"/>
        <v>0.0020518203037376095</v>
      </c>
      <c r="H13" s="23"/>
      <c r="I13" s="276" t="s">
        <v>412</v>
      </c>
      <c r="J13" s="47">
        <v>93</v>
      </c>
      <c r="K13" s="232">
        <f t="shared" si="3"/>
        <v>0.0002253813306707639</v>
      </c>
      <c r="L13" s="23"/>
      <c r="M13" s="276" t="s">
        <v>412</v>
      </c>
      <c r="N13" s="48">
        <v>2840</v>
      </c>
      <c r="O13" s="232">
        <f t="shared" si="4"/>
        <v>0.0019549682696259198</v>
      </c>
      <c r="P13" s="23"/>
      <c r="Q13" s="276" t="s">
        <v>412</v>
      </c>
      <c r="R13" s="48">
        <v>5902</v>
      </c>
      <c r="S13" s="232">
        <f t="shared" si="5"/>
        <v>0.0024079220717758243</v>
      </c>
      <c r="U13"/>
      <c r="V13"/>
      <c r="W13"/>
      <c r="X13"/>
      <c r="Y13"/>
      <c r="Z13"/>
      <c r="AA13"/>
      <c r="AB13"/>
      <c r="AC13"/>
      <c r="AD13"/>
      <c r="AE13"/>
      <c r="AF13"/>
      <c r="AG13"/>
      <c r="AH13"/>
      <c r="AI13"/>
    </row>
    <row r="14" spans="1:35" ht="12.75">
      <c r="A14" s="276"/>
      <c r="B14" s="276"/>
      <c r="C14" s="24"/>
      <c r="E14" s="276"/>
      <c r="F14" s="276"/>
      <c r="G14" s="24"/>
      <c r="H14" s="23"/>
      <c r="I14" s="276"/>
      <c r="J14" s="276"/>
      <c r="K14" s="24"/>
      <c r="L14" s="23"/>
      <c r="M14" s="276"/>
      <c r="N14" s="276"/>
      <c r="O14" s="24"/>
      <c r="P14" s="23"/>
      <c r="Q14" s="276"/>
      <c r="R14" s="276"/>
      <c r="S14" s="24"/>
      <c r="U14"/>
      <c r="V14"/>
      <c r="W14"/>
      <c r="X14"/>
      <c r="Y14"/>
      <c r="Z14"/>
      <c r="AA14"/>
      <c r="AB14"/>
      <c r="AC14"/>
      <c r="AD14"/>
      <c r="AE14"/>
      <c r="AF14"/>
      <c r="AG14"/>
      <c r="AH14"/>
      <c r="AI14"/>
    </row>
    <row r="15" spans="1:35" ht="12.75">
      <c r="A15" s="282" t="s">
        <v>413</v>
      </c>
      <c r="B15" s="284">
        <f>SUM(B16:B24)</f>
        <v>4844243</v>
      </c>
      <c r="C15" s="24"/>
      <c r="E15" s="282" t="s">
        <v>413</v>
      </c>
      <c r="F15" s="282"/>
      <c r="G15" s="24"/>
      <c r="H15" s="23"/>
      <c r="I15" s="282" t="s">
        <v>413</v>
      </c>
      <c r="J15" s="282"/>
      <c r="K15" s="24"/>
      <c r="L15" s="23"/>
      <c r="M15" s="282" t="s">
        <v>413</v>
      </c>
      <c r="N15" s="282"/>
      <c r="O15" s="24"/>
      <c r="P15" s="23"/>
      <c r="Q15" s="282" t="s">
        <v>413</v>
      </c>
      <c r="R15" s="282"/>
      <c r="S15" s="24"/>
      <c r="U15"/>
      <c r="V15"/>
      <c r="W15"/>
      <c r="X15"/>
      <c r="Y15"/>
      <c r="Z15"/>
      <c r="AA15"/>
      <c r="AB15"/>
      <c r="AC15"/>
      <c r="AD15"/>
      <c r="AE15"/>
      <c r="AF15"/>
      <c r="AG15"/>
      <c r="AH15"/>
      <c r="AI15"/>
    </row>
    <row r="16" spans="1:35" ht="12.75">
      <c r="A16" s="276" t="s">
        <v>414</v>
      </c>
      <c r="B16" s="280">
        <f aca="true" t="shared" si="6" ref="B16:B24">F16+J16+N16+R16</f>
        <v>111001</v>
      </c>
      <c r="C16" s="232">
        <f>B16/B$3</f>
        <v>0.022914003281833715</v>
      </c>
      <c r="E16" s="276" t="s">
        <v>414</v>
      </c>
      <c r="F16" s="48">
        <v>9114</v>
      </c>
      <c r="G16" s="232">
        <f>F16/F$3</f>
        <v>0.01726711934281124</v>
      </c>
      <c r="H16" s="23"/>
      <c r="I16" s="276" t="s">
        <v>414</v>
      </c>
      <c r="J16" s="48">
        <v>4063</v>
      </c>
      <c r="K16" s="232">
        <f>J16/J$3</f>
        <v>0.00984649834962703</v>
      </c>
      <c r="L16" s="23"/>
      <c r="M16" s="276" t="s">
        <v>414</v>
      </c>
      <c r="N16" s="48">
        <v>29192</v>
      </c>
      <c r="O16" s="232">
        <f>N16/N$3</f>
        <v>0.020094871030605577</v>
      </c>
      <c r="P16" s="23"/>
      <c r="Q16" s="276" t="s">
        <v>414</v>
      </c>
      <c r="R16" s="48">
        <v>68632</v>
      </c>
      <c r="S16" s="232">
        <f>R16/R$3</f>
        <v>0.028000763746207788</v>
      </c>
      <c r="U16"/>
      <c r="V16"/>
      <c r="W16"/>
      <c r="X16"/>
      <c r="Y16"/>
      <c r="Z16"/>
      <c r="AA16"/>
      <c r="AB16"/>
      <c r="AC16"/>
      <c r="AD16"/>
      <c r="AE16"/>
      <c r="AF16"/>
      <c r="AG16"/>
      <c r="AH16"/>
      <c r="AI16"/>
    </row>
    <row r="17" spans="1:35" ht="12.75">
      <c r="A17" s="276" t="s">
        <v>415</v>
      </c>
      <c r="B17" s="280">
        <f t="shared" si="6"/>
        <v>469055</v>
      </c>
      <c r="C17" s="232">
        <f aca="true" t="shared" si="7" ref="C17:C24">B17/B$3</f>
        <v>0.09682730614463395</v>
      </c>
      <c r="E17" s="276" t="s">
        <v>415</v>
      </c>
      <c r="F17" s="48">
        <v>67691</v>
      </c>
      <c r="G17" s="232">
        <f aca="true" t="shared" si="8" ref="G17:G24">F17/F$3</f>
        <v>0.1282453999818121</v>
      </c>
      <c r="H17" s="23"/>
      <c r="I17" s="276" t="s">
        <v>415</v>
      </c>
      <c r="J17" s="48">
        <v>31148</v>
      </c>
      <c r="K17" s="232">
        <f aca="true" t="shared" si="9" ref="K17:K24">J17/J$3</f>
        <v>0.0754857815885264</v>
      </c>
      <c r="L17" s="23"/>
      <c r="M17" s="276" t="s">
        <v>415</v>
      </c>
      <c r="N17" s="48">
        <v>143073</v>
      </c>
      <c r="O17" s="232">
        <f aca="true" t="shared" si="10" ref="O17:O24">N17/N$3</f>
        <v>0.09848703353527788</v>
      </c>
      <c r="P17" s="23"/>
      <c r="Q17" s="276" t="s">
        <v>415</v>
      </c>
      <c r="R17" s="48">
        <v>227143</v>
      </c>
      <c r="S17" s="232">
        <f aca="true" t="shared" si="11" ref="S17:S24">R17/R$3</f>
        <v>0.09267072910019926</v>
      </c>
      <c r="U17"/>
      <c r="V17"/>
      <c r="W17"/>
      <c r="X17"/>
      <c r="Y17"/>
      <c r="Z17"/>
      <c r="AA17"/>
      <c r="AB17"/>
      <c r="AC17"/>
      <c r="AD17"/>
      <c r="AE17"/>
      <c r="AF17"/>
      <c r="AG17"/>
      <c r="AH17"/>
      <c r="AI17"/>
    </row>
    <row r="18" spans="1:35" ht="12.75">
      <c r="A18" s="276" t="s">
        <v>416</v>
      </c>
      <c r="B18" s="280">
        <f t="shared" si="6"/>
        <v>462986</v>
      </c>
      <c r="C18" s="232">
        <f t="shared" si="7"/>
        <v>0.0955744788194977</v>
      </c>
      <c r="E18" s="276" t="s">
        <v>416</v>
      </c>
      <c r="F18" s="48">
        <v>45735</v>
      </c>
      <c r="G18" s="232">
        <f t="shared" si="8"/>
        <v>0.08664820091545666</v>
      </c>
      <c r="H18" s="23"/>
      <c r="I18" s="276" t="s">
        <v>416</v>
      </c>
      <c r="J18" s="48">
        <v>33725</v>
      </c>
      <c r="K18" s="232">
        <f t="shared" si="9"/>
        <v>0.08173102555775821</v>
      </c>
      <c r="L18" s="23"/>
      <c r="M18" s="276" t="s">
        <v>416</v>
      </c>
      <c r="N18" s="48">
        <v>130653</v>
      </c>
      <c r="O18" s="232">
        <f t="shared" si="10"/>
        <v>0.0899374892012096</v>
      </c>
      <c r="P18" s="23"/>
      <c r="Q18" s="276" t="s">
        <v>416</v>
      </c>
      <c r="R18" s="48">
        <v>252873</v>
      </c>
      <c r="S18" s="232">
        <f t="shared" si="11"/>
        <v>0.10316815961642968</v>
      </c>
      <c r="U18"/>
      <c r="V18"/>
      <c r="W18"/>
      <c r="X18"/>
      <c r="Y18"/>
      <c r="Z18"/>
      <c r="AA18"/>
      <c r="AB18"/>
      <c r="AC18"/>
      <c r="AD18"/>
      <c r="AE18"/>
      <c r="AF18"/>
      <c r="AG18"/>
      <c r="AH18"/>
      <c r="AI18"/>
    </row>
    <row r="19" spans="1:35" ht="12.75">
      <c r="A19" s="276" t="s">
        <v>417</v>
      </c>
      <c r="B19" s="280">
        <f t="shared" si="6"/>
        <v>678810</v>
      </c>
      <c r="C19" s="232">
        <f t="shared" si="7"/>
        <v>0.1401271571223822</v>
      </c>
      <c r="E19" s="276" t="s">
        <v>417</v>
      </c>
      <c r="F19" s="48">
        <v>63247</v>
      </c>
      <c r="G19" s="232">
        <f t="shared" si="8"/>
        <v>0.11982592682409288</v>
      </c>
      <c r="H19" s="23"/>
      <c r="I19" s="276" t="s">
        <v>417</v>
      </c>
      <c r="J19" s="48">
        <v>52294</v>
      </c>
      <c r="K19" s="232">
        <f t="shared" si="9"/>
        <v>0.1267321645816874</v>
      </c>
      <c r="L19" s="23"/>
      <c r="M19" s="276" t="s">
        <v>417</v>
      </c>
      <c r="N19" s="48">
        <v>176103</v>
      </c>
      <c r="O19" s="232">
        <f t="shared" si="10"/>
        <v>0.12122386520631455</v>
      </c>
      <c r="P19" s="23"/>
      <c r="Q19" s="276" t="s">
        <v>417</v>
      </c>
      <c r="R19" s="48">
        <v>387166</v>
      </c>
      <c r="S19" s="232">
        <f t="shared" si="11"/>
        <v>0.15795756639125022</v>
      </c>
      <c r="U19"/>
      <c r="V19"/>
      <c r="W19"/>
      <c r="X19"/>
      <c r="Y19"/>
      <c r="Z19"/>
      <c r="AA19"/>
      <c r="AB19"/>
      <c r="AC19"/>
      <c r="AD19"/>
      <c r="AE19"/>
      <c r="AF19"/>
      <c r="AG19"/>
      <c r="AH19"/>
      <c r="AI19"/>
    </row>
    <row r="20" spans="1:35" ht="12.75">
      <c r="A20" s="276" t="s">
        <v>418</v>
      </c>
      <c r="B20" s="280">
        <f t="shared" si="6"/>
        <v>1045983</v>
      </c>
      <c r="C20" s="232">
        <f t="shared" si="7"/>
        <v>0.21592290064722186</v>
      </c>
      <c r="E20" s="276" t="s">
        <v>418</v>
      </c>
      <c r="F20" s="48">
        <v>125945</v>
      </c>
      <c r="G20" s="232">
        <f t="shared" si="8"/>
        <v>0.23861173421443513</v>
      </c>
      <c r="H20" s="23"/>
      <c r="I20" s="276" t="s">
        <v>418</v>
      </c>
      <c r="J20" s="48">
        <v>86091</v>
      </c>
      <c r="K20" s="232">
        <f t="shared" si="9"/>
        <v>0.2086376789115778</v>
      </c>
      <c r="L20" s="23"/>
      <c r="M20" s="276" t="s">
        <v>418</v>
      </c>
      <c r="N20" s="48">
        <v>340078</v>
      </c>
      <c r="O20" s="232">
        <f t="shared" si="10"/>
        <v>0.2340991898583956</v>
      </c>
      <c r="P20" s="23"/>
      <c r="Q20" s="276" t="s">
        <v>418</v>
      </c>
      <c r="R20" s="48">
        <v>493869</v>
      </c>
      <c r="S20" s="232">
        <f t="shared" si="11"/>
        <v>0.20149069225107666</v>
      </c>
      <c r="U20"/>
      <c r="V20"/>
      <c r="W20"/>
      <c r="X20"/>
      <c r="Y20"/>
      <c r="Z20"/>
      <c r="AA20"/>
      <c r="AB20"/>
      <c r="AC20"/>
      <c r="AD20"/>
      <c r="AE20"/>
      <c r="AF20"/>
      <c r="AG20"/>
      <c r="AH20"/>
      <c r="AI20"/>
    </row>
    <row r="21" spans="1:35" ht="12.75">
      <c r="A21" s="276" t="s">
        <v>419</v>
      </c>
      <c r="B21" s="280">
        <f t="shared" si="6"/>
        <v>562052</v>
      </c>
      <c r="C21" s="232">
        <f t="shared" si="7"/>
        <v>0.11602473286331838</v>
      </c>
      <c r="E21" s="276" t="s">
        <v>419</v>
      </c>
      <c r="F21" s="48">
        <v>56637</v>
      </c>
      <c r="G21" s="232">
        <f t="shared" si="8"/>
        <v>0.10730281305889842</v>
      </c>
      <c r="H21" s="23"/>
      <c r="I21" s="276" t="s">
        <v>419</v>
      </c>
      <c r="J21" s="48">
        <v>48960</v>
      </c>
      <c r="K21" s="232">
        <f t="shared" si="9"/>
        <v>0.11865236504989894</v>
      </c>
      <c r="L21" s="23"/>
      <c r="M21" s="276" t="s">
        <v>419</v>
      </c>
      <c r="N21" s="48">
        <v>164082</v>
      </c>
      <c r="O21" s="232">
        <f t="shared" si="10"/>
        <v>0.11294898014674652</v>
      </c>
      <c r="P21" s="23"/>
      <c r="Q21" s="276" t="s">
        <v>419</v>
      </c>
      <c r="R21" s="48">
        <v>292373</v>
      </c>
      <c r="S21" s="232">
        <f t="shared" si="11"/>
        <v>0.11928353098802322</v>
      </c>
      <c r="U21"/>
      <c r="V21"/>
      <c r="W21"/>
      <c r="X21"/>
      <c r="Y21"/>
      <c r="Z21"/>
      <c r="AA21"/>
      <c r="AB21"/>
      <c r="AC21"/>
      <c r="AD21"/>
      <c r="AE21"/>
      <c r="AF21"/>
      <c r="AG21"/>
      <c r="AH21"/>
      <c r="AI21"/>
    </row>
    <row r="22" spans="1:35" ht="12.75">
      <c r="A22" s="276" t="s">
        <v>420</v>
      </c>
      <c r="B22" s="280">
        <f t="shared" si="6"/>
        <v>489736</v>
      </c>
      <c r="C22" s="232">
        <f t="shared" si="7"/>
        <v>0.10109649743004222</v>
      </c>
      <c r="E22" s="276" t="s">
        <v>420</v>
      </c>
      <c r="F22" s="48">
        <v>56107</v>
      </c>
      <c r="G22" s="232">
        <f t="shared" si="8"/>
        <v>0.10629869047258177</v>
      </c>
      <c r="H22" s="23"/>
      <c r="I22" s="276" t="s">
        <v>420</v>
      </c>
      <c r="J22" s="48">
        <v>49736</v>
      </c>
      <c r="K22" s="232">
        <f t="shared" si="9"/>
        <v>0.12053296626065714</v>
      </c>
      <c r="L22" s="23"/>
      <c r="M22" s="276" t="s">
        <v>420</v>
      </c>
      <c r="N22" s="48">
        <v>144308</v>
      </c>
      <c r="O22" s="232">
        <f t="shared" si="10"/>
        <v>0.09933716938492156</v>
      </c>
      <c r="P22" s="23"/>
      <c r="Q22" s="276" t="s">
        <v>420</v>
      </c>
      <c r="R22" s="48">
        <v>239585</v>
      </c>
      <c r="S22" s="232">
        <f t="shared" si="11"/>
        <v>0.09774686709020855</v>
      </c>
      <c r="U22"/>
      <c r="V22"/>
      <c r="W22"/>
      <c r="X22"/>
      <c r="Y22"/>
      <c r="Z22"/>
      <c r="AA22"/>
      <c r="AB22"/>
      <c r="AC22"/>
      <c r="AD22"/>
      <c r="AE22"/>
      <c r="AF22"/>
      <c r="AG22"/>
      <c r="AH22"/>
      <c r="AI22"/>
    </row>
    <row r="23" spans="1:35" ht="12.75">
      <c r="A23" s="276" t="s">
        <v>421</v>
      </c>
      <c r="B23" s="280">
        <f t="shared" si="6"/>
        <v>353279</v>
      </c>
      <c r="C23" s="232">
        <f t="shared" si="7"/>
        <v>0.07292759673699276</v>
      </c>
      <c r="E23" s="276" t="s">
        <v>421</v>
      </c>
      <c r="F23" s="48">
        <v>32528</v>
      </c>
      <c r="G23" s="232">
        <f t="shared" si="8"/>
        <v>0.06162660280699627</v>
      </c>
      <c r="H23" s="23"/>
      <c r="I23" s="276" t="s">
        <v>421</v>
      </c>
      <c r="J23" s="48">
        <v>34574</v>
      </c>
      <c r="K23" s="232">
        <f t="shared" si="9"/>
        <v>0.08378853899581712</v>
      </c>
      <c r="L23" s="23"/>
      <c r="M23" s="276" t="s">
        <v>421</v>
      </c>
      <c r="N23" s="48">
        <v>101750</v>
      </c>
      <c r="O23" s="232">
        <f t="shared" si="10"/>
        <v>0.07004155684311174</v>
      </c>
      <c r="P23" s="23"/>
      <c r="Q23" s="276" t="s">
        <v>421</v>
      </c>
      <c r="R23" s="48">
        <v>184427</v>
      </c>
      <c r="S23" s="232">
        <f t="shared" si="11"/>
        <v>0.07524328091009826</v>
      </c>
      <c r="U23"/>
      <c r="V23"/>
      <c r="W23"/>
      <c r="X23"/>
      <c r="Y23"/>
      <c r="Z23"/>
      <c r="AA23"/>
      <c r="AB23"/>
      <c r="AC23"/>
      <c r="AD23"/>
      <c r="AE23"/>
      <c r="AF23"/>
      <c r="AG23"/>
      <c r="AH23"/>
      <c r="AI23"/>
    </row>
    <row r="24" spans="1:35" ht="12.75">
      <c r="A24" s="276" t="s">
        <v>422</v>
      </c>
      <c r="B24" s="280">
        <f t="shared" si="6"/>
        <v>671341</v>
      </c>
      <c r="C24" s="232">
        <f t="shared" si="7"/>
        <v>0.13858532695407724</v>
      </c>
      <c r="E24" s="276" t="s">
        <v>422</v>
      </c>
      <c r="F24" s="48">
        <v>70820</v>
      </c>
      <c r="G24" s="232">
        <f t="shared" si="8"/>
        <v>0.13417351238291553</v>
      </c>
      <c r="H24" s="23"/>
      <c r="I24" s="276" t="s">
        <v>422</v>
      </c>
      <c r="J24" s="48">
        <v>72043</v>
      </c>
      <c r="K24" s="232">
        <f t="shared" si="9"/>
        <v>0.17459298070444995</v>
      </c>
      <c r="L24" s="23"/>
      <c r="M24" s="276" t="s">
        <v>422</v>
      </c>
      <c r="N24" s="48">
        <v>223470</v>
      </c>
      <c r="O24" s="232">
        <f t="shared" si="10"/>
        <v>0.153829844793417</v>
      </c>
      <c r="P24" s="23"/>
      <c r="Q24" s="276" t="s">
        <v>422</v>
      </c>
      <c r="R24" s="48">
        <v>305008</v>
      </c>
      <c r="S24" s="232">
        <f t="shared" si="11"/>
        <v>0.12443840990650637</v>
      </c>
      <c r="U24"/>
      <c r="V24"/>
      <c r="W24"/>
      <c r="X24"/>
      <c r="Y24"/>
      <c r="Z24"/>
      <c r="AA24"/>
      <c r="AB24"/>
      <c r="AC24"/>
      <c r="AD24"/>
      <c r="AE24"/>
      <c r="AF24"/>
      <c r="AG24"/>
      <c r="AH24"/>
      <c r="AI24"/>
    </row>
    <row r="25" spans="1:35" ht="12.75">
      <c r="A25" s="276"/>
      <c r="B25" s="276"/>
      <c r="C25" s="24"/>
      <c r="E25" s="276"/>
      <c r="F25" s="276"/>
      <c r="G25" s="24"/>
      <c r="H25" s="23"/>
      <c r="I25" s="276"/>
      <c r="J25" s="276"/>
      <c r="K25" s="24"/>
      <c r="L25" s="23"/>
      <c r="M25" s="276"/>
      <c r="N25" s="276"/>
      <c r="O25" s="24"/>
      <c r="P25" s="23"/>
      <c r="Q25" s="276"/>
      <c r="R25" s="276"/>
      <c r="S25" s="24"/>
      <c r="U25"/>
      <c r="V25"/>
      <c r="W25"/>
      <c r="X25"/>
      <c r="Y25"/>
      <c r="Z25"/>
      <c r="AA25"/>
      <c r="AB25"/>
      <c r="AC25"/>
      <c r="AD25"/>
      <c r="AE25"/>
      <c r="AF25"/>
      <c r="AG25"/>
      <c r="AH25"/>
      <c r="AI25"/>
    </row>
    <row r="26" spans="1:19" ht="12.75">
      <c r="A26" s="282" t="s">
        <v>423</v>
      </c>
      <c r="B26" s="282"/>
      <c r="C26" s="24"/>
      <c r="E26" s="282" t="s">
        <v>423</v>
      </c>
      <c r="F26" s="282"/>
      <c r="G26" s="24"/>
      <c r="H26" s="23"/>
      <c r="I26" s="282" t="s">
        <v>423</v>
      </c>
      <c r="J26" s="282"/>
      <c r="K26" s="24"/>
      <c r="L26" s="23"/>
      <c r="M26" s="282" t="s">
        <v>423</v>
      </c>
      <c r="N26" s="282"/>
      <c r="O26" s="24"/>
      <c r="P26" s="23"/>
      <c r="Q26" s="282" t="s">
        <v>423</v>
      </c>
      <c r="R26" s="282"/>
      <c r="S26" s="24"/>
    </row>
    <row r="27" spans="1:19" ht="12.75">
      <c r="A27" s="276" t="s">
        <v>424</v>
      </c>
      <c r="B27" s="280">
        <f aca="true" t="shared" si="12" ref="B27:B35">F27+J27+N27+R27</f>
        <v>96552</v>
      </c>
      <c r="C27" s="232">
        <f>B27/B$3</f>
        <v>0.01993128750973062</v>
      </c>
      <c r="E27" s="276" t="s">
        <v>424</v>
      </c>
      <c r="F27" s="48">
        <v>7723</v>
      </c>
      <c r="G27" s="232">
        <f>F27/F$3</f>
        <v>0.014631771196459425</v>
      </c>
      <c r="H27" s="23"/>
      <c r="I27" s="276" t="s">
        <v>424</v>
      </c>
      <c r="J27" s="48">
        <v>6584</v>
      </c>
      <c r="K27" s="232">
        <f>J27/J$3</f>
        <v>0.015956028829422684</v>
      </c>
      <c r="L27" s="23"/>
      <c r="M27" s="276" t="s">
        <v>424</v>
      </c>
      <c r="N27" s="48">
        <v>28404</v>
      </c>
      <c r="O27" s="232">
        <f>N27/N$3</f>
        <v>0.019552436172695288</v>
      </c>
      <c r="P27" s="23"/>
      <c r="Q27" s="276" t="s">
        <v>424</v>
      </c>
      <c r="R27" s="48">
        <v>53841</v>
      </c>
      <c r="S27" s="232">
        <f>R27/R$3</f>
        <v>0.021966271139695383</v>
      </c>
    </row>
    <row r="28" spans="1:19" ht="12.75">
      <c r="A28" s="276" t="s">
        <v>425</v>
      </c>
      <c r="B28" s="280">
        <f t="shared" si="12"/>
        <v>228526</v>
      </c>
      <c r="C28" s="232">
        <f aca="true" t="shared" si="13" ref="C28:C35">B28/B$3</f>
        <v>0.0471747598128335</v>
      </c>
      <c r="E28" s="276" t="s">
        <v>425</v>
      </c>
      <c r="F28" s="48">
        <v>19621</v>
      </c>
      <c r="G28" s="232">
        <f aca="true" t="shared" si="14" ref="G28:G35">F28/F$3</f>
        <v>0.03717337597380945</v>
      </c>
      <c r="H28" s="23"/>
      <c r="I28" s="276" t="s">
        <v>425</v>
      </c>
      <c r="J28" s="48">
        <v>15354</v>
      </c>
      <c r="K28" s="232">
        <f aca="true" t="shared" si="15" ref="K28:K35">J28/J$3</f>
        <v>0.037209730657192575</v>
      </c>
      <c r="L28" s="23"/>
      <c r="M28" s="276" t="s">
        <v>425</v>
      </c>
      <c r="N28" s="48">
        <v>52370</v>
      </c>
      <c r="O28" s="232">
        <f aca="true" t="shared" si="16" ref="O28:O35">N28/N$3</f>
        <v>0.036049890239545565</v>
      </c>
      <c r="P28" s="23"/>
      <c r="Q28" s="276" t="s">
        <v>425</v>
      </c>
      <c r="R28" s="48">
        <v>141181</v>
      </c>
      <c r="S28" s="232">
        <f aca="true" t="shared" si="17" ref="S28:S35">R28/R$3</f>
        <v>0.05759960115475816</v>
      </c>
    </row>
    <row r="29" spans="1:19" ht="12.75">
      <c r="A29" s="276" t="s">
        <v>426</v>
      </c>
      <c r="B29" s="280">
        <f t="shared" si="12"/>
        <v>489582</v>
      </c>
      <c r="C29" s="232">
        <f t="shared" si="13"/>
        <v>0.10106470711729366</v>
      </c>
      <c r="E29" s="276" t="s">
        <v>426</v>
      </c>
      <c r="F29" s="48">
        <v>42807</v>
      </c>
      <c r="G29" s="232">
        <f t="shared" si="14"/>
        <v>0.08110089726878657</v>
      </c>
      <c r="H29" s="23"/>
      <c r="I29" s="276" t="s">
        <v>426</v>
      </c>
      <c r="J29" s="48">
        <v>38858</v>
      </c>
      <c r="K29" s="232">
        <f t="shared" si="15"/>
        <v>0.09417062093768327</v>
      </c>
      <c r="L29" s="23"/>
      <c r="M29" s="276" t="s">
        <v>426</v>
      </c>
      <c r="N29" s="48">
        <v>139606</v>
      </c>
      <c r="O29" s="232">
        <f t="shared" si="16"/>
        <v>0.09610045783429441</v>
      </c>
      <c r="P29" s="23"/>
      <c r="Q29" s="276" t="s">
        <v>426</v>
      </c>
      <c r="R29" s="48">
        <v>268311</v>
      </c>
      <c r="S29" s="232">
        <f t="shared" si="17"/>
        <v>0.10946661792616794</v>
      </c>
    </row>
    <row r="30" spans="1:19" ht="12.75">
      <c r="A30" s="276" t="s">
        <v>427</v>
      </c>
      <c r="B30" s="280">
        <f t="shared" si="12"/>
        <v>899460</v>
      </c>
      <c r="C30" s="232">
        <f t="shared" si="13"/>
        <v>0.18567606951178955</v>
      </c>
      <c r="E30" s="276" t="s">
        <v>427</v>
      </c>
      <c r="F30" s="48">
        <v>101813</v>
      </c>
      <c r="G30" s="232">
        <f t="shared" si="14"/>
        <v>0.19289194883142866</v>
      </c>
      <c r="H30" s="23"/>
      <c r="I30" s="276" t="s">
        <v>427</v>
      </c>
      <c r="J30" s="48">
        <v>75433</v>
      </c>
      <c r="K30" s="232">
        <f t="shared" si="15"/>
        <v>0.18280849372567456</v>
      </c>
      <c r="L30" s="23"/>
      <c r="M30" s="276" t="s">
        <v>427</v>
      </c>
      <c r="N30" s="48">
        <v>284334</v>
      </c>
      <c r="O30" s="232">
        <f t="shared" si="16"/>
        <v>0.19572674224500572</v>
      </c>
      <c r="P30" s="23"/>
      <c r="Q30" s="276" t="s">
        <v>427</v>
      </c>
      <c r="R30" s="48">
        <v>437880</v>
      </c>
      <c r="S30" s="232">
        <f t="shared" si="17"/>
        <v>0.17864807129603488</v>
      </c>
    </row>
    <row r="31" spans="1:19" ht="12.75">
      <c r="A31" s="276" t="s">
        <v>428</v>
      </c>
      <c r="B31" s="280">
        <f t="shared" si="12"/>
        <v>979826</v>
      </c>
      <c r="C31" s="232">
        <f t="shared" si="13"/>
        <v>0.20226607129328567</v>
      </c>
      <c r="E31" s="276" t="s">
        <v>428</v>
      </c>
      <c r="F31" s="48">
        <v>109357</v>
      </c>
      <c r="G31" s="232">
        <f t="shared" si="14"/>
        <v>0.20718459183364152</v>
      </c>
      <c r="H31" s="23"/>
      <c r="I31" s="276" t="s">
        <v>428</v>
      </c>
      <c r="J31" s="48">
        <v>87836</v>
      </c>
      <c r="K31" s="232">
        <f t="shared" si="15"/>
        <v>0.21286660818061526</v>
      </c>
      <c r="L31" s="23"/>
      <c r="M31" s="276" t="s">
        <v>428</v>
      </c>
      <c r="N31" s="48">
        <v>320299</v>
      </c>
      <c r="O31" s="232">
        <f t="shared" si="16"/>
        <v>0.2204839372510255</v>
      </c>
      <c r="P31" s="23"/>
      <c r="Q31" s="276" t="s">
        <v>428</v>
      </c>
      <c r="R31" s="48">
        <v>462334</v>
      </c>
      <c r="S31" s="232">
        <f t="shared" si="17"/>
        <v>0.18862491411935003</v>
      </c>
    </row>
    <row r="32" spans="1:19" ht="12.75">
      <c r="A32" s="276" t="s">
        <v>429</v>
      </c>
      <c r="B32" s="280">
        <f t="shared" si="12"/>
        <v>809477</v>
      </c>
      <c r="C32" s="232">
        <f t="shared" si="13"/>
        <v>0.16710082462832687</v>
      </c>
      <c r="E32" s="276" t="s">
        <v>429</v>
      </c>
      <c r="F32" s="48">
        <v>83722</v>
      </c>
      <c r="G32" s="232">
        <f t="shared" si="14"/>
        <v>0.15861726636151444</v>
      </c>
      <c r="H32" s="23"/>
      <c r="I32" s="276" t="s">
        <v>429</v>
      </c>
      <c r="J32" s="48">
        <v>67217</v>
      </c>
      <c r="K32" s="232">
        <f t="shared" si="15"/>
        <v>0.16289738606125526</v>
      </c>
      <c r="L32" s="23"/>
      <c r="M32" s="276" t="s">
        <v>429</v>
      </c>
      <c r="N32" s="48">
        <v>274122</v>
      </c>
      <c r="O32" s="232">
        <f t="shared" si="16"/>
        <v>0.18869711690366067</v>
      </c>
      <c r="P32" s="23"/>
      <c r="Q32" s="276" t="s">
        <v>429</v>
      </c>
      <c r="R32" s="48">
        <v>384416</v>
      </c>
      <c r="S32" s="232">
        <f t="shared" si="17"/>
        <v>0.156835610156519</v>
      </c>
    </row>
    <row r="33" spans="1:19" ht="12.75">
      <c r="A33" s="276" t="s">
        <v>430</v>
      </c>
      <c r="B33" s="280">
        <f t="shared" si="12"/>
        <v>566478</v>
      </c>
      <c r="C33" s="232">
        <f t="shared" si="13"/>
        <v>0.11693839470893595</v>
      </c>
      <c r="E33" s="276" t="s">
        <v>430</v>
      </c>
      <c r="F33" s="48">
        <v>56091</v>
      </c>
      <c r="G33" s="232">
        <f t="shared" si="14"/>
        <v>0.10626837733790051</v>
      </c>
      <c r="H33" s="23"/>
      <c r="I33" s="276" t="s">
        <v>430</v>
      </c>
      <c r="J33" s="48">
        <v>43956</v>
      </c>
      <c r="K33" s="232">
        <f t="shared" si="15"/>
        <v>0.10652539538671074</v>
      </c>
      <c r="L33" s="23"/>
      <c r="M33" s="276" t="s">
        <v>430</v>
      </c>
      <c r="N33" s="48">
        <v>163223</v>
      </c>
      <c r="O33" s="232">
        <f t="shared" si="16"/>
        <v>0.11235767108209559</v>
      </c>
      <c r="P33" s="23"/>
      <c r="Q33" s="276" t="s">
        <v>430</v>
      </c>
      <c r="R33" s="48">
        <v>303208</v>
      </c>
      <c r="S33" s="232">
        <f t="shared" si="17"/>
        <v>0.12370403855286413</v>
      </c>
    </row>
    <row r="34" spans="1:19" ht="12.75">
      <c r="A34" s="276" t="s">
        <v>431</v>
      </c>
      <c r="B34" s="280">
        <f t="shared" si="12"/>
        <v>360669</v>
      </c>
      <c r="C34" s="232">
        <f t="shared" si="13"/>
        <v>0.07445311888771888</v>
      </c>
      <c r="E34" s="276" t="s">
        <v>431</v>
      </c>
      <c r="F34" s="48">
        <v>47320</v>
      </c>
      <c r="G34" s="232">
        <f t="shared" si="14"/>
        <v>0.08965109581981873</v>
      </c>
      <c r="H34" s="23"/>
      <c r="I34" s="276" t="s">
        <v>431</v>
      </c>
      <c r="J34" s="48">
        <v>34189</v>
      </c>
      <c r="K34" s="232">
        <f t="shared" si="15"/>
        <v>0.08285550875594352</v>
      </c>
      <c r="L34" s="23"/>
      <c r="M34" s="276" t="s">
        <v>431</v>
      </c>
      <c r="N34" s="48">
        <v>92173</v>
      </c>
      <c r="O34" s="232">
        <f t="shared" si="16"/>
        <v>0.06344904588599644</v>
      </c>
      <c r="P34" s="23"/>
      <c r="Q34" s="276" t="s">
        <v>431</v>
      </c>
      <c r="R34" s="48">
        <v>186987</v>
      </c>
      <c r="S34" s="232">
        <f t="shared" si="17"/>
        <v>0.07628772016861167</v>
      </c>
    </row>
    <row r="35" spans="1:19" ht="12.75">
      <c r="A35" s="276" t="s">
        <v>432</v>
      </c>
      <c r="B35" s="280">
        <f t="shared" si="12"/>
        <v>413673</v>
      </c>
      <c r="C35" s="232">
        <f t="shared" si="13"/>
        <v>0.0853947665300853</v>
      </c>
      <c r="E35" s="276" t="s">
        <v>432</v>
      </c>
      <c r="F35" s="48">
        <v>59370</v>
      </c>
      <c r="G35" s="232">
        <f t="shared" si="14"/>
        <v>0.11248067537664069</v>
      </c>
      <c r="H35" s="23"/>
      <c r="I35" s="276" t="s">
        <v>432</v>
      </c>
      <c r="J35" s="48">
        <v>43207</v>
      </c>
      <c r="K35" s="232">
        <f t="shared" si="15"/>
        <v>0.10471022746550211</v>
      </c>
      <c r="L35" s="23"/>
      <c r="M35" s="276" t="s">
        <v>432</v>
      </c>
      <c r="N35" s="48">
        <v>98178</v>
      </c>
      <c r="O35" s="232">
        <f t="shared" si="16"/>
        <v>0.06758270238568082</v>
      </c>
      <c r="P35" s="23"/>
      <c r="Q35" s="276" t="s">
        <v>432</v>
      </c>
      <c r="R35" s="48">
        <v>212918</v>
      </c>
      <c r="S35" s="232">
        <f t="shared" si="17"/>
        <v>0.0868671554859988</v>
      </c>
    </row>
    <row r="36" spans="1:19" ht="12.75">
      <c r="A36" s="276" t="s">
        <v>433</v>
      </c>
      <c r="B36" s="47">
        <v>5.2</v>
      </c>
      <c r="C36" s="24"/>
      <c r="E36" s="276" t="s">
        <v>433</v>
      </c>
      <c r="F36" s="47">
        <v>5.3</v>
      </c>
      <c r="G36" s="24"/>
      <c r="H36" s="23"/>
      <c r="I36" s="276" t="s">
        <v>433</v>
      </c>
      <c r="J36" s="47">
        <v>5.3</v>
      </c>
      <c r="K36" s="24"/>
      <c r="L36" s="23"/>
      <c r="M36" s="276" t="s">
        <v>433</v>
      </c>
      <c r="N36" s="47">
        <v>5.2</v>
      </c>
      <c r="O36" s="24"/>
      <c r="P36" s="23"/>
      <c r="Q36" s="276" t="s">
        <v>433</v>
      </c>
      <c r="R36" s="47">
        <v>5.2</v>
      </c>
      <c r="S36" s="24"/>
    </row>
    <row r="37" spans="1:19" ht="12.75">
      <c r="A37" s="276"/>
      <c r="B37" s="276"/>
      <c r="C37" s="24"/>
      <c r="E37" s="276"/>
      <c r="F37" s="276"/>
      <c r="G37" s="24"/>
      <c r="H37" s="23"/>
      <c r="I37" s="276"/>
      <c r="J37" s="276"/>
      <c r="K37" s="24"/>
      <c r="L37" s="23"/>
      <c r="M37" s="276"/>
      <c r="N37" s="276"/>
      <c r="O37" s="24"/>
      <c r="P37" s="23"/>
      <c r="Q37" s="276"/>
      <c r="R37" s="276"/>
      <c r="S37" s="24"/>
    </row>
    <row r="38" spans="1:19" ht="12.75">
      <c r="A38" s="279" t="s">
        <v>434</v>
      </c>
      <c r="B38" s="280">
        <f>F38+J38+N38+R38</f>
        <v>4477755</v>
      </c>
      <c r="C38" s="286">
        <f>B38/B$38</f>
        <v>1</v>
      </c>
      <c r="E38" s="279" t="s">
        <v>434</v>
      </c>
      <c r="F38" s="280">
        <v>468236</v>
      </c>
      <c r="G38" s="286">
        <f>F38/F$38</f>
        <v>1</v>
      </c>
      <c r="H38" s="23"/>
      <c r="I38" s="279" t="s">
        <v>434</v>
      </c>
      <c r="J38" s="280">
        <v>360066</v>
      </c>
      <c r="K38" s="286">
        <f>J38/J$38</f>
        <v>1</v>
      </c>
      <c r="L38" s="23"/>
      <c r="M38" s="279" t="s">
        <v>434</v>
      </c>
      <c r="N38" s="280">
        <v>1374153</v>
      </c>
      <c r="O38" s="286">
        <f>N38/N$38</f>
        <v>1</v>
      </c>
      <c r="P38" s="23"/>
      <c r="Q38" s="279" t="s">
        <v>434</v>
      </c>
      <c r="R38" s="280">
        <v>2275300</v>
      </c>
      <c r="S38" s="286">
        <f>R38/R$38</f>
        <v>1</v>
      </c>
    </row>
    <row r="39" spans="1:19" ht="25.5">
      <c r="A39" s="282" t="s">
        <v>435</v>
      </c>
      <c r="B39" s="282"/>
      <c r="C39" s="24"/>
      <c r="E39" s="282" t="s">
        <v>435</v>
      </c>
      <c r="F39" s="282"/>
      <c r="G39" s="24"/>
      <c r="H39" s="23"/>
      <c r="I39" s="282" t="s">
        <v>435</v>
      </c>
      <c r="J39" s="282"/>
      <c r="K39" s="24"/>
      <c r="L39" s="23"/>
      <c r="M39" s="282" t="s">
        <v>435</v>
      </c>
      <c r="N39" s="282"/>
      <c r="O39" s="24"/>
      <c r="P39" s="23"/>
      <c r="Q39" s="282" t="s">
        <v>435</v>
      </c>
      <c r="R39" s="282"/>
      <c r="S39" s="24"/>
    </row>
    <row r="40" spans="1:19" ht="12.75">
      <c r="A40" s="276">
        <v>2000</v>
      </c>
      <c r="B40" s="280">
        <f aca="true" t="shared" si="18" ref="B40:B45">F40+J40+N40+R40</f>
        <v>489192</v>
      </c>
      <c r="C40" s="286">
        <f aca="true" t="shared" si="19" ref="C40:C45">B40/B$38</f>
        <v>0.10924938948200605</v>
      </c>
      <c r="E40" s="276">
        <v>2000</v>
      </c>
      <c r="F40" s="48">
        <v>39209</v>
      </c>
      <c r="G40" s="286">
        <f aca="true" t="shared" si="20" ref="G40:G45">F40/F$38</f>
        <v>0.08373768783263141</v>
      </c>
      <c r="H40" s="23"/>
      <c r="I40" s="276">
        <v>2000</v>
      </c>
      <c r="J40" s="48">
        <v>28498</v>
      </c>
      <c r="K40" s="286">
        <f aca="true" t="shared" si="21" ref="K40:K45">J40/J$38</f>
        <v>0.07914660090094594</v>
      </c>
      <c r="L40" s="23"/>
      <c r="M40" s="276">
        <v>2000</v>
      </c>
      <c r="N40" s="48">
        <v>156762</v>
      </c>
      <c r="O40" s="286">
        <f aca="true" t="shared" si="22" ref="O40:O45">N40/N$38</f>
        <v>0.11407899993668827</v>
      </c>
      <c r="P40" s="23"/>
      <c r="Q40" s="276">
        <v>2000</v>
      </c>
      <c r="R40" s="48">
        <v>264723</v>
      </c>
      <c r="S40" s="286">
        <f aca="true" t="shared" si="23" ref="S40:S45">R40/R$38</f>
        <v>0.1163464158572496</v>
      </c>
    </row>
    <row r="41" spans="1:19" ht="12.75">
      <c r="A41" s="276" t="s">
        <v>436</v>
      </c>
      <c r="B41" s="280">
        <f t="shared" si="18"/>
        <v>1994016</v>
      </c>
      <c r="C41" s="286">
        <f t="shared" si="19"/>
        <v>0.4453160121534117</v>
      </c>
      <c r="E41" s="276" t="s">
        <v>436</v>
      </c>
      <c r="F41" s="48">
        <v>206416</v>
      </c>
      <c r="G41" s="286">
        <f t="shared" si="20"/>
        <v>0.4408375263755884</v>
      </c>
      <c r="H41" s="23"/>
      <c r="I41" s="276" t="s">
        <v>436</v>
      </c>
      <c r="J41" s="48">
        <v>142017</v>
      </c>
      <c r="K41" s="286">
        <f t="shared" si="21"/>
        <v>0.39441935645131726</v>
      </c>
      <c r="L41" s="23"/>
      <c r="M41" s="276" t="s">
        <v>436</v>
      </c>
      <c r="N41" s="48">
        <v>626277</v>
      </c>
      <c r="O41" s="286">
        <f t="shared" si="22"/>
        <v>0.45575492685312335</v>
      </c>
      <c r="P41" s="23"/>
      <c r="Q41" s="276" t="s">
        <v>436</v>
      </c>
      <c r="R41" s="48">
        <v>1019306</v>
      </c>
      <c r="S41" s="286">
        <f t="shared" si="23"/>
        <v>0.44798751812947746</v>
      </c>
    </row>
    <row r="42" spans="1:19" ht="12.75">
      <c r="A42" s="276" t="s">
        <v>416</v>
      </c>
      <c r="B42" s="280">
        <f t="shared" si="18"/>
        <v>713052</v>
      </c>
      <c r="C42" s="286">
        <f t="shared" si="19"/>
        <v>0.15924319218000985</v>
      </c>
      <c r="E42" s="276" t="s">
        <v>416</v>
      </c>
      <c r="F42" s="48">
        <v>72975</v>
      </c>
      <c r="G42" s="286">
        <f t="shared" si="20"/>
        <v>0.15585089570216729</v>
      </c>
      <c r="H42" s="23"/>
      <c r="I42" s="276" t="s">
        <v>416</v>
      </c>
      <c r="J42" s="48">
        <v>61118</v>
      </c>
      <c r="K42" s="286">
        <f t="shared" si="21"/>
        <v>0.1697411030200019</v>
      </c>
      <c r="L42" s="23"/>
      <c r="M42" s="276" t="s">
        <v>416</v>
      </c>
      <c r="N42" s="48">
        <v>217439</v>
      </c>
      <c r="O42" s="286">
        <f t="shared" si="22"/>
        <v>0.1582349272606471</v>
      </c>
      <c r="P42" s="23"/>
      <c r="Q42" s="276" t="s">
        <v>416</v>
      </c>
      <c r="R42" s="48">
        <v>361520</v>
      </c>
      <c r="S42" s="286">
        <f t="shared" si="23"/>
        <v>0.15888893772249812</v>
      </c>
    </row>
    <row r="43" spans="1:19" ht="12.75">
      <c r="A43" s="276" t="s">
        <v>417</v>
      </c>
      <c r="B43" s="280">
        <f t="shared" si="18"/>
        <v>634443</v>
      </c>
      <c r="C43" s="286">
        <f t="shared" si="19"/>
        <v>0.1416877430766087</v>
      </c>
      <c r="E43" s="276" t="s">
        <v>417</v>
      </c>
      <c r="F43" s="48">
        <v>70582</v>
      </c>
      <c r="G43" s="286">
        <f t="shared" si="20"/>
        <v>0.15074022501473616</v>
      </c>
      <c r="H43" s="23"/>
      <c r="I43" s="276" t="s">
        <v>417</v>
      </c>
      <c r="J43" s="48">
        <v>61712</v>
      </c>
      <c r="K43" s="286">
        <f t="shared" si="21"/>
        <v>0.17139080057545006</v>
      </c>
      <c r="L43" s="23"/>
      <c r="M43" s="276" t="s">
        <v>417</v>
      </c>
      <c r="N43" s="48">
        <v>182012</v>
      </c>
      <c r="O43" s="286">
        <f t="shared" si="22"/>
        <v>0.1324539552728117</v>
      </c>
      <c r="P43" s="23"/>
      <c r="Q43" s="276" t="s">
        <v>417</v>
      </c>
      <c r="R43" s="48">
        <v>320137</v>
      </c>
      <c r="S43" s="286">
        <f t="shared" si="23"/>
        <v>0.1407010064606865</v>
      </c>
    </row>
    <row r="44" spans="1:19" ht="12.75">
      <c r="A44" s="276" t="s">
        <v>418</v>
      </c>
      <c r="B44" s="280">
        <f t="shared" si="18"/>
        <v>376167</v>
      </c>
      <c r="C44" s="286">
        <f t="shared" si="19"/>
        <v>0.08400794594612702</v>
      </c>
      <c r="E44" s="276" t="s">
        <v>418</v>
      </c>
      <c r="F44" s="48">
        <v>46748</v>
      </c>
      <c r="G44" s="286">
        <f t="shared" si="20"/>
        <v>0.09983854295697042</v>
      </c>
      <c r="H44" s="23"/>
      <c r="I44" s="276" t="s">
        <v>418</v>
      </c>
      <c r="J44" s="48">
        <v>34093</v>
      </c>
      <c r="K44" s="286">
        <f t="shared" si="21"/>
        <v>0.09468541878433398</v>
      </c>
      <c r="L44" s="23"/>
      <c r="M44" s="276" t="s">
        <v>418</v>
      </c>
      <c r="N44" s="48">
        <v>116625</v>
      </c>
      <c r="O44" s="286">
        <f t="shared" si="22"/>
        <v>0.08487046202278785</v>
      </c>
      <c r="P44" s="23"/>
      <c r="Q44" s="276" t="s">
        <v>418</v>
      </c>
      <c r="R44" s="48">
        <v>178701</v>
      </c>
      <c r="S44" s="286">
        <f t="shared" si="23"/>
        <v>0.07853953324836285</v>
      </c>
    </row>
    <row r="45" spans="1:19" ht="12.75">
      <c r="A45" s="276" t="s">
        <v>437</v>
      </c>
      <c r="B45" s="280">
        <f t="shared" si="18"/>
        <v>270885</v>
      </c>
      <c r="C45" s="286">
        <f t="shared" si="19"/>
        <v>0.06049571716183668</v>
      </c>
      <c r="E45" s="276" t="s">
        <v>437</v>
      </c>
      <c r="F45" s="48">
        <v>32306</v>
      </c>
      <c r="G45" s="286">
        <f t="shared" si="20"/>
        <v>0.06899512211790636</v>
      </c>
      <c r="H45" s="23"/>
      <c r="I45" s="276" t="s">
        <v>437</v>
      </c>
      <c r="J45" s="48">
        <v>32628</v>
      </c>
      <c r="K45" s="286">
        <f t="shared" si="21"/>
        <v>0.09061672026795088</v>
      </c>
      <c r="L45" s="23"/>
      <c r="M45" s="276" t="s">
        <v>437</v>
      </c>
      <c r="N45" s="48">
        <v>75038</v>
      </c>
      <c r="O45" s="286">
        <f t="shared" si="22"/>
        <v>0.054606728653941734</v>
      </c>
      <c r="P45" s="23"/>
      <c r="Q45" s="276" t="s">
        <v>437</v>
      </c>
      <c r="R45" s="48">
        <v>130913</v>
      </c>
      <c r="S45" s="286">
        <f t="shared" si="23"/>
        <v>0.05753658858172549</v>
      </c>
    </row>
    <row r="46" spans="1:19" ht="12.75">
      <c r="A46" s="276"/>
      <c r="B46" s="276"/>
      <c r="C46" s="24"/>
      <c r="E46" s="276"/>
      <c r="F46" s="276"/>
      <c r="G46" s="24"/>
      <c r="H46" s="23"/>
      <c r="I46" s="276"/>
      <c r="J46" s="276"/>
      <c r="K46" s="24"/>
      <c r="L46" s="23"/>
      <c r="M46" s="276"/>
      <c r="N46" s="276"/>
      <c r="O46" s="24"/>
      <c r="P46" s="23"/>
      <c r="Q46" s="276"/>
      <c r="R46" s="276"/>
      <c r="S46" s="24"/>
    </row>
    <row r="47" spans="1:19" ht="12.75">
      <c r="A47" s="282" t="s">
        <v>438</v>
      </c>
      <c r="B47" s="282"/>
      <c r="C47" s="24"/>
      <c r="E47" s="282" t="s">
        <v>438</v>
      </c>
      <c r="F47" s="282"/>
      <c r="G47" s="24"/>
      <c r="H47" s="23"/>
      <c r="I47" s="282" t="s">
        <v>438</v>
      </c>
      <c r="J47" s="282"/>
      <c r="K47" s="24"/>
      <c r="L47" s="23"/>
      <c r="M47" s="282" t="s">
        <v>438</v>
      </c>
      <c r="N47" s="282"/>
      <c r="O47" s="24"/>
      <c r="P47" s="23"/>
      <c r="Q47" s="282" t="s">
        <v>438</v>
      </c>
      <c r="R47" s="282"/>
      <c r="S47" s="24"/>
    </row>
    <row r="48" spans="1:19" ht="12.75">
      <c r="A48" s="276" t="s">
        <v>439</v>
      </c>
      <c r="B48" s="280">
        <f>F48+J48+N48+R48</f>
        <v>271804</v>
      </c>
      <c r="C48" s="286">
        <f>B48/B$38</f>
        <v>0.06070095393785502</v>
      </c>
      <c r="E48" s="276" t="s">
        <v>439</v>
      </c>
      <c r="F48" s="48">
        <v>16403</v>
      </c>
      <c r="G48" s="286">
        <f>F48/F$38</f>
        <v>0.03503147985204042</v>
      </c>
      <c r="H48" s="23"/>
      <c r="I48" s="276" t="s">
        <v>439</v>
      </c>
      <c r="J48" s="48">
        <v>19226</v>
      </c>
      <c r="K48" s="286">
        <f>J48/J$38</f>
        <v>0.05339576633172807</v>
      </c>
      <c r="L48" s="23"/>
      <c r="M48" s="276" t="s">
        <v>439</v>
      </c>
      <c r="N48" s="48">
        <v>89635</v>
      </c>
      <c r="O48" s="286">
        <f>N48/N$38</f>
        <v>0.0652292721407296</v>
      </c>
      <c r="P48" s="23"/>
      <c r="Q48" s="276" t="s">
        <v>439</v>
      </c>
      <c r="R48" s="48">
        <v>146540</v>
      </c>
      <c r="S48" s="286">
        <f>R48/R$38</f>
        <v>0.06440469388652045</v>
      </c>
    </row>
    <row r="49" spans="1:19" ht="12.75">
      <c r="A49" s="276">
        <v>1</v>
      </c>
      <c r="B49" s="280">
        <f>F49+J49+N49+R49</f>
        <v>1411219</v>
      </c>
      <c r="C49" s="286">
        <f>B49/B$38</f>
        <v>0.3151621739018772</v>
      </c>
      <c r="E49" s="276">
        <v>1</v>
      </c>
      <c r="F49" s="48">
        <v>127141</v>
      </c>
      <c r="G49" s="286">
        <f>F49/F$38</f>
        <v>0.2715318770876225</v>
      </c>
      <c r="H49" s="23"/>
      <c r="I49" s="276">
        <v>1</v>
      </c>
      <c r="J49" s="48">
        <v>101823</v>
      </c>
      <c r="K49" s="286">
        <f>J49/J$38</f>
        <v>0.2827898218659912</v>
      </c>
      <c r="L49" s="23"/>
      <c r="M49" s="276">
        <v>1</v>
      </c>
      <c r="N49" s="48">
        <v>450620</v>
      </c>
      <c r="O49" s="286">
        <f>N49/N$38</f>
        <v>0.3279256385569875</v>
      </c>
      <c r="P49" s="23"/>
      <c r="Q49" s="276">
        <v>1</v>
      </c>
      <c r="R49" s="48">
        <v>731635</v>
      </c>
      <c r="S49" s="286">
        <f>R49/R$38</f>
        <v>0.32155539928800597</v>
      </c>
    </row>
    <row r="50" spans="1:19" ht="12.75">
      <c r="A50" s="276">
        <v>2</v>
      </c>
      <c r="B50" s="280">
        <f>F50+J50+N50+R50</f>
        <v>1771041</v>
      </c>
      <c r="C50" s="286">
        <f>B50/B$38</f>
        <v>0.39551985314069216</v>
      </c>
      <c r="E50" s="276">
        <v>2</v>
      </c>
      <c r="F50" s="48">
        <v>197153</v>
      </c>
      <c r="G50" s="286">
        <f>F50/F$38</f>
        <v>0.4210547672541197</v>
      </c>
      <c r="H50" s="23"/>
      <c r="I50" s="276">
        <v>2</v>
      </c>
      <c r="J50" s="48">
        <v>146580</v>
      </c>
      <c r="K50" s="286">
        <f>J50/J$38</f>
        <v>0.40709203312726</v>
      </c>
      <c r="L50" s="23"/>
      <c r="M50" s="276">
        <v>2</v>
      </c>
      <c r="N50" s="48">
        <v>533188</v>
      </c>
      <c r="O50" s="286">
        <f>N50/N$38</f>
        <v>0.38801210636661276</v>
      </c>
      <c r="P50" s="23"/>
      <c r="Q50" s="276">
        <v>2</v>
      </c>
      <c r="R50" s="48">
        <v>894120</v>
      </c>
      <c r="S50" s="286">
        <f>R50/R$38</f>
        <v>0.3929679602689755</v>
      </c>
    </row>
    <row r="51" spans="1:19" ht="12.75">
      <c r="A51" s="276" t="s">
        <v>440</v>
      </c>
      <c r="B51" s="280">
        <f>F51+J51+N51+R51</f>
        <v>1023691</v>
      </c>
      <c r="C51" s="286">
        <f>B51/B$38</f>
        <v>0.22861701901957565</v>
      </c>
      <c r="E51" s="276" t="s">
        <v>440</v>
      </c>
      <c r="F51" s="48">
        <v>127539</v>
      </c>
      <c r="G51" s="286">
        <f>F51/F$38</f>
        <v>0.27238187580621737</v>
      </c>
      <c r="H51" s="23"/>
      <c r="I51" s="276" t="s">
        <v>440</v>
      </c>
      <c r="J51" s="48">
        <v>92437</v>
      </c>
      <c r="K51" s="286">
        <f>J51/J$38</f>
        <v>0.2567223786750207</v>
      </c>
      <c r="L51" s="23"/>
      <c r="M51" s="276" t="s">
        <v>440</v>
      </c>
      <c r="N51" s="48">
        <v>300710</v>
      </c>
      <c r="O51" s="286">
        <f>N51/N$38</f>
        <v>0.2188329829356702</v>
      </c>
      <c r="P51" s="23"/>
      <c r="Q51" s="276" t="s">
        <v>440</v>
      </c>
      <c r="R51" s="48">
        <v>503005</v>
      </c>
      <c r="S51" s="286">
        <f>R51/R$38</f>
        <v>0.22107194655649803</v>
      </c>
    </row>
    <row r="52" spans="1:19" ht="12.75">
      <c r="A52" s="276"/>
      <c r="B52" s="276"/>
      <c r="C52" s="24"/>
      <c r="E52" s="276"/>
      <c r="F52" s="276"/>
      <c r="G52" s="24"/>
      <c r="H52" s="23"/>
      <c r="I52" s="276"/>
      <c r="J52" s="276"/>
      <c r="K52" s="24"/>
      <c r="L52" s="23"/>
      <c r="M52" s="276"/>
      <c r="N52" s="276"/>
      <c r="O52" s="24"/>
      <c r="P52" s="23"/>
      <c r="Q52" s="276"/>
      <c r="R52" s="276"/>
      <c r="S52" s="24"/>
    </row>
    <row r="53" spans="1:19" ht="12.75">
      <c r="A53" s="282" t="s">
        <v>441</v>
      </c>
      <c r="B53" s="282"/>
      <c r="C53" s="24"/>
      <c r="E53" s="282" t="s">
        <v>441</v>
      </c>
      <c r="F53" s="282"/>
      <c r="G53" s="24"/>
      <c r="H53" s="23"/>
      <c r="I53" s="282" t="s">
        <v>441</v>
      </c>
      <c r="J53" s="282"/>
      <c r="K53" s="24"/>
      <c r="L53" s="23"/>
      <c r="M53" s="282" t="s">
        <v>441</v>
      </c>
      <c r="N53" s="282"/>
      <c r="O53" s="24"/>
      <c r="P53" s="23"/>
      <c r="Q53" s="282" t="s">
        <v>441</v>
      </c>
      <c r="R53" s="282"/>
      <c r="S53" s="24"/>
    </row>
    <row r="54" spans="1:19" ht="12.75">
      <c r="A54" s="276" t="s">
        <v>442</v>
      </c>
      <c r="B54" s="280">
        <f aca="true" t="shared" si="24" ref="B54:B62">F54+J54+N54+R54</f>
        <v>1640477</v>
      </c>
      <c r="C54" s="286">
        <f aca="true" t="shared" si="25" ref="C54:C62">B54/B$38</f>
        <v>0.3663614914170159</v>
      </c>
      <c r="E54" s="276" t="s">
        <v>442</v>
      </c>
      <c r="F54" s="48">
        <v>204292</v>
      </c>
      <c r="G54" s="286">
        <f aca="true" t="shared" si="26" ref="G54:G62">F54/F$38</f>
        <v>0.4363013523095191</v>
      </c>
      <c r="H54" s="23"/>
      <c r="I54" s="276" t="s">
        <v>442</v>
      </c>
      <c r="J54" s="48">
        <v>199931</v>
      </c>
      <c r="K54" s="286">
        <f aca="true" t="shared" si="27" ref="K54:K62">J54/J$38</f>
        <v>0.5552620908389018</v>
      </c>
      <c r="L54" s="23"/>
      <c r="M54" s="276" t="s">
        <v>442</v>
      </c>
      <c r="N54" s="48">
        <v>541436</v>
      </c>
      <c r="O54" s="286">
        <f aca="true" t="shared" si="28" ref="O54:O62">N54/N$38</f>
        <v>0.39401434920274525</v>
      </c>
      <c r="P54" s="23"/>
      <c r="Q54" s="276" t="s">
        <v>442</v>
      </c>
      <c r="R54" s="48">
        <v>694818</v>
      </c>
      <c r="S54" s="286">
        <f aca="true" t="shared" si="29" ref="S54:S62">R54/R$38</f>
        <v>0.30537423636443545</v>
      </c>
    </row>
    <row r="55" spans="1:19" ht="12.75">
      <c r="A55" s="276" t="s">
        <v>443</v>
      </c>
      <c r="B55" s="280">
        <f t="shared" si="24"/>
        <v>197305</v>
      </c>
      <c r="C55" s="286">
        <f t="shared" si="25"/>
        <v>0.04406337550848584</v>
      </c>
      <c r="E55" s="276" t="s">
        <v>443</v>
      </c>
      <c r="F55" s="48">
        <v>32866</v>
      </c>
      <c r="G55" s="286">
        <f t="shared" si="26"/>
        <v>0.07019110021442179</v>
      </c>
      <c r="H55" s="23"/>
      <c r="I55" s="276" t="s">
        <v>443</v>
      </c>
      <c r="J55" s="48">
        <v>48318</v>
      </c>
      <c r="K55" s="286">
        <f t="shared" si="27"/>
        <v>0.13419206478812218</v>
      </c>
      <c r="L55" s="23"/>
      <c r="M55" s="276" t="s">
        <v>443</v>
      </c>
      <c r="N55" s="48">
        <v>26463</v>
      </c>
      <c r="O55" s="286">
        <f t="shared" si="28"/>
        <v>0.01925768091326075</v>
      </c>
      <c r="P55" s="23"/>
      <c r="Q55" s="276" t="s">
        <v>443</v>
      </c>
      <c r="R55" s="48">
        <v>89658</v>
      </c>
      <c r="S55" s="286">
        <f t="shared" si="29"/>
        <v>0.03940491363776205</v>
      </c>
    </row>
    <row r="56" spans="1:19" ht="12.75">
      <c r="A56" s="276" t="s">
        <v>444</v>
      </c>
      <c r="B56" s="280">
        <f t="shared" si="24"/>
        <v>2085960</v>
      </c>
      <c r="C56" s="286">
        <f t="shared" si="25"/>
        <v>0.4658495161079603</v>
      </c>
      <c r="E56" s="276" t="s">
        <v>444</v>
      </c>
      <c r="F56" s="48">
        <v>152522</v>
      </c>
      <c r="G56" s="286">
        <f t="shared" si="26"/>
        <v>0.3257374486370121</v>
      </c>
      <c r="H56" s="23"/>
      <c r="I56" s="276" t="s">
        <v>444</v>
      </c>
      <c r="J56" s="48">
        <v>59354</v>
      </c>
      <c r="K56" s="286">
        <f t="shared" si="27"/>
        <v>0.16484200118867096</v>
      </c>
      <c r="L56" s="23"/>
      <c r="M56" s="276" t="s">
        <v>444</v>
      </c>
      <c r="N56" s="48">
        <v>624567</v>
      </c>
      <c r="O56" s="286">
        <f t="shared" si="28"/>
        <v>0.4545105239372908</v>
      </c>
      <c r="P56" s="23"/>
      <c r="Q56" s="276" t="s">
        <v>444</v>
      </c>
      <c r="R56" s="48">
        <v>1249517</v>
      </c>
      <c r="S56" s="286">
        <f t="shared" si="29"/>
        <v>0.5491658242869072</v>
      </c>
    </row>
    <row r="57" spans="1:19" ht="12.75">
      <c r="A57" s="276" t="s">
        <v>445</v>
      </c>
      <c r="B57" s="280">
        <f t="shared" si="24"/>
        <v>250207</v>
      </c>
      <c r="C57" s="286">
        <f t="shared" si="25"/>
        <v>0.055877778038325006</v>
      </c>
      <c r="E57" s="276" t="s">
        <v>445</v>
      </c>
      <c r="F57" s="48">
        <v>26937</v>
      </c>
      <c r="G57" s="286">
        <f t="shared" si="26"/>
        <v>0.05752868211756465</v>
      </c>
      <c r="H57" s="23"/>
      <c r="I57" s="276" t="s">
        <v>445</v>
      </c>
      <c r="J57" s="48">
        <v>19355</v>
      </c>
      <c r="K57" s="286">
        <f t="shared" si="27"/>
        <v>0.05375403398265873</v>
      </c>
      <c r="L57" s="23"/>
      <c r="M57" s="276" t="s">
        <v>445</v>
      </c>
      <c r="N57" s="48">
        <v>85548</v>
      </c>
      <c r="O57" s="286">
        <f t="shared" si="28"/>
        <v>0.06225507639978954</v>
      </c>
      <c r="P57" s="23"/>
      <c r="Q57" s="276" t="s">
        <v>445</v>
      </c>
      <c r="R57" s="48">
        <v>118367</v>
      </c>
      <c r="S57" s="286">
        <f t="shared" si="29"/>
        <v>0.05202259042763591</v>
      </c>
    </row>
    <row r="58" spans="1:19" ht="12.75">
      <c r="A58" s="276" t="s">
        <v>446</v>
      </c>
      <c r="B58" s="280">
        <f t="shared" si="24"/>
        <v>2126</v>
      </c>
      <c r="C58" s="286">
        <f t="shared" si="25"/>
        <v>0.000474791497078335</v>
      </c>
      <c r="E58" s="276" t="s">
        <v>446</v>
      </c>
      <c r="F58" s="48">
        <v>1645</v>
      </c>
      <c r="G58" s="286">
        <f t="shared" si="26"/>
        <v>0.0035131856585140825</v>
      </c>
      <c r="H58" s="23"/>
      <c r="I58" s="276" t="s">
        <v>446</v>
      </c>
      <c r="J58" s="47">
        <v>433</v>
      </c>
      <c r="K58" s="286">
        <f t="shared" si="27"/>
        <v>0.0012025573089378058</v>
      </c>
      <c r="L58" s="23"/>
      <c r="M58" s="276" t="s">
        <v>446</v>
      </c>
      <c r="N58" s="47">
        <v>26</v>
      </c>
      <c r="O58" s="286">
        <f t="shared" si="28"/>
        <v>1.8920746088681537E-05</v>
      </c>
      <c r="P58" s="23"/>
      <c r="Q58" s="276" t="s">
        <v>446</v>
      </c>
      <c r="R58" s="47">
        <v>22</v>
      </c>
      <c r="S58" s="286">
        <f t="shared" si="29"/>
        <v>9.66905463015866E-06</v>
      </c>
    </row>
    <row r="59" spans="1:19" ht="12.75">
      <c r="A59" s="276" t="s">
        <v>447</v>
      </c>
      <c r="B59" s="280">
        <f t="shared" si="24"/>
        <v>257096</v>
      </c>
      <c r="C59" s="286">
        <f t="shared" si="25"/>
        <v>0.05741627221676934</v>
      </c>
      <c r="E59" s="276" t="s">
        <v>447</v>
      </c>
      <c r="F59" s="48">
        <v>45458</v>
      </c>
      <c r="G59" s="286">
        <f t="shared" si="26"/>
        <v>0.09708352198464022</v>
      </c>
      <c r="H59" s="23"/>
      <c r="I59" s="276" t="s">
        <v>447</v>
      </c>
      <c r="J59" s="48">
        <v>27758</v>
      </c>
      <c r="K59" s="286">
        <f t="shared" si="27"/>
        <v>0.07709142212816539</v>
      </c>
      <c r="L59" s="23"/>
      <c r="M59" s="276" t="s">
        <v>447</v>
      </c>
      <c r="N59" s="48">
        <v>83383</v>
      </c>
      <c r="O59" s="286">
        <f t="shared" si="28"/>
        <v>0.0606795604274051</v>
      </c>
      <c r="P59" s="23"/>
      <c r="Q59" s="276" t="s">
        <v>447</v>
      </c>
      <c r="R59" s="48">
        <v>100497</v>
      </c>
      <c r="S59" s="286">
        <f t="shared" si="29"/>
        <v>0.04416868105304795</v>
      </c>
    </row>
    <row r="60" spans="1:19" ht="12.75">
      <c r="A60" s="276" t="s">
        <v>448</v>
      </c>
      <c r="B60" s="280">
        <f t="shared" si="24"/>
        <v>909</v>
      </c>
      <c r="C60" s="286">
        <f t="shared" si="25"/>
        <v>0.0002030035140377265</v>
      </c>
      <c r="E60" s="276" t="s">
        <v>448</v>
      </c>
      <c r="F60" s="47">
        <v>53</v>
      </c>
      <c r="G60" s="286">
        <f t="shared" si="26"/>
        <v>0.00011319078413449629</v>
      </c>
      <c r="H60" s="23"/>
      <c r="I60" s="276" t="s">
        <v>448</v>
      </c>
      <c r="J60" s="47">
        <v>78</v>
      </c>
      <c r="K60" s="286">
        <f t="shared" si="27"/>
        <v>0.00021662695172551698</v>
      </c>
      <c r="L60" s="23"/>
      <c r="M60" s="276" t="s">
        <v>448</v>
      </c>
      <c r="N60" s="47">
        <v>229</v>
      </c>
      <c r="O60" s="286">
        <f t="shared" si="28"/>
        <v>0.0001666481097810797</v>
      </c>
      <c r="P60" s="23"/>
      <c r="Q60" s="276" t="s">
        <v>448</v>
      </c>
      <c r="R60" s="47">
        <v>549</v>
      </c>
      <c r="S60" s="286">
        <f t="shared" si="29"/>
        <v>0.0002412868632707775</v>
      </c>
    </row>
    <row r="61" spans="1:19" ht="12.75">
      <c r="A61" s="276" t="s">
        <v>449</v>
      </c>
      <c r="B61" s="280">
        <f t="shared" si="24"/>
        <v>33853</v>
      </c>
      <c r="C61" s="286">
        <f t="shared" si="25"/>
        <v>0.007560261782969368</v>
      </c>
      <c r="E61" s="276" t="s">
        <v>449</v>
      </c>
      <c r="F61" s="48">
        <v>3764</v>
      </c>
      <c r="G61" s="286">
        <f t="shared" si="26"/>
        <v>0.008038681348721585</v>
      </c>
      <c r="H61" s="23"/>
      <c r="I61" s="276" t="s">
        <v>449</v>
      </c>
      <c r="J61" s="48">
        <v>3892</v>
      </c>
      <c r="K61" s="286">
        <f t="shared" si="27"/>
        <v>0.010809129437380924</v>
      </c>
      <c r="L61" s="23"/>
      <c r="M61" s="276" t="s">
        <v>449</v>
      </c>
      <c r="N61" s="48">
        <v>9637</v>
      </c>
      <c r="O61" s="286">
        <f t="shared" si="28"/>
        <v>0.007013047309870153</v>
      </c>
      <c r="P61" s="23"/>
      <c r="Q61" s="276" t="s">
        <v>449</v>
      </c>
      <c r="R61" s="48">
        <v>16560</v>
      </c>
      <c r="S61" s="286">
        <f t="shared" si="29"/>
        <v>0.007278161121610337</v>
      </c>
    </row>
    <row r="62" spans="1:19" ht="12.75">
      <c r="A62" s="276" t="s">
        <v>450</v>
      </c>
      <c r="B62" s="280">
        <f t="shared" si="24"/>
        <v>9822</v>
      </c>
      <c r="C62" s="286">
        <f t="shared" si="25"/>
        <v>0.0021935099173581406</v>
      </c>
      <c r="E62" s="276" t="s">
        <v>450</v>
      </c>
      <c r="F62" s="47">
        <v>699</v>
      </c>
      <c r="G62" s="286">
        <f t="shared" si="26"/>
        <v>0.0014928369454719414</v>
      </c>
      <c r="H62" s="23"/>
      <c r="I62" s="276" t="s">
        <v>450</v>
      </c>
      <c r="J62" s="47">
        <v>947</v>
      </c>
      <c r="K62" s="286">
        <f t="shared" si="27"/>
        <v>0.0026300733754367257</v>
      </c>
      <c r="L62" s="23"/>
      <c r="M62" s="276" t="s">
        <v>450</v>
      </c>
      <c r="N62" s="48">
        <v>2864</v>
      </c>
      <c r="O62" s="286">
        <f t="shared" si="28"/>
        <v>0.002084192953768612</v>
      </c>
      <c r="P62" s="23"/>
      <c r="Q62" s="276" t="s">
        <v>450</v>
      </c>
      <c r="R62" s="48">
        <v>5312</v>
      </c>
      <c r="S62" s="286">
        <f t="shared" si="29"/>
        <v>0.0023346371907001276</v>
      </c>
    </row>
    <row r="63" spans="1:19" ht="12.75">
      <c r="A63" s="276"/>
      <c r="B63" s="276"/>
      <c r="C63" s="24"/>
      <c r="E63" s="276"/>
      <c r="F63" s="276"/>
      <c r="G63" s="24"/>
      <c r="H63" s="23"/>
      <c r="I63" s="276"/>
      <c r="J63" s="276"/>
      <c r="K63" s="24"/>
      <c r="L63" s="23"/>
      <c r="M63" s="276"/>
      <c r="N63" s="276"/>
      <c r="O63" s="24"/>
      <c r="P63" s="23"/>
      <c r="Q63" s="276"/>
      <c r="R63" s="276"/>
      <c r="S63" s="24"/>
    </row>
    <row r="64" spans="1:19" ht="25.5">
      <c r="A64" s="282" t="s">
        <v>451</v>
      </c>
      <c r="B64" s="282"/>
      <c r="C64" s="24"/>
      <c r="E64" s="282" t="s">
        <v>451</v>
      </c>
      <c r="F64" s="282"/>
      <c r="G64" s="24"/>
      <c r="H64" s="23"/>
      <c r="I64" s="282" t="s">
        <v>451</v>
      </c>
      <c r="J64" s="282"/>
      <c r="K64" s="24"/>
      <c r="L64" s="23"/>
      <c r="M64" s="282" t="s">
        <v>451</v>
      </c>
      <c r="N64" s="282"/>
      <c r="O64" s="24"/>
      <c r="P64" s="23"/>
      <c r="Q64" s="282" t="s">
        <v>451</v>
      </c>
      <c r="R64" s="282"/>
      <c r="S64" s="24"/>
    </row>
    <row r="65" spans="1:19" ht="25.5">
      <c r="A65" s="276" t="s">
        <v>452</v>
      </c>
      <c r="B65" s="280">
        <f>F65+J65+N65+R65</f>
        <v>28487</v>
      </c>
      <c r="C65" s="286">
        <f>B65/B$38</f>
        <v>0.006361893404172403</v>
      </c>
      <c r="E65" s="276" t="s">
        <v>452</v>
      </c>
      <c r="F65" s="48">
        <v>4438</v>
      </c>
      <c r="G65" s="286">
        <f>F65/F$38</f>
        <v>0.009478126414884802</v>
      </c>
      <c r="H65" s="23"/>
      <c r="I65" s="276" t="s">
        <v>452</v>
      </c>
      <c r="J65" s="48">
        <v>2727</v>
      </c>
      <c r="K65" s="286">
        <f>J65/J$38</f>
        <v>0.007573611504557497</v>
      </c>
      <c r="L65" s="23"/>
      <c r="M65" s="276" t="s">
        <v>452</v>
      </c>
      <c r="N65" s="48">
        <v>9533</v>
      </c>
      <c r="O65" s="286">
        <f>N65/N$38</f>
        <v>0.006937364325515427</v>
      </c>
      <c r="P65" s="23"/>
      <c r="Q65" s="276" t="s">
        <v>452</v>
      </c>
      <c r="R65" s="48">
        <v>11789</v>
      </c>
      <c r="S65" s="286">
        <f>R65/R$38</f>
        <v>0.005181294774315475</v>
      </c>
    </row>
    <row r="66" spans="1:19" ht="25.5">
      <c r="A66" s="276" t="s">
        <v>453</v>
      </c>
      <c r="B66" s="280">
        <f>F66+J66+N66+R66</f>
        <v>31789</v>
      </c>
      <c r="C66" s="286">
        <f>B66/B$38</f>
        <v>0.007099316510170833</v>
      </c>
      <c r="E66" s="276" t="s">
        <v>453</v>
      </c>
      <c r="F66" s="48">
        <v>3232</v>
      </c>
      <c r="G66" s="286">
        <f>F66/F$38</f>
        <v>0.006902502157031924</v>
      </c>
      <c r="H66" s="23"/>
      <c r="I66" s="276" t="s">
        <v>453</v>
      </c>
      <c r="J66" s="48">
        <v>2875</v>
      </c>
      <c r="K66" s="286">
        <f>J66/J$38</f>
        <v>0.007984647259113607</v>
      </c>
      <c r="L66" s="23"/>
      <c r="M66" s="276" t="s">
        <v>453</v>
      </c>
      <c r="N66" s="48">
        <v>10606</v>
      </c>
      <c r="O66" s="286">
        <f>N66/N$38</f>
        <v>0.007718208962175246</v>
      </c>
      <c r="P66" s="23"/>
      <c r="Q66" s="276" t="s">
        <v>453</v>
      </c>
      <c r="R66" s="48">
        <v>15076</v>
      </c>
      <c r="S66" s="286">
        <f>R66/R$38</f>
        <v>0.006625939436557817</v>
      </c>
    </row>
    <row r="67" spans="1:19" ht="25.5">
      <c r="A67" s="276" t="s">
        <v>454</v>
      </c>
      <c r="B67" s="280">
        <f>F67+J67+N67+R67</f>
        <v>93333</v>
      </c>
      <c r="C67" s="286">
        <f>B67/B$38</f>
        <v>0.020843704043655806</v>
      </c>
      <c r="E67" s="276" t="s">
        <v>454</v>
      </c>
      <c r="F67" s="48">
        <v>18494</v>
      </c>
      <c r="G67" s="286">
        <f>F67/F$38</f>
        <v>0.03949717663742215</v>
      </c>
      <c r="H67" s="23"/>
      <c r="I67" s="276" t="s">
        <v>454</v>
      </c>
      <c r="J67" s="48">
        <v>12414</v>
      </c>
      <c r="K67" s="286">
        <f>J67/J$38</f>
        <v>0.03447701254769959</v>
      </c>
      <c r="L67" s="23"/>
      <c r="M67" s="276" t="s">
        <v>454</v>
      </c>
      <c r="N67" s="48">
        <v>28326</v>
      </c>
      <c r="O67" s="286">
        <f>N67/N$38</f>
        <v>0.020613425142615122</v>
      </c>
      <c r="P67" s="23"/>
      <c r="Q67" s="276" t="s">
        <v>454</v>
      </c>
      <c r="R67" s="48">
        <v>34099</v>
      </c>
      <c r="S67" s="286">
        <f>R67/R$38</f>
        <v>0.014986595174262735</v>
      </c>
    </row>
    <row r="68" spans="1:19" ht="25.5">
      <c r="A68" s="282" t="s">
        <v>569</v>
      </c>
      <c r="B68" s="314">
        <f>B1/B38</f>
        <v>2.57085704778399</v>
      </c>
      <c r="C68" s="24"/>
      <c r="E68" s="282" t="s">
        <v>569</v>
      </c>
      <c r="F68" s="314">
        <f>F1/F38</f>
        <v>2.763463296286488</v>
      </c>
      <c r="G68" s="24"/>
      <c r="H68" s="23"/>
      <c r="I68" s="282" t="s">
        <v>569</v>
      </c>
      <c r="J68" s="314">
        <f>J1/J38</f>
        <v>2.505637855282087</v>
      </c>
      <c r="K68" s="24"/>
      <c r="L68" s="23"/>
      <c r="M68" s="282" t="s">
        <v>569</v>
      </c>
      <c r="N68" s="314">
        <f>N1/N38</f>
        <v>2.4898239133488045</v>
      </c>
      <c r="O68" s="24"/>
      <c r="P68" s="23"/>
      <c r="Q68" s="282" t="s">
        <v>569</v>
      </c>
      <c r="R68" s="314">
        <f>R1/R38</f>
        <v>2.590480815716609</v>
      </c>
      <c r="S68" s="24"/>
    </row>
    <row r="69" spans="1:19" ht="12.75">
      <c r="A69" s="282" t="s">
        <v>455</v>
      </c>
      <c r="B69" s="282"/>
      <c r="C69" s="24"/>
      <c r="E69" s="282" t="s">
        <v>455</v>
      </c>
      <c r="F69" s="282"/>
      <c r="G69" s="24"/>
      <c r="H69" s="23"/>
      <c r="I69" s="282" t="s">
        <v>455</v>
      </c>
      <c r="J69" s="282"/>
      <c r="K69" s="24"/>
      <c r="L69" s="23"/>
      <c r="M69" s="282" t="s">
        <v>455</v>
      </c>
      <c r="N69" s="282"/>
      <c r="O69" s="24"/>
      <c r="P69" s="23"/>
      <c r="Q69" s="282" t="s">
        <v>455</v>
      </c>
      <c r="R69" s="282"/>
      <c r="S69" s="24"/>
    </row>
    <row r="70" spans="1:19" ht="12.75">
      <c r="A70" s="276" t="s">
        <v>456</v>
      </c>
      <c r="B70" s="280">
        <f>F70+J70+N70+R70</f>
        <v>4318358</v>
      </c>
      <c r="C70" s="286">
        <f>B70/B$38</f>
        <v>0.9644024740076221</v>
      </c>
      <c r="E70" s="276" t="s">
        <v>456</v>
      </c>
      <c r="F70" s="48">
        <v>450703</v>
      </c>
      <c r="G70" s="286">
        <f>F70/F$38</f>
        <v>0.9625552072032052</v>
      </c>
      <c r="H70" s="23"/>
      <c r="I70" s="276" t="s">
        <v>456</v>
      </c>
      <c r="J70" s="48">
        <v>352555</v>
      </c>
      <c r="K70" s="286">
        <f>J70/J$38</f>
        <v>0.9791399354562774</v>
      </c>
      <c r="L70" s="23"/>
      <c r="M70" s="276" t="s">
        <v>456</v>
      </c>
      <c r="N70" s="48">
        <v>1322701</v>
      </c>
      <c r="O70" s="286">
        <f>N70/N$38</f>
        <v>0.9625572989325061</v>
      </c>
      <c r="P70" s="23"/>
      <c r="Q70" s="276" t="s">
        <v>456</v>
      </c>
      <c r="R70" s="48">
        <v>2192399</v>
      </c>
      <c r="S70" s="286">
        <f>R70/R$38</f>
        <v>0.9635648046411462</v>
      </c>
    </row>
    <row r="71" spans="1:19" ht="12.75">
      <c r="A71" s="276" t="s">
        <v>457</v>
      </c>
      <c r="B71" s="280">
        <f>F71+J71+N71+R71</f>
        <v>106160</v>
      </c>
      <c r="C71" s="286">
        <f>B71/B$38</f>
        <v>0.02370830918618817</v>
      </c>
      <c r="E71" s="276" t="s">
        <v>457</v>
      </c>
      <c r="F71" s="48">
        <v>12854</v>
      </c>
      <c r="G71" s="286">
        <f>F71/F$38</f>
        <v>0.02745196866537387</v>
      </c>
      <c r="H71" s="23"/>
      <c r="I71" s="276" t="s">
        <v>457</v>
      </c>
      <c r="J71" s="48">
        <v>5647</v>
      </c>
      <c r="K71" s="286">
        <f>J71/J$38</f>
        <v>0.015683235851205058</v>
      </c>
      <c r="L71" s="23"/>
      <c r="M71" s="276" t="s">
        <v>457</v>
      </c>
      <c r="N71" s="48">
        <v>35656</v>
      </c>
      <c r="O71" s="286">
        <f>N71/N$38</f>
        <v>0.025947620097616496</v>
      </c>
      <c r="P71" s="23"/>
      <c r="Q71" s="276" t="s">
        <v>457</v>
      </c>
      <c r="R71" s="48">
        <v>52003</v>
      </c>
      <c r="S71" s="286">
        <f>R71/R$38</f>
        <v>0.022855447633279128</v>
      </c>
    </row>
    <row r="72" spans="1:19" ht="12.75">
      <c r="A72" s="276" t="s">
        <v>458</v>
      </c>
      <c r="B72" s="280">
        <f>F72+J72+N72+R72</f>
        <v>53237</v>
      </c>
      <c r="C72" s="286">
        <f>B72/B$38</f>
        <v>0.011889216806189708</v>
      </c>
      <c r="E72" s="276" t="s">
        <v>458</v>
      </c>
      <c r="F72" s="48">
        <v>4679</v>
      </c>
      <c r="G72" s="286">
        <f>F72/F$38</f>
        <v>0.009992824131420908</v>
      </c>
      <c r="H72" s="23"/>
      <c r="I72" s="276" t="s">
        <v>458</v>
      </c>
      <c r="J72" s="48">
        <v>1864</v>
      </c>
      <c r="K72" s="286">
        <f>J72/J$38</f>
        <v>0.005176828692517483</v>
      </c>
      <c r="L72" s="23"/>
      <c r="M72" s="276" t="s">
        <v>458</v>
      </c>
      <c r="N72" s="48">
        <v>15796</v>
      </c>
      <c r="O72" s="286">
        <f>N72/N$38</f>
        <v>0.011495080969877445</v>
      </c>
      <c r="P72" s="23"/>
      <c r="Q72" s="276" t="s">
        <v>458</v>
      </c>
      <c r="R72" s="48">
        <v>30898</v>
      </c>
      <c r="S72" s="286">
        <f>R72/R$38</f>
        <v>0.01357974772557465</v>
      </c>
    </row>
    <row r="73" spans="1:19" ht="12.75">
      <c r="A73" s="276"/>
      <c r="B73" s="276"/>
      <c r="C73" s="24"/>
      <c r="E73" s="276"/>
      <c r="F73" s="276"/>
      <c r="G73" s="24"/>
      <c r="H73" s="23"/>
      <c r="I73" s="276"/>
      <c r="J73" s="276"/>
      <c r="K73" s="24"/>
      <c r="L73" s="23"/>
      <c r="M73" s="276"/>
      <c r="N73" s="276"/>
      <c r="O73" s="24"/>
      <c r="P73" s="23"/>
      <c r="Q73" s="276"/>
      <c r="R73" s="276"/>
      <c r="S73" s="24"/>
    </row>
    <row r="74" spans="1:19" ht="25.5">
      <c r="A74" s="279" t="s">
        <v>459</v>
      </c>
      <c r="B74" s="280">
        <f>F74+J74+N74+R74</f>
        <v>2280148</v>
      </c>
      <c r="C74" s="286">
        <f>B74/B$38</f>
        <v>0.5092167838570891</v>
      </c>
      <c r="E74" s="279" t="s">
        <v>459</v>
      </c>
      <c r="F74" s="280">
        <v>256699</v>
      </c>
      <c r="G74" s="286">
        <f>F74/F$38</f>
        <v>0.5482256810668125</v>
      </c>
      <c r="H74" s="23"/>
      <c r="I74" s="279" t="s">
        <v>459</v>
      </c>
      <c r="J74" s="280">
        <v>172506</v>
      </c>
      <c r="K74" s="286">
        <f>J74/J$38</f>
        <v>0.4790954991584876</v>
      </c>
      <c r="L74" s="23"/>
      <c r="M74" s="279" t="s">
        <v>459</v>
      </c>
      <c r="N74" s="280">
        <v>678790</v>
      </c>
      <c r="O74" s="286">
        <f>N74/N$38</f>
        <v>0.4939697399052362</v>
      </c>
      <c r="P74" s="23"/>
      <c r="Q74" s="279" t="s">
        <v>459</v>
      </c>
      <c r="R74" s="280">
        <v>1172153</v>
      </c>
      <c r="S74" s="286">
        <f>R74/R$38</f>
        <v>0.5151641541774711</v>
      </c>
    </row>
    <row r="75" spans="1:19" ht="12.75">
      <c r="A75" s="282" t="s">
        <v>460</v>
      </c>
      <c r="B75" s="282"/>
      <c r="C75" s="24"/>
      <c r="E75" s="282" t="s">
        <v>460</v>
      </c>
      <c r="F75" s="282"/>
      <c r="G75" s="24"/>
      <c r="H75" s="23"/>
      <c r="I75" s="282" t="s">
        <v>460</v>
      </c>
      <c r="J75" s="282"/>
      <c r="K75" s="24"/>
      <c r="L75" s="23"/>
      <c r="M75" s="282" t="s">
        <v>460</v>
      </c>
      <c r="N75" s="282"/>
      <c r="O75" s="24"/>
      <c r="P75" s="23"/>
      <c r="Q75" s="282" t="s">
        <v>460</v>
      </c>
      <c r="R75" s="282"/>
      <c r="S75" s="24"/>
    </row>
    <row r="76" spans="1:19" ht="12.75">
      <c r="A76" s="276" t="s">
        <v>461</v>
      </c>
      <c r="B76" s="280">
        <f aca="true" t="shared" si="30" ref="B76:B83">F76+J76+N76+R76</f>
        <v>66969</v>
      </c>
      <c r="C76" s="286">
        <f aca="true" t="shared" si="31" ref="C76:C83">B76/B$38</f>
        <v>0.014955932157967552</v>
      </c>
      <c r="E76" s="276" t="s">
        <v>461</v>
      </c>
      <c r="F76" s="48">
        <v>19928</v>
      </c>
      <c r="G76" s="286">
        <f aca="true" t="shared" si="32" ref="G76:G83">F76/F$38</f>
        <v>0.0425597348345706</v>
      </c>
      <c r="H76" s="23"/>
      <c r="I76" s="276" t="s">
        <v>461</v>
      </c>
      <c r="J76" s="48">
        <v>23762</v>
      </c>
      <c r="K76" s="286">
        <f aca="true" t="shared" si="33" ref="K76:K83">J76/J$38</f>
        <v>0.06599345675515045</v>
      </c>
      <c r="L76" s="23"/>
      <c r="M76" s="276" t="s">
        <v>461</v>
      </c>
      <c r="N76" s="48">
        <v>10423</v>
      </c>
      <c r="O76" s="286">
        <f aca="true" t="shared" si="34" ref="O76:O83">N76/N$38</f>
        <v>0.007585036018551064</v>
      </c>
      <c r="P76" s="23"/>
      <c r="Q76" s="276" t="s">
        <v>461</v>
      </c>
      <c r="R76" s="48">
        <v>12856</v>
      </c>
      <c r="S76" s="286">
        <f aca="true" t="shared" si="35" ref="S76:S83">R76/R$38</f>
        <v>0.00565024392387817</v>
      </c>
    </row>
    <row r="77" spans="1:19" ht="12.75">
      <c r="A77" s="276" t="s">
        <v>462</v>
      </c>
      <c r="B77" s="280">
        <f t="shared" si="30"/>
        <v>404927</v>
      </c>
      <c r="C77" s="286">
        <f t="shared" si="31"/>
        <v>0.09043080740237017</v>
      </c>
      <c r="E77" s="276" t="s">
        <v>462</v>
      </c>
      <c r="F77" s="48">
        <v>97470</v>
      </c>
      <c r="G77" s="286">
        <f t="shared" si="32"/>
        <v>0.20816425904885572</v>
      </c>
      <c r="H77" s="23"/>
      <c r="I77" s="276" t="s">
        <v>462</v>
      </c>
      <c r="J77" s="48">
        <v>64305</v>
      </c>
      <c r="K77" s="286">
        <f t="shared" si="33"/>
        <v>0.17859225808601756</v>
      </c>
      <c r="L77" s="23"/>
      <c r="M77" s="276" t="s">
        <v>462</v>
      </c>
      <c r="N77" s="48">
        <v>107653</v>
      </c>
      <c r="O77" s="286">
        <f t="shared" si="34"/>
        <v>0.0783413491801859</v>
      </c>
      <c r="P77" s="23"/>
      <c r="Q77" s="276" t="s">
        <v>462</v>
      </c>
      <c r="R77" s="48">
        <v>135499</v>
      </c>
      <c r="S77" s="286">
        <f t="shared" si="35"/>
        <v>0.059552146969630376</v>
      </c>
    </row>
    <row r="78" spans="1:19" ht="12.75">
      <c r="A78" s="276" t="s">
        <v>463</v>
      </c>
      <c r="B78" s="280">
        <f t="shared" si="30"/>
        <v>667927</v>
      </c>
      <c r="C78" s="286">
        <f t="shared" si="31"/>
        <v>0.14916559749249345</v>
      </c>
      <c r="E78" s="276" t="s">
        <v>463</v>
      </c>
      <c r="F78" s="48">
        <v>82791</v>
      </c>
      <c r="G78" s="286">
        <f t="shared" si="32"/>
        <v>0.17681468319394494</v>
      </c>
      <c r="H78" s="23"/>
      <c r="I78" s="276" t="s">
        <v>463</v>
      </c>
      <c r="J78" s="48">
        <v>48994</v>
      </c>
      <c r="K78" s="286">
        <f t="shared" si="33"/>
        <v>0.13606949836974333</v>
      </c>
      <c r="L78" s="23"/>
      <c r="M78" s="276" t="s">
        <v>463</v>
      </c>
      <c r="N78" s="48">
        <v>222581</v>
      </c>
      <c r="O78" s="286">
        <f t="shared" si="34"/>
        <v>0.1619768686601856</v>
      </c>
      <c r="P78" s="23"/>
      <c r="Q78" s="276" t="s">
        <v>463</v>
      </c>
      <c r="R78" s="48">
        <v>313561</v>
      </c>
      <c r="S78" s="286">
        <f t="shared" si="35"/>
        <v>0.13781083813123543</v>
      </c>
    </row>
    <row r="79" spans="1:19" ht="12.75">
      <c r="A79" s="276" t="s">
        <v>464</v>
      </c>
      <c r="B79" s="280">
        <f t="shared" si="30"/>
        <v>490800</v>
      </c>
      <c r="C79" s="286">
        <f t="shared" si="31"/>
        <v>0.10960849800848863</v>
      </c>
      <c r="E79" s="276" t="s">
        <v>464</v>
      </c>
      <c r="F79" s="48">
        <v>34375</v>
      </c>
      <c r="G79" s="286">
        <f t="shared" si="32"/>
        <v>0.0734138340494964</v>
      </c>
      <c r="H79" s="23"/>
      <c r="I79" s="276" t="s">
        <v>464</v>
      </c>
      <c r="J79" s="48">
        <v>20594</v>
      </c>
      <c r="K79" s="286">
        <f t="shared" si="33"/>
        <v>0.05719506979276021</v>
      </c>
      <c r="L79" s="23"/>
      <c r="M79" s="276" t="s">
        <v>464</v>
      </c>
      <c r="N79" s="48">
        <v>162256</v>
      </c>
      <c r="O79" s="286">
        <f t="shared" si="34"/>
        <v>0.11807709912942736</v>
      </c>
      <c r="P79" s="23"/>
      <c r="Q79" s="276" t="s">
        <v>464</v>
      </c>
      <c r="R79" s="48">
        <v>273575</v>
      </c>
      <c r="S79" s="286">
        <f t="shared" si="35"/>
        <v>0.12023689183843889</v>
      </c>
    </row>
    <row r="80" spans="1:19" ht="12.75">
      <c r="A80" s="276" t="s">
        <v>465</v>
      </c>
      <c r="B80" s="280">
        <f t="shared" si="30"/>
        <v>383563</v>
      </c>
      <c r="C80" s="286">
        <f t="shared" si="31"/>
        <v>0.08565966650698843</v>
      </c>
      <c r="E80" s="276" t="s">
        <v>465</v>
      </c>
      <c r="F80" s="48">
        <v>14934</v>
      </c>
      <c r="G80" s="286">
        <f t="shared" si="32"/>
        <v>0.031894173023859766</v>
      </c>
      <c r="H80" s="23"/>
      <c r="I80" s="276" t="s">
        <v>465</v>
      </c>
      <c r="J80" s="48">
        <v>9133</v>
      </c>
      <c r="K80" s="286">
        <f t="shared" si="33"/>
        <v>0.025364794232168548</v>
      </c>
      <c r="L80" s="23"/>
      <c r="M80" s="276" t="s">
        <v>465</v>
      </c>
      <c r="N80" s="48">
        <v>113843</v>
      </c>
      <c r="O80" s="286">
        <f t="shared" si="34"/>
        <v>0.08284594219129893</v>
      </c>
      <c r="P80" s="23"/>
      <c r="Q80" s="276" t="s">
        <v>465</v>
      </c>
      <c r="R80" s="48">
        <v>245653</v>
      </c>
      <c r="S80" s="286">
        <f t="shared" si="35"/>
        <v>0.1079651035028348</v>
      </c>
    </row>
    <row r="81" spans="1:19" ht="12.75">
      <c r="A81" s="276" t="s">
        <v>466</v>
      </c>
      <c r="B81" s="280">
        <f t="shared" si="30"/>
        <v>200124</v>
      </c>
      <c r="C81" s="286">
        <f t="shared" si="31"/>
        <v>0.04469293206082066</v>
      </c>
      <c r="E81" s="276" t="s">
        <v>466</v>
      </c>
      <c r="F81" s="48">
        <v>6155</v>
      </c>
      <c r="G81" s="286">
        <f t="shared" si="32"/>
        <v>0.013145080685808011</v>
      </c>
      <c r="H81" s="23"/>
      <c r="I81" s="276" t="s">
        <v>466</v>
      </c>
      <c r="J81" s="48">
        <v>4647</v>
      </c>
      <c r="K81" s="286">
        <f t="shared" si="33"/>
        <v>0.012905967239339454</v>
      </c>
      <c r="L81" s="23"/>
      <c r="M81" s="276" t="s">
        <v>466</v>
      </c>
      <c r="N81" s="48">
        <v>47636</v>
      </c>
      <c r="O81" s="286">
        <f t="shared" si="34"/>
        <v>0.03466571771847822</v>
      </c>
      <c r="P81" s="23"/>
      <c r="Q81" s="276" t="s">
        <v>466</v>
      </c>
      <c r="R81" s="48">
        <v>141686</v>
      </c>
      <c r="S81" s="286">
        <f t="shared" si="35"/>
        <v>0.06227134883312091</v>
      </c>
    </row>
    <row r="82" spans="1:19" ht="12.75">
      <c r="A82" s="276" t="s">
        <v>467</v>
      </c>
      <c r="B82" s="280">
        <f t="shared" si="30"/>
        <v>56838</v>
      </c>
      <c r="C82" s="286">
        <f t="shared" si="31"/>
        <v>0.012693414445408469</v>
      </c>
      <c r="E82" s="276" t="s">
        <v>467</v>
      </c>
      <c r="F82" s="48">
        <v>1046</v>
      </c>
      <c r="G82" s="286">
        <f t="shared" si="32"/>
        <v>0.00223391623027704</v>
      </c>
      <c r="H82" s="23"/>
      <c r="I82" s="276" t="s">
        <v>467</v>
      </c>
      <c r="J82" s="48">
        <v>1021</v>
      </c>
      <c r="K82" s="286">
        <f t="shared" si="33"/>
        <v>0.0028355912527147802</v>
      </c>
      <c r="L82" s="23"/>
      <c r="M82" s="276" t="s">
        <v>467</v>
      </c>
      <c r="N82" s="48">
        <v>11458</v>
      </c>
      <c r="O82" s="286">
        <f t="shared" si="34"/>
        <v>0.008338227257081271</v>
      </c>
      <c r="P82" s="23"/>
      <c r="Q82" s="276" t="s">
        <v>467</v>
      </c>
      <c r="R82" s="48">
        <v>43313</v>
      </c>
      <c r="S82" s="286">
        <f t="shared" si="35"/>
        <v>0.019036171054366457</v>
      </c>
    </row>
    <row r="83" spans="1:19" ht="12.75">
      <c r="A83" s="276" t="s">
        <v>468</v>
      </c>
      <c r="B83" s="280">
        <f t="shared" si="30"/>
        <v>9000</v>
      </c>
      <c r="C83" s="286">
        <f t="shared" si="31"/>
        <v>0.0020099357825517474</v>
      </c>
      <c r="E83" s="276" t="s">
        <v>468</v>
      </c>
      <c r="F83" s="47">
        <v>0</v>
      </c>
      <c r="G83" s="286">
        <f t="shared" si="32"/>
        <v>0</v>
      </c>
      <c r="H83" s="23"/>
      <c r="I83" s="276" t="s">
        <v>468</v>
      </c>
      <c r="J83" s="47">
        <v>50</v>
      </c>
      <c r="K83" s="286">
        <f t="shared" si="33"/>
        <v>0.0001388634305932801</v>
      </c>
      <c r="L83" s="23"/>
      <c r="M83" s="276" t="s">
        <v>468</v>
      </c>
      <c r="N83" s="48">
        <v>2940</v>
      </c>
      <c r="O83" s="286">
        <f t="shared" si="34"/>
        <v>0.0021394997500278354</v>
      </c>
      <c r="P83" s="23"/>
      <c r="Q83" s="276" t="s">
        <v>468</v>
      </c>
      <c r="R83" s="48">
        <v>6010</v>
      </c>
      <c r="S83" s="286">
        <f t="shared" si="35"/>
        <v>0.0026414099239660703</v>
      </c>
    </row>
    <row r="84" spans="1:19" ht="12.75">
      <c r="A84" s="276" t="s">
        <v>469</v>
      </c>
      <c r="B84" s="48">
        <v>169406</v>
      </c>
      <c r="C84" s="24"/>
      <c r="E84" s="276" t="s">
        <v>469</v>
      </c>
      <c r="F84" s="48">
        <v>105403</v>
      </c>
      <c r="G84" s="24"/>
      <c r="H84" s="23"/>
      <c r="I84" s="276" t="s">
        <v>469</v>
      </c>
      <c r="J84" s="48">
        <v>98849</v>
      </c>
      <c r="K84" s="24"/>
      <c r="L84" s="23"/>
      <c r="M84" s="276" t="s">
        <v>469</v>
      </c>
      <c r="N84" s="48">
        <v>149729</v>
      </c>
      <c r="O84" s="24"/>
      <c r="P84" s="23"/>
      <c r="Q84" s="276" t="s">
        <v>469</v>
      </c>
      <c r="R84" s="48">
        <v>169406</v>
      </c>
      <c r="S84" s="24"/>
    </row>
    <row r="85" spans="1:19" ht="12.75">
      <c r="A85" s="276"/>
      <c r="B85" s="276"/>
      <c r="C85" s="24"/>
      <c r="E85" s="276"/>
      <c r="F85" s="276"/>
      <c r="G85" s="24"/>
      <c r="H85" s="23"/>
      <c r="I85" s="276"/>
      <c r="J85" s="276"/>
      <c r="K85" s="24"/>
      <c r="L85" s="23"/>
      <c r="M85" s="276"/>
      <c r="N85" s="276"/>
      <c r="O85" s="24"/>
      <c r="P85" s="23"/>
      <c r="Q85" s="276"/>
      <c r="R85" s="276"/>
      <c r="S85" s="24"/>
    </row>
    <row r="86" spans="1:19" ht="38.25">
      <c r="A86" s="282" t="s">
        <v>470</v>
      </c>
      <c r="B86" s="282"/>
      <c r="C86" s="24"/>
      <c r="E86" s="282" t="s">
        <v>470</v>
      </c>
      <c r="F86" s="282"/>
      <c r="G86" s="24"/>
      <c r="H86" s="23"/>
      <c r="I86" s="282" t="s">
        <v>470</v>
      </c>
      <c r="J86" s="282"/>
      <c r="K86" s="24"/>
      <c r="L86" s="23"/>
      <c r="M86" s="282" t="s">
        <v>470</v>
      </c>
      <c r="N86" s="282"/>
      <c r="O86" s="24"/>
      <c r="P86" s="23"/>
      <c r="Q86" s="282" t="s">
        <v>470</v>
      </c>
      <c r="R86" s="282"/>
      <c r="S86" s="24"/>
    </row>
    <row r="87" spans="1:19" ht="25.5">
      <c r="A87" s="276" t="s">
        <v>471</v>
      </c>
      <c r="B87" s="280">
        <f aca="true" t="shared" si="36" ref="B87:B94">F87+J87+N87+R87</f>
        <v>1602508</v>
      </c>
      <c r="C87" s="286">
        <f>B87/B$38</f>
        <v>0.3578820190028262</v>
      </c>
      <c r="E87" s="276" t="s">
        <v>471</v>
      </c>
      <c r="F87" s="48">
        <v>173892</v>
      </c>
      <c r="G87" s="286">
        <f>F87/F$38</f>
        <v>0.37137682707010994</v>
      </c>
      <c r="H87" s="23"/>
      <c r="I87" s="276" t="s">
        <v>471</v>
      </c>
      <c r="J87" s="48">
        <v>101055</v>
      </c>
      <c r="K87" s="286">
        <f>J87/J$38</f>
        <v>0.28065687957207847</v>
      </c>
      <c r="L87" s="23"/>
      <c r="M87" s="276" t="s">
        <v>471</v>
      </c>
      <c r="N87" s="48">
        <v>493580</v>
      </c>
      <c r="O87" s="286">
        <f>N87/N$38</f>
        <v>0.35918853286351665</v>
      </c>
      <c r="P87" s="23"/>
      <c r="Q87" s="276" t="s">
        <v>471</v>
      </c>
      <c r="R87" s="48">
        <v>833981</v>
      </c>
      <c r="S87" s="286">
        <f>R87/R$38</f>
        <v>0.36653672043247043</v>
      </c>
    </row>
    <row r="88" spans="1:19" ht="12.75">
      <c r="A88" s="285" t="s">
        <v>472</v>
      </c>
      <c r="B88" s="280">
        <f t="shared" si="36"/>
        <v>7688</v>
      </c>
      <c r="C88" s="286">
        <f aca="true" t="shared" si="37" ref="C88:C101">B88/B$38</f>
        <v>0.001716931810695315</v>
      </c>
      <c r="E88" s="285" t="s">
        <v>472</v>
      </c>
      <c r="F88" s="48">
        <v>1581</v>
      </c>
      <c r="G88" s="286">
        <f aca="true" t="shared" si="38" ref="G88:G101">F88/F$38</f>
        <v>0.0033765024474837475</v>
      </c>
      <c r="H88" s="23"/>
      <c r="I88" s="285" t="s">
        <v>472</v>
      </c>
      <c r="J88" s="48">
        <v>1770</v>
      </c>
      <c r="K88" s="286">
        <f aca="true" t="shared" si="39" ref="K88:K101">J88/J$38</f>
        <v>0.004915765443002117</v>
      </c>
      <c r="L88" s="23"/>
      <c r="M88" s="285" t="s">
        <v>472</v>
      </c>
      <c r="N88" s="48">
        <v>2240</v>
      </c>
      <c r="O88" s="286">
        <f aca="true" t="shared" si="40" ref="O88:O101">N88/N$38</f>
        <v>0.0016300950476402555</v>
      </c>
      <c r="P88" s="23"/>
      <c r="Q88" s="285" t="s">
        <v>472</v>
      </c>
      <c r="R88" s="48">
        <v>2097</v>
      </c>
      <c r="S88" s="286">
        <f aca="true" t="shared" si="41" ref="S88:S101">R88/R$38</f>
        <v>0.0009216367072473959</v>
      </c>
    </row>
    <row r="89" spans="1:19" ht="12.75">
      <c r="A89" s="285" t="s">
        <v>473</v>
      </c>
      <c r="B89" s="280">
        <f t="shared" si="36"/>
        <v>59409</v>
      </c>
      <c r="C89" s="286">
        <f t="shared" si="37"/>
        <v>0.013267586100624085</v>
      </c>
      <c r="E89" s="285" t="s">
        <v>473</v>
      </c>
      <c r="F89" s="48">
        <v>15129</v>
      </c>
      <c r="G89" s="286">
        <f t="shared" si="38"/>
        <v>0.03231062968246782</v>
      </c>
      <c r="H89" s="23"/>
      <c r="I89" s="285" t="s">
        <v>473</v>
      </c>
      <c r="J89" s="48">
        <v>8794</v>
      </c>
      <c r="K89" s="286">
        <f t="shared" si="39"/>
        <v>0.024423300172746108</v>
      </c>
      <c r="L89" s="23"/>
      <c r="M89" s="285" t="s">
        <v>473</v>
      </c>
      <c r="N89" s="48">
        <v>20277</v>
      </c>
      <c r="O89" s="286">
        <f t="shared" si="40"/>
        <v>0.014755998786161366</v>
      </c>
      <c r="P89" s="23"/>
      <c r="Q89" s="285" t="s">
        <v>473</v>
      </c>
      <c r="R89" s="48">
        <v>15209</v>
      </c>
      <c r="S89" s="286">
        <f t="shared" si="41"/>
        <v>0.006684393266821957</v>
      </c>
    </row>
    <row r="90" spans="1:19" ht="12.75">
      <c r="A90" s="285" t="s">
        <v>474</v>
      </c>
      <c r="B90" s="280">
        <f t="shared" si="36"/>
        <v>167208</v>
      </c>
      <c r="C90" s="286">
        <f t="shared" si="37"/>
        <v>0.03734192692543473</v>
      </c>
      <c r="E90" s="285" t="s">
        <v>474</v>
      </c>
      <c r="F90" s="48">
        <v>33844</v>
      </c>
      <c r="G90" s="286">
        <f t="shared" si="38"/>
        <v>0.0722797905329791</v>
      </c>
      <c r="H90" s="23"/>
      <c r="I90" s="285" t="s">
        <v>474</v>
      </c>
      <c r="J90" s="48">
        <v>21154</v>
      </c>
      <c r="K90" s="286">
        <f t="shared" si="39"/>
        <v>0.058750340215404956</v>
      </c>
      <c r="L90" s="23"/>
      <c r="M90" s="285" t="s">
        <v>474</v>
      </c>
      <c r="N90" s="48">
        <v>56514</v>
      </c>
      <c r="O90" s="286">
        <f t="shared" si="40"/>
        <v>0.041126424786759555</v>
      </c>
      <c r="P90" s="23"/>
      <c r="Q90" s="285" t="s">
        <v>474</v>
      </c>
      <c r="R90" s="48">
        <v>55696</v>
      </c>
      <c r="S90" s="286">
        <f t="shared" si="41"/>
        <v>0.024478530303696216</v>
      </c>
    </row>
    <row r="91" spans="1:19" ht="12.75">
      <c r="A91" s="285" t="s">
        <v>475</v>
      </c>
      <c r="B91" s="280">
        <f t="shared" si="36"/>
        <v>379863</v>
      </c>
      <c r="C91" s="286">
        <f t="shared" si="37"/>
        <v>0.0848333595741616</v>
      </c>
      <c r="E91" s="285" t="s">
        <v>475</v>
      </c>
      <c r="F91" s="48">
        <v>61545</v>
      </c>
      <c r="G91" s="286">
        <f t="shared" si="38"/>
        <v>0.13144012848221837</v>
      </c>
      <c r="H91" s="23"/>
      <c r="I91" s="285" t="s">
        <v>475</v>
      </c>
      <c r="J91" s="48">
        <v>34687</v>
      </c>
      <c r="K91" s="286">
        <f t="shared" si="39"/>
        <v>0.09633511633978215</v>
      </c>
      <c r="L91" s="23"/>
      <c r="M91" s="285" t="s">
        <v>475</v>
      </c>
      <c r="N91" s="48">
        <v>122480</v>
      </c>
      <c r="O91" s="286">
        <f t="shared" si="40"/>
        <v>0.08913126849775825</v>
      </c>
      <c r="P91" s="23"/>
      <c r="Q91" s="285" t="s">
        <v>475</v>
      </c>
      <c r="R91" s="48">
        <v>161151</v>
      </c>
      <c r="S91" s="286">
        <f t="shared" si="41"/>
        <v>0.07082626466839538</v>
      </c>
    </row>
    <row r="92" spans="1:19" ht="12.75">
      <c r="A92" s="285" t="s">
        <v>476</v>
      </c>
      <c r="B92" s="280">
        <f t="shared" si="36"/>
        <v>562044</v>
      </c>
      <c r="C92" s="286">
        <f t="shared" si="37"/>
        <v>0.12551914966316827</v>
      </c>
      <c r="E92" s="285" t="s">
        <v>476</v>
      </c>
      <c r="F92" s="48">
        <v>45130</v>
      </c>
      <c r="G92" s="286">
        <f t="shared" si="38"/>
        <v>0.09638302052810975</v>
      </c>
      <c r="H92" s="23"/>
      <c r="I92" s="285" t="s">
        <v>476</v>
      </c>
      <c r="J92" s="48">
        <v>26567</v>
      </c>
      <c r="K92" s="286">
        <f t="shared" si="39"/>
        <v>0.07378369521143346</v>
      </c>
      <c r="L92" s="23"/>
      <c r="M92" s="285" t="s">
        <v>476</v>
      </c>
      <c r="N92" s="48">
        <v>175373</v>
      </c>
      <c r="O92" s="286">
        <f t="shared" si="40"/>
        <v>0.1276226155311672</v>
      </c>
      <c r="P92" s="23"/>
      <c r="Q92" s="285" t="s">
        <v>476</v>
      </c>
      <c r="R92" s="48">
        <v>314974</v>
      </c>
      <c r="S92" s="286">
        <f t="shared" si="41"/>
        <v>0.13843185513998155</v>
      </c>
    </row>
    <row r="93" spans="1:19" ht="12.75">
      <c r="A93" s="285" t="s">
        <v>477</v>
      </c>
      <c r="B93" s="280">
        <f t="shared" si="36"/>
        <v>258732</v>
      </c>
      <c r="C93" s="286">
        <f t="shared" si="37"/>
        <v>0.05778163387679763</v>
      </c>
      <c r="E93" s="285" t="s">
        <v>477</v>
      </c>
      <c r="F93" s="48">
        <v>9810</v>
      </c>
      <c r="G93" s="286">
        <f t="shared" si="38"/>
        <v>0.020950973440743557</v>
      </c>
      <c r="H93" s="23"/>
      <c r="I93" s="285" t="s">
        <v>477</v>
      </c>
      <c r="J93" s="48">
        <v>5272</v>
      </c>
      <c r="K93" s="286">
        <f t="shared" si="39"/>
        <v>0.014641760121755457</v>
      </c>
      <c r="L93" s="23"/>
      <c r="M93" s="285" t="s">
        <v>477</v>
      </c>
      <c r="N93" s="48">
        <v>74901</v>
      </c>
      <c r="O93" s="286">
        <f t="shared" si="40"/>
        <v>0.054507030876474453</v>
      </c>
      <c r="P93" s="23"/>
      <c r="Q93" s="285" t="s">
        <v>477</v>
      </c>
      <c r="R93" s="48">
        <v>168749</v>
      </c>
      <c r="S93" s="286">
        <f t="shared" si="41"/>
        <v>0.07416560453566563</v>
      </c>
    </row>
    <row r="94" spans="1:19" ht="12.75">
      <c r="A94" s="285" t="s">
        <v>478</v>
      </c>
      <c r="B94" s="280">
        <f t="shared" si="36"/>
        <v>167564</v>
      </c>
      <c r="C94" s="286">
        <f t="shared" si="37"/>
        <v>0.03742143105194456</v>
      </c>
      <c r="E94" s="285" t="s">
        <v>478</v>
      </c>
      <c r="F94" s="48">
        <v>6853</v>
      </c>
      <c r="G94" s="286">
        <f t="shared" si="38"/>
        <v>0.014635781956107603</v>
      </c>
      <c r="H94" s="23"/>
      <c r="I94" s="285" t="s">
        <v>478</v>
      </c>
      <c r="J94" s="48">
        <v>2811</v>
      </c>
      <c r="K94" s="286">
        <f t="shared" si="39"/>
        <v>0.007806902067954208</v>
      </c>
      <c r="L94" s="23"/>
      <c r="M94" s="285" t="s">
        <v>478</v>
      </c>
      <c r="N94" s="48">
        <v>41795</v>
      </c>
      <c r="O94" s="286">
        <f t="shared" si="40"/>
        <v>0.03041509933755557</v>
      </c>
      <c r="P94" s="23"/>
      <c r="Q94" s="285" t="s">
        <v>478</v>
      </c>
      <c r="R94" s="48">
        <v>116105</v>
      </c>
      <c r="S94" s="286">
        <f t="shared" si="41"/>
        <v>0.05102843581066233</v>
      </c>
    </row>
    <row r="95" spans="1:19" ht="12.75">
      <c r="A95" s="285" t="s">
        <v>469</v>
      </c>
      <c r="B95" s="48">
        <v>1284</v>
      </c>
      <c r="C95" s="286">
        <f t="shared" si="37"/>
        <v>0.000286750838310716</v>
      </c>
      <c r="E95" s="285" t="s">
        <v>469</v>
      </c>
      <c r="F95" s="47">
        <v>860</v>
      </c>
      <c r="G95" s="286">
        <f t="shared" si="38"/>
        <v>0.0018366806482201282</v>
      </c>
      <c r="H95" s="23"/>
      <c r="I95" s="285" t="s">
        <v>469</v>
      </c>
      <c r="J95" s="47">
        <v>844</v>
      </c>
      <c r="K95" s="286">
        <f t="shared" si="39"/>
        <v>0.0023440147084145685</v>
      </c>
      <c r="L95" s="23"/>
      <c r="M95" s="285" t="s">
        <v>469</v>
      </c>
      <c r="N95" s="48">
        <v>1118</v>
      </c>
      <c r="O95" s="286">
        <f t="shared" si="40"/>
        <v>0.000813592081813306</v>
      </c>
      <c r="P95" s="23"/>
      <c r="Q95" s="285" t="s">
        <v>469</v>
      </c>
      <c r="R95" s="48">
        <v>1284</v>
      </c>
      <c r="S95" s="286">
        <f t="shared" si="41"/>
        <v>0.0005643211884147145</v>
      </c>
    </row>
    <row r="96" spans="1:19" ht="25.5">
      <c r="A96" s="276" t="s">
        <v>479</v>
      </c>
      <c r="B96" s="280">
        <f aca="true" t="shared" si="42" ref="B96:B101">F96+J96+N96+R96</f>
        <v>677640</v>
      </c>
      <c r="C96" s="286">
        <f t="shared" si="37"/>
        <v>0.1513347648542629</v>
      </c>
      <c r="E96" s="276" t="s">
        <v>479</v>
      </c>
      <c r="F96" s="48">
        <v>82807</v>
      </c>
      <c r="G96" s="286">
        <f t="shared" si="38"/>
        <v>0.17684885399670253</v>
      </c>
      <c r="H96" s="23"/>
      <c r="I96" s="276" t="s">
        <v>479</v>
      </c>
      <c r="J96" s="48">
        <v>71451</v>
      </c>
      <c r="K96" s="286">
        <f t="shared" si="39"/>
        <v>0.19843861958640915</v>
      </c>
      <c r="L96" s="23"/>
      <c r="M96" s="276" t="s">
        <v>479</v>
      </c>
      <c r="N96" s="48">
        <v>185210</v>
      </c>
      <c r="O96" s="286">
        <f t="shared" si="40"/>
        <v>0.13478120704171953</v>
      </c>
      <c r="P96" s="23"/>
      <c r="Q96" s="276" t="s">
        <v>479</v>
      </c>
      <c r="R96" s="48">
        <v>338172</v>
      </c>
      <c r="S96" s="286">
        <f t="shared" si="41"/>
        <v>0.14862743374500065</v>
      </c>
    </row>
    <row r="97" spans="1:19" ht="12.75">
      <c r="A97" s="285" t="s">
        <v>480</v>
      </c>
      <c r="B97" s="280">
        <f t="shared" si="42"/>
        <v>11483</v>
      </c>
      <c r="C97" s="286">
        <f t="shared" si="37"/>
        <v>0.0025644547323379683</v>
      </c>
      <c r="E97" s="285" t="s">
        <v>480</v>
      </c>
      <c r="F97" s="48">
        <v>4116</v>
      </c>
      <c r="G97" s="286">
        <f t="shared" si="38"/>
        <v>0.008790439009388428</v>
      </c>
      <c r="H97" s="23"/>
      <c r="I97" s="285" t="s">
        <v>480</v>
      </c>
      <c r="J97" s="48">
        <v>1563</v>
      </c>
      <c r="K97" s="286">
        <f t="shared" si="39"/>
        <v>0.004340870840345936</v>
      </c>
      <c r="L97" s="23"/>
      <c r="M97" s="285" t="s">
        <v>480</v>
      </c>
      <c r="N97" s="48">
        <v>1565</v>
      </c>
      <c r="O97" s="286">
        <f t="shared" si="40"/>
        <v>0.0011388833703379463</v>
      </c>
      <c r="P97" s="23"/>
      <c r="Q97" s="285" t="s">
        <v>480</v>
      </c>
      <c r="R97" s="48">
        <v>4239</v>
      </c>
      <c r="S97" s="286">
        <f t="shared" si="41"/>
        <v>0.0018630510262382983</v>
      </c>
    </row>
    <row r="98" spans="1:19" ht="12.75">
      <c r="A98" s="285" t="s">
        <v>481</v>
      </c>
      <c r="B98" s="280">
        <f t="shared" si="42"/>
        <v>107364</v>
      </c>
      <c r="C98" s="286">
        <f t="shared" si="37"/>
        <v>0.02397719392865398</v>
      </c>
      <c r="E98" s="285" t="s">
        <v>481</v>
      </c>
      <c r="F98" s="48">
        <v>27708</v>
      </c>
      <c r="G98" s="286">
        <f t="shared" si="38"/>
        <v>0.05917528767544571</v>
      </c>
      <c r="H98" s="23"/>
      <c r="I98" s="285" t="s">
        <v>481</v>
      </c>
      <c r="J98" s="48">
        <v>16066</v>
      </c>
      <c r="K98" s="286">
        <f t="shared" si="39"/>
        <v>0.044619597518232766</v>
      </c>
      <c r="L98" s="23"/>
      <c r="M98" s="285" t="s">
        <v>481</v>
      </c>
      <c r="N98" s="48">
        <v>31991</v>
      </c>
      <c r="O98" s="286">
        <f t="shared" si="40"/>
        <v>0.02328052262011581</v>
      </c>
      <c r="P98" s="23"/>
      <c r="Q98" s="285" t="s">
        <v>481</v>
      </c>
      <c r="R98" s="48">
        <v>31599</v>
      </c>
      <c r="S98" s="286">
        <f t="shared" si="41"/>
        <v>0.01388783896629016</v>
      </c>
    </row>
    <row r="99" spans="1:19" ht="12.75">
      <c r="A99" s="285" t="s">
        <v>482</v>
      </c>
      <c r="B99" s="280">
        <f t="shared" si="42"/>
        <v>223563</v>
      </c>
      <c r="C99" s="286">
        <f t="shared" si="37"/>
        <v>0.049927474817179594</v>
      </c>
      <c r="E99" s="285" t="s">
        <v>482</v>
      </c>
      <c r="F99" s="48">
        <v>35156</v>
      </c>
      <c r="G99" s="286">
        <f t="shared" si="38"/>
        <v>0.07508179635910096</v>
      </c>
      <c r="H99" s="23"/>
      <c r="I99" s="285" t="s">
        <v>482</v>
      </c>
      <c r="J99" s="48">
        <v>29983</v>
      </c>
      <c r="K99" s="286">
        <f t="shared" si="39"/>
        <v>0.08327084478956635</v>
      </c>
      <c r="L99" s="23"/>
      <c r="M99" s="285" t="s">
        <v>482</v>
      </c>
      <c r="N99" s="48">
        <v>67031</v>
      </c>
      <c r="O99" s="286">
        <f t="shared" si="40"/>
        <v>0.04877986657963124</v>
      </c>
      <c r="P99" s="23"/>
      <c r="Q99" s="285" t="s">
        <v>482</v>
      </c>
      <c r="R99" s="48">
        <v>91393</v>
      </c>
      <c r="S99" s="286">
        <f t="shared" si="41"/>
        <v>0.04016745044609502</v>
      </c>
    </row>
    <row r="100" spans="1:19" ht="12.75">
      <c r="A100" s="285" t="s">
        <v>483</v>
      </c>
      <c r="B100" s="280">
        <f t="shared" si="42"/>
        <v>176552</v>
      </c>
      <c r="C100" s="286">
        <f t="shared" si="37"/>
        <v>0.03942868692011957</v>
      </c>
      <c r="E100" s="285" t="s">
        <v>483</v>
      </c>
      <c r="F100" s="48">
        <v>10033</v>
      </c>
      <c r="G100" s="286">
        <f t="shared" si="38"/>
        <v>0.02142722900417738</v>
      </c>
      <c r="H100" s="23"/>
      <c r="I100" s="285" t="s">
        <v>483</v>
      </c>
      <c r="J100" s="48">
        <v>14534</v>
      </c>
      <c r="K100" s="286">
        <f t="shared" si="39"/>
        <v>0.04036482200485467</v>
      </c>
      <c r="L100" s="23"/>
      <c r="M100" s="285" t="s">
        <v>483</v>
      </c>
      <c r="N100" s="48">
        <v>51270</v>
      </c>
      <c r="O100" s="286">
        <f t="shared" si="40"/>
        <v>0.03731025584487317</v>
      </c>
      <c r="P100" s="23"/>
      <c r="Q100" s="285" t="s">
        <v>483</v>
      </c>
      <c r="R100" s="48">
        <v>100715</v>
      </c>
      <c r="S100" s="286">
        <f t="shared" si="41"/>
        <v>0.044264492594383156</v>
      </c>
    </row>
    <row r="101" spans="1:19" ht="12.75">
      <c r="A101" s="285" t="s">
        <v>484</v>
      </c>
      <c r="B101" s="280">
        <f t="shared" si="42"/>
        <v>158678</v>
      </c>
      <c r="C101" s="286">
        <f t="shared" si="37"/>
        <v>0.0354369544559718</v>
      </c>
      <c r="E101" s="285" t="s">
        <v>484</v>
      </c>
      <c r="F101" s="48">
        <v>5794</v>
      </c>
      <c r="G101" s="286">
        <f t="shared" si="38"/>
        <v>0.012374101948590028</v>
      </c>
      <c r="H101" s="23"/>
      <c r="I101" s="285" t="s">
        <v>484</v>
      </c>
      <c r="J101" s="48">
        <v>9305</v>
      </c>
      <c r="K101" s="286">
        <f t="shared" si="39"/>
        <v>0.02584248443340943</v>
      </c>
      <c r="L101" s="23"/>
      <c r="M101" s="285" t="s">
        <v>484</v>
      </c>
      <c r="N101" s="48">
        <v>33353</v>
      </c>
      <c r="O101" s="286">
        <f t="shared" si="40"/>
        <v>0.024271678626761356</v>
      </c>
      <c r="P101" s="23"/>
      <c r="Q101" s="285" t="s">
        <v>484</v>
      </c>
      <c r="R101" s="48">
        <v>110226</v>
      </c>
      <c r="S101" s="286">
        <f t="shared" si="41"/>
        <v>0.048444600711994024</v>
      </c>
    </row>
    <row r="102" spans="1:19" ht="12.75">
      <c r="A102" s="285" t="s">
        <v>469</v>
      </c>
      <c r="B102" s="47">
        <v>339</v>
      </c>
      <c r="C102" s="24"/>
      <c r="E102" s="285" t="s">
        <v>469</v>
      </c>
      <c r="F102" s="47">
        <v>222</v>
      </c>
      <c r="G102" s="24"/>
      <c r="H102" s="23"/>
      <c r="I102" s="285" t="s">
        <v>469</v>
      </c>
      <c r="J102" s="47">
        <v>258</v>
      </c>
      <c r="K102" s="24"/>
      <c r="L102" s="23"/>
      <c r="M102" s="285" t="s">
        <v>469</v>
      </c>
      <c r="N102" s="47">
        <v>290</v>
      </c>
      <c r="O102" s="24"/>
      <c r="P102" s="23"/>
      <c r="Q102" s="285" t="s">
        <v>469</v>
      </c>
      <c r="R102" s="47">
        <v>339</v>
      </c>
      <c r="S102" s="24"/>
    </row>
    <row r="103" spans="1:19" ht="12.75">
      <c r="A103" s="276"/>
      <c r="B103" s="276"/>
      <c r="C103" s="24"/>
      <c r="E103" s="276"/>
      <c r="F103" s="276"/>
      <c r="G103" s="24"/>
      <c r="H103" s="23"/>
      <c r="I103" s="276"/>
      <c r="J103" s="276"/>
      <c r="K103" s="24"/>
      <c r="L103" s="23"/>
      <c r="M103" s="276"/>
      <c r="N103" s="276"/>
      <c r="O103" s="24"/>
      <c r="P103" s="23"/>
      <c r="Q103" s="276"/>
      <c r="R103" s="276"/>
      <c r="S103" s="24"/>
    </row>
    <row r="104" spans="1:19" ht="51">
      <c r="A104" s="282" t="s">
        <v>485</v>
      </c>
      <c r="B104" s="282"/>
      <c r="C104" s="24"/>
      <c r="E104" s="282" t="s">
        <v>485</v>
      </c>
      <c r="F104" s="282"/>
      <c r="G104" s="24"/>
      <c r="H104" s="23"/>
      <c r="I104" s="282" t="s">
        <v>485</v>
      </c>
      <c r="J104" s="282"/>
      <c r="K104" s="24"/>
      <c r="L104" s="23"/>
      <c r="M104" s="282" t="s">
        <v>485</v>
      </c>
      <c r="N104" s="282"/>
      <c r="O104" s="24"/>
      <c r="P104" s="23"/>
      <c r="Q104" s="282" t="s">
        <v>485</v>
      </c>
      <c r="R104" s="282"/>
      <c r="S104" s="24"/>
    </row>
    <row r="105" spans="1:19" ht="12.75">
      <c r="A105" s="276" t="s">
        <v>486</v>
      </c>
      <c r="B105" s="280">
        <f aca="true" t="shared" si="43" ref="B105:B120">F105+J105+N105+R105</f>
        <v>1602508</v>
      </c>
      <c r="C105" s="286">
        <f aca="true" t="shared" si="44" ref="C105:C120">B105/B$38</f>
        <v>0.3578820190028262</v>
      </c>
      <c r="E105" s="276" t="s">
        <v>486</v>
      </c>
      <c r="F105" s="48">
        <v>173892</v>
      </c>
      <c r="G105" s="286">
        <f aca="true" t="shared" si="45" ref="G105:G120">F105/F$38</f>
        <v>0.37137682707010994</v>
      </c>
      <c r="H105" s="23"/>
      <c r="I105" s="276" t="s">
        <v>486</v>
      </c>
      <c r="J105" s="48">
        <v>101055</v>
      </c>
      <c r="K105" s="286">
        <f aca="true" t="shared" si="46" ref="K105:K120">J105/J$38</f>
        <v>0.28065687957207847</v>
      </c>
      <c r="L105" s="23"/>
      <c r="M105" s="276" t="s">
        <v>486</v>
      </c>
      <c r="N105" s="48">
        <v>493580</v>
      </c>
      <c r="O105" s="286">
        <f aca="true" t="shared" si="47" ref="O105:O120">N105/N$38</f>
        <v>0.35918853286351665</v>
      </c>
      <c r="P105" s="23"/>
      <c r="Q105" s="276" t="s">
        <v>486</v>
      </c>
      <c r="R105" s="48">
        <v>833981</v>
      </c>
      <c r="S105" s="286">
        <f aca="true" t="shared" si="48" ref="S105:S120">R105/R$38</f>
        <v>0.36653672043247043</v>
      </c>
    </row>
    <row r="106" spans="1:19" ht="12.75">
      <c r="A106" s="285" t="s">
        <v>487</v>
      </c>
      <c r="B106" s="280">
        <f t="shared" si="43"/>
        <v>596242</v>
      </c>
      <c r="C106" s="286">
        <f t="shared" si="44"/>
        <v>0.1331564589844688</v>
      </c>
      <c r="E106" s="285" t="s">
        <v>487</v>
      </c>
      <c r="F106" s="48">
        <v>81662</v>
      </c>
      <c r="G106" s="286">
        <f t="shared" si="45"/>
        <v>0.17440350592436293</v>
      </c>
      <c r="H106" s="23"/>
      <c r="I106" s="285" t="s">
        <v>487</v>
      </c>
      <c r="J106" s="48">
        <v>43287</v>
      </c>
      <c r="K106" s="286">
        <f t="shared" si="46"/>
        <v>0.12021962640182633</v>
      </c>
      <c r="L106" s="23"/>
      <c r="M106" s="285" t="s">
        <v>487</v>
      </c>
      <c r="N106" s="48">
        <v>177924</v>
      </c>
      <c r="O106" s="286">
        <f t="shared" si="47"/>
        <v>0.12947903181086823</v>
      </c>
      <c r="P106" s="23"/>
      <c r="Q106" s="285" t="s">
        <v>487</v>
      </c>
      <c r="R106" s="48">
        <v>293369</v>
      </c>
      <c r="S106" s="286">
        <f t="shared" si="48"/>
        <v>0.12893640399068254</v>
      </c>
    </row>
    <row r="107" spans="1:19" ht="12.75">
      <c r="A107" s="285" t="s">
        <v>488</v>
      </c>
      <c r="B107" s="280">
        <f t="shared" si="43"/>
        <v>298476</v>
      </c>
      <c r="C107" s="286">
        <f t="shared" si="44"/>
        <v>0.06665751029254616</v>
      </c>
      <c r="E107" s="285" t="s">
        <v>488</v>
      </c>
      <c r="F107" s="48">
        <v>35399</v>
      </c>
      <c r="G107" s="286">
        <f t="shared" si="45"/>
        <v>0.07560076542598176</v>
      </c>
      <c r="H107" s="23"/>
      <c r="I107" s="285" t="s">
        <v>488</v>
      </c>
      <c r="J107" s="48">
        <v>18682</v>
      </c>
      <c r="K107" s="286">
        <f t="shared" si="46"/>
        <v>0.05188493220687319</v>
      </c>
      <c r="L107" s="23"/>
      <c r="M107" s="285" t="s">
        <v>488</v>
      </c>
      <c r="N107" s="48">
        <v>91974</v>
      </c>
      <c r="O107" s="286">
        <f t="shared" si="47"/>
        <v>0.06693141156770753</v>
      </c>
      <c r="P107" s="23"/>
      <c r="Q107" s="285" t="s">
        <v>488</v>
      </c>
      <c r="R107" s="48">
        <v>152421</v>
      </c>
      <c r="S107" s="286">
        <f t="shared" si="48"/>
        <v>0.06698940799015514</v>
      </c>
    </row>
    <row r="108" spans="1:19" ht="12.75">
      <c r="A108" s="285" t="s">
        <v>489</v>
      </c>
      <c r="B108" s="280">
        <f t="shared" si="43"/>
        <v>226683</v>
      </c>
      <c r="C108" s="286">
        <f t="shared" si="44"/>
        <v>0.050624252555130866</v>
      </c>
      <c r="E108" s="285" t="s">
        <v>489</v>
      </c>
      <c r="F108" s="48">
        <v>20574</v>
      </c>
      <c r="G108" s="286">
        <f t="shared" si="45"/>
        <v>0.043939380995908044</v>
      </c>
      <c r="H108" s="23"/>
      <c r="I108" s="285" t="s">
        <v>489</v>
      </c>
      <c r="J108" s="48">
        <v>12579</v>
      </c>
      <c r="K108" s="286">
        <f t="shared" si="46"/>
        <v>0.03493526186865741</v>
      </c>
      <c r="L108" s="23"/>
      <c r="M108" s="285" t="s">
        <v>489</v>
      </c>
      <c r="N108" s="48">
        <v>70120</v>
      </c>
      <c r="O108" s="286">
        <f t="shared" si="47"/>
        <v>0.051027796759167285</v>
      </c>
      <c r="P108" s="23"/>
      <c r="Q108" s="285" t="s">
        <v>489</v>
      </c>
      <c r="R108" s="48">
        <v>123410</v>
      </c>
      <c r="S108" s="286">
        <f t="shared" si="48"/>
        <v>0.0542390014503582</v>
      </c>
    </row>
    <row r="109" spans="1:19" ht="12.75">
      <c r="A109" s="285" t="s">
        <v>490</v>
      </c>
      <c r="B109" s="280">
        <f t="shared" si="43"/>
        <v>140007</v>
      </c>
      <c r="C109" s="286">
        <f t="shared" si="44"/>
        <v>0.03126723101196917</v>
      </c>
      <c r="E109" s="285" t="s">
        <v>490</v>
      </c>
      <c r="F109" s="48">
        <v>8266</v>
      </c>
      <c r="G109" s="286">
        <f t="shared" si="45"/>
        <v>0.017653490974636723</v>
      </c>
      <c r="H109" s="23"/>
      <c r="I109" s="285" t="s">
        <v>490</v>
      </c>
      <c r="J109" s="48">
        <v>8024</v>
      </c>
      <c r="K109" s="286">
        <f t="shared" si="46"/>
        <v>0.022284803341609594</v>
      </c>
      <c r="L109" s="23"/>
      <c r="M109" s="285" t="s">
        <v>490</v>
      </c>
      <c r="N109" s="48">
        <v>42117</v>
      </c>
      <c r="O109" s="286">
        <f t="shared" si="47"/>
        <v>0.030649425500653856</v>
      </c>
      <c r="P109" s="23"/>
      <c r="Q109" s="285" t="s">
        <v>490</v>
      </c>
      <c r="R109" s="48">
        <v>81600</v>
      </c>
      <c r="S109" s="286">
        <f t="shared" si="48"/>
        <v>0.03586340262822485</v>
      </c>
    </row>
    <row r="110" spans="1:19" ht="12.75">
      <c r="A110" s="285" t="s">
        <v>491</v>
      </c>
      <c r="B110" s="280">
        <f t="shared" si="43"/>
        <v>336260</v>
      </c>
      <c r="C110" s="286">
        <f t="shared" si="44"/>
        <v>0.07509566736009451</v>
      </c>
      <c r="E110" s="285" t="s">
        <v>491</v>
      </c>
      <c r="F110" s="48">
        <v>27054</v>
      </c>
      <c r="G110" s="286">
        <f t="shared" si="45"/>
        <v>0.05777855611272948</v>
      </c>
      <c r="H110" s="23"/>
      <c r="I110" s="285" t="s">
        <v>491</v>
      </c>
      <c r="J110" s="48">
        <v>18369</v>
      </c>
      <c r="K110" s="286">
        <f t="shared" si="46"/>
        <v>0.051015647131359254</v>
      </c>
      <c r="L110" s="23"/>
      <c r="M110" s="285" t="s">
        <v>491</v>
      </c>
      <c r="N110" s="48">
        <v>109466</v>
      </c>
      <c r="O110" s="286">
        <f t="shared" si="47"/>
        <v>0.07966070735936974</v>
      </c>
      <c r="P110" s="23"/>
      <c r="Q110" s="285" t="s">
        <v>491</v>
      </c>
      <c r="R110" s="48">
        <v>181371</v>
      </c>
      <c r="S110" s="286">
        <f t="shared" si="48"/>
        <v>0.07971300487847756</v>
      </c>
    </row>
    <row r="111" spans="1:19" ht="12.75">
      <c r="A111" s="285" t="s">
        <v>492</v>
      </c>
      <c r="B111" s="280">
        <f t="shared" si="43"/>
        <v>4840</v>
      </c>
      <c r="C111" s="286">
        <f t="shared" si="44"/>
        <v>0.0010808987986167175</v>
      </c>
      <c r="E111" s="285" t="s">
        <v>492</v>
      </c>
      <c r="F111" s="47">
        <v>937</v>
      </c>
      <c r="G111" s="286">
        <f t="shared" si="45"/>
        <v>0.002001127636491</v>
      </c>
      <c r="H111" s="23"/>
      <c r="I111" s="285" t="s">
        <v>492</v>
      </c>
      <c r="J111" s="47">
        <v>114</v>
      </c>
      <c r="K111" s="286">
        <f t="shared" si="46"/>
        <v>0.00031660862175267865</v>
      </c>
      <c r="L111" s="23"/>
      <c r="M111" s="285" t="s">
        <v>492</v>
      </c>
      <c r="N111" s="48">
        <v>1979</v>
      </c>
      <c r="O111" s="286">
        <f t="shared" si="47"/>
        <v>0.0014401598657500293</v>
      </c>
      <c r="P111" s="23"/>
      <c r="Q111" s="285" t="s">
        <v>492</v>
      </c>
      <c r="R111" s="48">
        <v>1810</v>
      </c>
      <c r="S111" s="286">
        <f t="shared" si="48"/>
        <v>0.0007954994945721444</v>
      </c>
    </row>
    <row r="112" spans="1:19" ht="25.5">
      <c r="A112" s="276" t="s">
        <v>493</v>
      </c>
      <c r="B112" s="280">
        <f t="shared" si="43"/>
        <v>677640</v>
      </c>
      <c r="C112" s="286">
        <f t="shared" si="44"/>
        <v>0.1513347648542629</v>
      </c>
      <c r="E112" s="276" t="s">
        <v>493</v>
      </c>
      <c r="F112" s="48">
        <v>82807</v>
      </c>
      <c r="G112" s="286">
        <f t="shared" si="45"/>
        <v>0.17684885399670253</v>
      </c>
      <c r="H112" s="23"/>
      <c r="I112" s="276" t="s">
        <v>493</v>
      </c>
      <c r="J112" s="48">
        <v>71451</v>
      </c>
      <c r="K112" s="286">
        <f t="shared" si="46"/>
        <v>0.19843861958640915</v>
      </c>
      <c r="L112" s="23"/>
      <c r="M112" s="276" t="s">
        <v>493</v>
      </c>
      <c r="N112" s="48">
        <v>185210</v>
      </c>
      <c r="O112" s="286">
        <f t="shared" si="47"/>
        <v>0.13478120704171953</v>
      </c>
      <c r="P112" s="23"/>
      <c r="Q112" s="276" t="s">
        <v>493</v>
      </c>
      <c r="R112" s="48">
        <v>338172</v>
      </c>
      <c r="S112" s="286">
        <f t="shared" si="48"/>
        <v>0.14862743374500065</v>
      </c>
    </row>
    <row r="113" spans="1:19" ht="12.75">
      <c r="A113" s="285" t="s">
        <v>494</v>
      </c>
      <c r="B113" s="280">
        <f t="shared" si="43"/>
        <v>340382</v>
      </c>
      <c r="C113" s="286">
        <f t="shared" si="44"/>
        <v>0.07601621794850322</v>
      </c>
      <c r="E113" s="285" t="s">
        <v>494</v>
      </c>
      <c r="F113" s="48">
        <v>51338</v>
      </c>
      <c r="G113" s="286">
        <f t="shared" si="45"/>
        <v>0.10964129199805227</v>
      </c>
      <c r="H113" s="23"/>
      <c r="I113" s="285" t="s">
        <v>494</v>
      </c>
      <c r="J113" s="48">
        <v>33360</v>
      </c>
      <c r="K113" s="286">
        <f t="shared" si="46"/>
        <v>0.09264968089183649</v>
      </c>
      <c r="L113" s="23"/>
      <c r="M113" s="285" t="s">
        <v>494</v>
      </c>
      <c r="N113" s="48">
        <v>86615</v>
      </c>
      <c r="O113" s="286">
        <f t="shared" si="47"/>
        <v>0.0630315547104289</v>
      </c>
      <c r="P113" s="23"/>
      <c r="Q113" s="285" t="s">
        <v>494</v>
      </c>
      <c r="R113" s="48">
        <v>169069</v>
      </c>
      <c r="S113" s="286">
        <f t="shared" si="48"/>
        <v>0.07430624533028611</v>
      </c>
    </row>
    <row r="114" spans="1:19" ht="12.75">
      <c r="A114" s="285" t="s">
        <v>495</v>
      </c>
      <c r="B114" s="280">
        <f t="shared" si="43"/>
        <v>143023</v>
      </c>
      <c r="C114" s="286">
        <f t="shared" si="44"/>
        <v>0.03194078282532206</v>
      </c>
      <c r="E114" s="285" t="s">
        <v>495</v>
      </c>
      <c r="F114" s="48">
        <v>15384</v>
      </c>
      <c r="G114" s="286">
        <f t="shared" si="45"/>
        <v>0.032855226851416806</v>
      </c>
      <c r="H114" s="23"/>
      <c r="I114" s="285" t="s">
        <v>495</v>
      </c>
      <c r="J114" s="48">
        <v>13623</v>
      </c>
      <c r="K114" s="286">
        <f t="shared" si="46"/>
        <v>0.037834730299445105</v>
      </c>
      <c r="L114" s="23"/>
      <c r="M114" s="285" t="s">
        <v>495</v>
      </c>
      <c r="N114" s="48">
        <v>41881</v>
      </c>
      <c r="O114" s="286">
        <f t="shared" si="47"/>
        <v>0.030477683343848903</v>
      </c>
      <c r="P114" s="23"/>
      <c r="Q114" s="285" t="s">
        <v>495</v>
      </c>
      <c r="R114" s="48">
        <v>72135</v>
      </c>
      <c r="S114" s="286">
        <f t="shared" si="48"/>
        <v>0.03170351162484068</v>
      </c>
    </row>
    <row r="115" spans="1:19" ht="12.75">
      <c r="A115" s="285" t="s">
        <v>496</v>
      </c>
      <c r="B115" s="280">
        <f t="shared" si="43"/>
        <v>68030</v>
      </c>
      <c r="C115" s="286">
        <f t="shared" si="44"/>
        <v>0.015192881254110597</v>
      </c>
      <c r="E115" s="285" t="s">
        <v>496</v>
      </c>
      <c r="F115" s="48">
        <v>5927</v>
      </c>
      <c r="G115" s="286">
        <f t="shared" si="45"/>
        <v>0.012658146746512442</v>
      </c>
      <c r="H115" s="23"/>
      <c r="I115" s="285" t="s">
        <v>496</v>
      </c>
      <c r="J115" s="48">
        <v>6867</v>
      </c>
      <c r="K115" s="286">
        <f t="shared" si="46"/>
        <v>0.019071503557681092</v>
      </c>
      <c r="L115" s="23"/>
      <c r="M115" s="285" t="s">
        <v>496</v>
      </c>
      <c r="N115" s="48">
        <v>19765</v>
      </c>
      <c r="O115" s="286">
        <f t="shared" si="47"/>
        <v>0.014383405632415022</v>
      </c>
      <c r="P115" s="23"/>
      <c r="Q115" s="285" t="s">
        <v>496</v>
      </c>
      <c r="R115" s="48">
        <v>35471</v>
      </c>
      <c r="S115" s="286">
        <f t="shared" si="48"/>
        <v>0.015589592581198084</v>
      </c>
    </row>
    <row r="116" spans="1:19" ht="12.75">
      <c r="A116" s="285" t="s">
        <v>488</v>
      </c>
      <c r="B116" s="280">
        <f t="shared" si="43"/>
        <v>36793</v>
      </c>
      <c r="C116" s="286">
        <f t="shared" si="44"/>
        <v>0.008216840805269606</v>
      </c>
      <c r="E116" s="285" t="s">
        <v>488</v>
      </c>
      <c r="F116" s="48">
        <v>2241</v>
      </c>
      <c r="G116" s="286">
        <f t="shared" si="45"/>
        <v>0.004786048061234079</v>
      </c>
      <c r="H116" s="23"/>
      <c r="I116" s="285" t="s">
        <v>488</v>
      </c>
      <c r="J116" s="48">
        <v>4819</v>
      </c>
      <c r="K116" s="286">
        <f t="shared" si="46"/>
        <v>0.013383657440580338</v>
      </c>
      <c r="L116" s="23"/>
      <c r="M116" s="285" t="s">
        <v>488</v>
      </c>
      <c r="N116" s="48">
        <v>12984</v>
      </c>
      <c r="O116" s="286">
        <f t="shared" si="47"/>
        <v>0.009448729508286196</v>
      </c>
      <c r="P116" s="23"/>
      <c r="Q116" s="285" t="s">
        <v>488</v>
      </c>
      <c r="R116" s="48">
        <v>16749</v>
      </c>
      <c r="S116" s="286">
        <f t="shared" si="48"/>
        <v>0.007361227090933064</v>
      </c>
    </row>
    <row r="117" spans="1:19" ht="12.75">
      <c r="A117" s="285" t="s">
        <v>489</v>
      </c>
      <c r="B117" s="280">
        <f t="shared" si="43"/>
        <v>22522</v>
      </c>
      <c r="C117" s="286">
        <f t="shared" si="44"/>
        <v>0.005029752632736717</v>
      </c>
      <c r="E117" s="285" t="s">
        <v>489</v>
      </c>
      <c r="F117" s="48">
        <v>1911</v>
      </c>
      <c r="G117" s="286">
        <f t="shared" si="45"/>
        <v>0.004081275254358913</v>
      </c>
      <c r="H117" s="23"/>
      <c r="I117" s="285" t="s">
        <v>489</v>
      </c>
      <c r="J117" s="48">
        <v>3410</v>
      </c>
      <c r="K117" s="286">
        <f t="shared" si="46"/>
        <v>0.009470485966461705</v>
      </c>
      <c r="L117" s="23"/>
      <c r="M117" s="285" t="s">
        <v>489</v>
      </c>
      <c r="N117" s="48">
        <v>5801</v>
      </c>
      <c r="O117" s="286">
        <f t="shared" si="47"/>
        <v>0.004221509540786215</v>
      </c>
      <c r="P117" s="23"/>
      <c r="Q117" s="285" t="s">
        <v>489</v>
      </c>
      <c r="R117" s="48">
        <v>11400</v>
      </c>
      <c r="S117" s="286">
        <f t="shared" si="48"/>
        <v>0.005010328308354942</v>
      </c>
    </row>
    <row r="118" spans="1:19" ht="12.75">
      <c r="A118" s="285" t="s">
        <v>490</v>
      </c>
      <c r="B118" s="280">
        <f t="shared" si="43"/>
        <v>16422</v>
      </c>
      <c r="C118" s="286">
        <f t="shared" si="44"/>
        <v>0.003667462824562755</v>
      </c>
      <c r="E118" s="285" t="s">
        <v>490</v>
      </c>
      <c r="F118" s="47">
        <v>603</v>
      </c>
      <c r="G118" s="286">
        <f t="shared" si="45"/>
        <v>0.001287812128926439</v>
      </c>
      <c r="H118" s="23"/>
      <c r="I118" s="285" t="s">
        <v>490</v>
      </c>
      <c r="J118" s="48">
        <v>1718</v>
      </c>
      <c r="K118" s="286">
        <f t="shared" si="46"/>
        <v>0.004771347475185105</v>
      </c>
      <c r="L118" s="23"/>
      <c r="M118" s="285" t="s">
        <v>490</v>
      </c>
      <c r="N118" s="48">
        <v>4742</v>
      </c>
      <c r="O118" s="286">
        <f t="shared" si="47"/>
        <v>0.003450852998174148</v>
      </c>
      <c r="P118" s="23"/>
      <c r="Q118" s="285" t="s">
        <v>490</v>
      </c>
      <c r="R118" s="48">
        <v>9359</v>
      </c>
      <c r="S118" s="286">
        <f t="shared" si="48"/>
        <v>0.004113303740166132</v>
      </c>
    </row>
    <row r="119" spans="1:19" ht="12.75">
      <c r="A119" s="285" t="s">
        <v>491</v>
      </c>
      <c r="B119" s="280">
        <f t="shared" si="43"/>
        <v>45258</v>
      </c>
      <c r="C119" s="286">
        <f t="shared" si="44"/>
        <v>0.010107297071858553</v>
      </c>
      <c r="E119" s="285" t="s">
        <v>491</v>
      </c>
      <c r="F119" s="48">
        <v>4686</v>
      </c>
      <c r="G119" s="286">
        <f t="shared" si="45"/>
        <v>0.01000777385762735</v>
      </c>
      <c r="H119" s="23"/>
      <c r="I119" s="285" t="s">
        <v>491</v>
      </c>
      <c r="J119" s="48">
        <v>6850</v>
      </c>
      <c r="K119" s="286">
        <f t="shared" si="46"/>
        <v>0.019024289991279378</v>
      </c>
      <c r="L119" s="23"/>
      <c r="M119" s="285" t="s">
        <v>491</v>
      </c>
      <c r="N119" s="48">
        <v>11161</v>
      </c>
      <c r="O119" s="286">
        <f t="shared" si="47"/>
        <v>0.008122094119068255</v>
      </c>
      <c r="P119" s="23"/>
      <c r="Q119" s="285" t="s">
        <v>491</v>
      </c>
      <c r="R119" s="48">
        <v>22561</v>
      </c>
      <c r="S119" s="286">
        <f t="shared" si="48"/>
        <v>0.009915615523227707</v>
      </c>
    </row>
    <row r="120" spans="1:19" ht="12.75">
      <c r="A120" s="285" t="s">
        <v>492</v>
      </c>
      <c r="B120" s="280">
        <f t="shared" si="43"/>
        <v>5210</v>
      </c>
      <c r="C120" s="286">
        <f t="shared" si="44"/>
        <v>0.0011635294918994005</v>
      </c>
      <c r="E120" s="285" t="s">
        <v>492</v>
      </c>
      <c r="F120" s="47">
        <v>717</v>
      </c>
      <c r="G120" s="286">
        <f t="shared" si="45"/>
        <v>0.0015312790985742232</v>
      </c>
      <c r="H120" s="23"/>
      <c r="I120" s="285" t="s">
        <v>492</v>
      </c>
      <c r="J120" s="47">
        <v>804</v>
      </c>
      <c r="K120" s="286">
        <f t="shared" si="46"/>
        <v>0.0022329239639399443</v>
      </c>
      <c r="L120" s="23"/>
      <c r="M120" s="285" t="s">
        <v>492</v>
      </c>
      <c r="N120" s="48">
        <v>2261</v>
      </c>
      <c r="O120" s="286">
        <f t="shared" si="47"/>
        <v>0.0016453771887118829</v>
      </c>
      <c r="P120" s="23"/>
      <c r="Q120" s="285" t="s">
        <v>492</v>
      </c>
      <c r="R120" s="48">
        <v>1428</v>
      </c>
      <c r="S120" s="286">
        <f t="shared" si="48"/>
        <v>0.0006276095459939349</v>
      </c>
    </row>
    <row r="121" spans="1:19" ht="12.75">
      <c r="A121" s="276"/>
      <c r="B121" s="276"/>
      <c r="C121" s="24"/>
      <c r="E121" s="276"/>
      <c r="F121" s="276"/>
      <c r="G121" s="24"/>
      <c r="H121" s="23"/>
      <c r="I121" s="276"/>
      <c r="J121" s="276"/>
      <c r="K121" s="24"/>
      <c r="L121" s="23"/>
      <c r="M121" s="276"/>
      <c r="N121" s="276"/>
      <c r="O121" s="24"/>
      <c r="P121" s="23"/>
      <c r="Q121" s="276"/>
      <c r="R121" s="276"/>
      <c r="S121" s="24"/>
    </row>
    <row r="122" spans="1:19" ht="25.5">
      <c r="A122" s="279" t="s">
        <v>497</v>
      </c>
      <c r="B122" s="280">
        <f>F122+J122+N122+R122</f>
        <v>1531188</v>
      </c>
      <c r="C122" s="232">
        <f>B122/B$122</f>
        <v>1</v>
      </c>
      <c r="E122" s="279" t="s">
        <v>497</v>
      </c>
      <c r="F122" s="280">
        <v>119050</v>
      </c>
      <c r="G122" s="232">
        <f>F122/F$122</f>
        <v>1</v>
      </c>
      <c r="H122" s="23"/>
      <c r="I122" s="279" t="s">
        <v>497</v>
      </c>
      <c r="J122" s="280">
        <v>100685</v>
      </c>
      <c r="K122" s="232">
        <f>J122/J$122</f>
        <v>1</v>
      </c>
      <c r="L122" s="23"/>
      <c r="M122" s="279" t="s">
        <v>497</v>
      </c>
      <c r="N122" s="280">
        <v>496673</v>
      </c>
      <c r="O122" s="232">
        <f>N122/N$122</f>
        <v>1</v>
      </c>
      <c r="P122" s="23"/>
      <c r="Q122" s="279" t="s">
        <v>497</v>
      </c>
      <c r="R122" s="280">
        <v>814780</v>
      </c>
      <c r="S122" s="232">
        <f>R122/R$122</f>
        <v>1</v>
      </c>
    </row>
    <row r="123" spans="1:19" ht="12.75">
      <c r="A123" s="282" t="s">
        <v>498</v>
      </c>
      <c r="B123" s="282"/>
      <c r="C123" s="24"/>
      <c r="E123" s="282" t="s">
        <v>498</v>
      </c>
      <c r="F123" s="282"/>
      <c r="G123" s="24"/>
      <c r="H123" s="23"/>
      <c r="I123" s="282" t="s">
        <v>498</v>
      </c>
      <c r="J123" s="282"/>
      <c r="K123" s="24"/>
      <c r="L123" s="23"/>
      <c r="M123" s="282" t="s">
        <v>498</v>
      </c>
      <c r="N123" s="282"/>
      <c r="O123" s="24"/>
      <c r="P123" s="23"/>
      <c r="Q123" s="282" t="s">
        <v>498</v>
      </c>
      <c r="R123" s="282"/>
      <c r="S123" s="24"/>
    </row>
    <row r="124" spans="1:19" ht="12.75">
      <c r="A124" s="276" t="s">
        <v>499</v>
      </c>
      <c r="B124" s="280">
        <f aca="true" t="shared" si="49" ref="B124:B131">F124+J124+N124+R124</f>
        <v>61549</v>
      </c>
      <c r="C124" s="232">
        <f>B124/B$122</f>
        <v>0.040196892870111314</v>
      </c>
      <c r="E124" s="276" t="s">
        <v>499</v>
      </c>
      <c r="F124" s="48">
        <v>4799</v>
      </c>
      <c r="G124" s="232">
        <f>F124/F$122</f>
        <v>0.04031079378412432</v>
      </c>
      <c r="H124" s="23"/>
      <c r="I124" s="276" t="s">
        <v>499</v>
      </c>
      <c r="J124" s="48">
        <v>9346</v>
      </c>
      <c r="K124" s="232">
        <f>J124/J$122</f>
        <v>0.09282415454139147</v>
      </c>
      <c r="L124" s="23"/>
      <c r="M124" s="276" t="s">
        <v>499</v>
      </c>
      <c r="N124" s="48">
        <v>18985</v>
      </c>
      <c r="O124" s="232">
        <f>N124/N$122</f>
        <v>0.03822434479023422</v>
      </c>
      <c r="P124" s="23"/>
      <c r="Q124" s="276" t="s">
        <v>499</v>
      </c>
      <c r="R124" s="48">
        <v>28419</v>
      </c>
      <c r="S124" s="232">
        <f>R124/R$122</f>
        <v>0.03487935393603181</v>
      </c>
    </row>
    <row r="125" spans="1:19" ht="12.75">
      <c r="A125" s="276" t="s">
        <v>482</v>
      </c>
      <c r="B125" s="280">
        <f t="shared" si="49"/>
        <v>60484</v>
      </c>
      <c r="C125" s="232">
        <f aca="true" t="shared" si="50" ref="C125:C131">B125/B$122</f>
        <v>0.03950135450382317</v>
      </c>
      <c r="E125" s="276" t="s">
        <v>482</v>
      </c>
      <c r="F125" s="48">
        <v>9807</v>
      </c>
      <c r="G125" s="232">
        <f aca="true" t="shared" si="51" ref="G125:G131">F125/F$122</f>
        <v>0.08237715245695086</v>
      </c>
      <c r="H125" s="23"/>
      <c r="I125" s="276" t="s">
        <v>482</v>
      </c>
      <c r="J125" s="48">
        <v>10982</v>
      </c>
      <c r="K125" s="232">
        <f aca="true" t="shared" si="52" ref="K125:K131">J125/J$122</f>
        <v>0.10907285097084968</v>
      </c>
      <c r="L125" s="23"/>
      <c r="M125" s="276" t="s">
        <v>482</v>
      </c>
      <c r="N125" s="48">
        <v>15318</v>
      </c>
      <c r="O125" s="232">
        <f aca="true" t="shared" si="53" ref="O125:O131">N125/N$122</f>
        <v>0.030841217460985396</v>
      </c>
      <c r="P125" s="23"/>
      <c r="Q125" s="276" t="s">
        <v>482</v>
      </c>
      <c r="R125" s="48">
        <v>24377</v>
      </c>
      <c r="S125" s="232">
        <f aca="true" t="shared" si="54" ref="S125:S131">R125/R$122</f>
        <v>0.029918505608876017</v>
      </c>
    </row>
    <row r="126" spans="1:19" ht="12.75">
      <c r="A126" s="276" t="s">
        <v>473</v>
      </c>
      <c r="B126" s="280">
        <f t="shared" si="49"/>
        <v>316400</v>
      </c>
      <c r="C126" s="232">
        <f t="shared" si="50"/>
        <v>0.20663693811602493</v>
      </c>
      <c r="E126" s="276" t="s">
        <v>473</v>
      </c>
      <c r="F126" s="48">
        <v>43775</v>
      </c>
      <c r="G126" s="232">
        <f t="shared" si="51"/>
        <v>0.3677026459470811</v>
      </c>
      <c r="H126" s="23"/>
      <c r="I126" s="276" t="s">
        <v>473</v>
      </c>
      <c r="J126" s="48">
        <v>35316</v>
      </c>
      <c r="K126" s="232">
        <f t="shared" si="52"/>
        <v>0.3507573124099916</v>
      </c>
      <c r="L126" s="23"/>
      <c r="M126" s="276" t="s">
        <v>473</v>
      </c>
      <c r="N126" s="48">
        <v>101385</v>
      </c>
      <c r="O126" s="232">
        <f t="shared" si="53"/>
        <v>0.2041282695052882</v>
      </c>
      <c r="P126" s="23"/>
      <c r="Q126" s="276" t="s">
        <v>473</v>
      </c>
      <c r="R126" s="48">
        <v>135924</v>
      </c>
      <c r="S126" s="232">
        <f t="shared" si="54"/>
        <v>0.16682294607133213</v>
      </c>
    </row>
    <row r="127" spans="1:19" ht="12.75">
      <c r="A127" s="276" t="s">
        <v>500</v>
      </c>
      <c r="B127" s="280">
        <f t="shared" si="49"/>
        <v>578213</v>
      </c>
      <c r="C127" s="232">
        <f t="shared" si="50"/>
        <v>0.37762377970569255</v>
      </c>
      <c r="E127" s="276" t="s">
        <v>500</v>
      </c>
      <c r="F127" s="48">
        <v>35132</v>
      </c>
      <c r="G127" s="232">
        <f t="shared" si="51"/>
        <v>0.29510289794204114</v>
      </c>
      <c r="H127" s="23"/>
      <c r="I127" s="276" t="s">
        <v>500</v>
      </c>
      <c r="J127" s="48">
        <v>28152</v>
      </c>
      <c r="K127" s="232">
        <f t="shared" si="52"/>
        <v>0.2796047077518995</v>
      </c>
      <c r="L127" s="23"/>
      <c r="M127" s="276" t="s">
        <v>500</v>
      </c>
      <c r="N127" s="48">
        <v>204213</v>
      </c>
      <c r="O127" s="232">
        <f t="shared" si="53"/>
        <v>0.41116187109023444</v>
      </c>
      <c r="P127" s="23"/>
      <c r="Q127" s="276" t="s">
        <v>500</v>
      </c>
      <c r="R127" s="48">
        <v>310716</v>
      </c>
      <c r="S127" s="232">
        <f t="shared" si="54"/>
        <v>0.3813495667542159</v>
      </c>
    </row>
    <row r="128" spans="1:19" ht="12.75">
      <c r="A128" s="276" t="s">
        <v>501</v>
      </c>
      <c r="B128" s="280">
        <f t="shared" si="49"/>
        <v>296540</v>
      </c>
      <c r="C128" s="232">
        <f t="shared" si="50"/>
        <v>0.1936666170320039</v>
      </c>
      <c r="E128" s="276" t="s">
        <v>501</v>
      </c>
      <c r="F128" s="48">
        <v>13667</v>
      </c>
      <c r="G128" s="232">
        <f t="shared" si="51"/>
        <v>0.1148005039899202</v>
      </c>
      <c r="H128" s="23"/>
      <c r="I128" s="276" t="s">
        <v>501</v>
      </c>
      <c r="J128" s="48">
        <v>6218</v>
      </c>
      <c r="K128" s="232">
        <f t="shared" si="52"/>
        <v>0.06175696479118042</v>
      </c>
      <c r="L128" s="23"/>
      <c r="M128" s="276" t="s">
        <v>501</v>
      </c>
      <c r="N128" s="48">
        <v>99733</v>
      </c>
      <c r="O128" s="232">
        <f t="shared" si="53"/>
        <v>0.2008021374224087</v>
      </c>
      <c r="P128" s="23"/>
      <c r="Q128" s="276" t="s">
        <v>501</v>
      </c>
      <c r="R128" s="48">
        <v>176922</v>
      </c>
      <c r="S128" s="232">
        <f t="shared" si="54"/>
        <v>0.21714082328972237</v>
      </c>
    </row>
    <row r="129" spans="1:19" ht="12.75">
      <c r="A129" s="276" t="s">
        <v>476</v>
      </c>
      <c r="B129" s="280">
        <f t="shared" si="49"/>
        <v>124027</v>
      </c>
      <c r="C129" s="232">
        <f t="shared" si="50"/>
        <v>0.0810005041836796</v>
      </c>
      <c r="E129" s="276" t="s">
        <v>476</v>
      </c>
      <c r="F129" s="48">
        <v>4016</v>
      </c>
      <c r="G129" s="232">
        <f t="shared" si="51"/>
        <v>0.03373372532549349</v>
      </c>
      <c r="H129" s="23"/>
      <c r="I129" s="276" t="s">
        <v>476</v>
      </c>
      <c r="J129" s="48">
        <v>1996</v>
      </c>
      <c r="K129" s="232">
        <f t="shared" si="52"/>
        <v>0.01982420420122163</v>
      </c>
      <c r="L129" s="23"/>
      <c r="M129" s="276" t="s">
        <v>476</v>
      </c>
      <c r="N129" s="48">
        <v>33761</v>
      </c>
      <c r="O129" s="232">
        <f t="shared" si="53"/>
        <v>0.06797430099884633</v>
      </c>
      <c r="P129" s="23"/>
      <c r="Q129" s="276" t="s">
        <v>476</v>
      </c>
      <c r="R129" s="48">
        <v>84254</v>
      </c>
      <c r="S129" s="232">
        <f t="shared" si="54"/>
        <v>0.10340705466506296</v>
      </c>
    </row>
    <row r="130" spans="1:19" ht="12.75">
      <c r="A130" s="276" t="s">
        <v>502</v>
      </c>
      <c r="B130" s="280">
        <f t="shared" si="49"/>
        <v>35314</v>
      </c>
      <c r="C130" s="232">
        <f t="shared" si="50"/>
        <v>0.023063137903379598</v>
      </c>
      <c r="E130" s="276" t="s">
        <v>502</v>
      </c>
      <c r="F130" s="48">
        <v>1225</v>
      </c>
      <c r="G130" s="232">
        <f t="shared" si="51"/>
        <v>0.010289794204115918</v>
      </c>
      <c r="H130" s="23"/>
      <c r="I130" s="276" t="s">
        <v>502</v>
      </c>
      <c r="J130" s="48">
        <v>1033</v>
      </c>
      <c r="K130" s="232">
        <f t="shared" si="52"/>
        <v>0.010259720911754483</v>
      </c>
      <c r="L130" s="23"/>
      <c r="M130" s="276" t="s">
        <v>502</v>
      </c>
      <c r="N130" s="48">
        <v>8494</v>
      </c>
      <c r="O130" s="232">
        <f t="shared" si="53"/>
        <v>0.01710179534623384</v>
      </c>
      <c r="P130" s="23"/>
      <c r="Q130" s="276" t="s">
        <v>502</v>
      </c>
      <c r="R130" s="48">
        <v>24562</v>
      </c>
      <c r="S130" s="232">
        <f t="shared" si="54"/>
        <v>0.030145560764869045</v>
      </c>
    </row>
    <row r="131" spans="1:19" ht="12.75">
      <c r="A131" s="276" t="s">
        <v>503</v>
      </c>
      <c r="B131" s="280">
        <f t="shared" si="49"/>
        <v>58661</v>
      </c>
      <c r="C131" s="232">
        <f t="shared" si="50"/>
        <v>0.03831077568528489</v>
      </c>
      <c r="E131" s="276" t="s">
        <v>503</v>
      </c>
      <c r="F131" s="48">
        <v>6629</v>
      </c>
      <c r="G131" s="232">
        <f t="shared" si="51"/>
        <v>0.055682486350272994</v>
      </c>
      <c r="H131" s="23"/>
      <c r="I131" s="276" t="s">
        <v>503</v>
      </c>
      <c r="J131" s="48">
        <v>7642</v>
      </c>
      <c r="K131" s="232">
        <f t="shared" si="52"/>
        <v>0.07590008442171128</v>
      </c>
      <c r="L131" s="23"/>
      <c r="M131" s="276" t="s">
        <v>503</v>
      </c>
      <c r="N131" s="48">
        <v>14784</v>
      </c>
      <c r="O131" s="232">
        <f t="shared" si="53"/>
        <v>0.029766063385768905</v>
      </c>
      <c r="P131" s="23"/>
      <c r="Q131" s="276" t="s">
        <v>503</v>
      </c>
      <c r="R131" s="48">
        <v>29606</v>
      </c>
      <c r="S131" s="232">
        <f t="shared" si="54"/>
        <v>0.03633618890988979</v>
      </c>
    </row>
    <row r="132" spans="1:19" ht="12.75">
      <c r="A132" s="276" t="s">
        <v>469</v>
      </c>
      <c r="B132" s="47">
        <v>665</v>
      </c>
      <c r="C132" s="24"/>
      <c r="E132" s="276" t="s">
        <v>469</v>
      </c>
      <c r="F132" s="47">
        <v>491</v>
      </c>
      <c r="G132" s="24"/>
      <c r="H132" s="23"/>
      <c r="I132" s="276" t="s">
        <v>469</v>
      </c>
      <c r="J132" s="47">
        <v>450</v>
      </c>
      <c r="K132" s="24"/>
      <c r="L132" s="23"/>
      <c r="M132" s="276" t="s">
        <v>469</v>
      </c>
      <c r="N132" s="47">
        <v>619</v>
      </c>
      <c r="O132" s="24"/>
      <c r="P132" s="23"/>
      <c r="Q132" s="276" t="s">
        <v>469</v>
      </c>
      <c r="R132" s="47">
        <v>665</v>
      </c>
      <c r="S132" s="24"/>
    </row>
    <row r="133" spans="1:19" ht="12.75">
      <c r="A133" s="276"/>
      <c r="B133" s="276"/>
      <c r="C133" s="24"/>
      <c r="E133" s="276"/>
      <c r="F133" s="276"/>
      <c r="G133" s="24"/>
      <c r="H133" s="23"/>
      <c r="I133" s="276"/>
      <c r="J133" s="276"/>
      <c r="K133" s="24"/>
      <c r="L133" s="23"/>
      <c r="M133" s="276"/>
      <c r="N133" s="276"/>
      <c r="O133" s="24"/>
      <c r="P133" s="23"/>
      <c r="Q133" s="276"/>
      <c r="R133" s="276"/>
      <c r="S133" s="24"/>
    </row>
    <row r="134" spans="1:19" ht="38.25">
      <c r="A134" s="282" t="s">
        <v>504</v>
      </c>
      <c r="B134" s="282"/>
      <c r="C134" s="24"/>
      <c r="E134" s="282" t="s">
        <v>504</v>
      </c>
      <c r="F134" s="282"/>
      <c r="G134" s="24"/>
      <c r="H134" s="23"/>
      <c r="I134" s="282" t="s">
        <v>504</v>
      </c>
      <c r="J134" s="282"/>
      <c r="K134" s="24"/>
      <c r="L134" s="23"/>
      <c r="M134" s="282" t="s">
        <v>504</v>
      </c>
      <c r="N134" s="282"/>
      <c r="O134" s="24"/>
      <c r="P134" s="23"/>
      <c r="Q134" s="282" t="s">
        <v>504</v>
      </c>
      <c r="R134" s="282"/>
      <c r="S134" s="24"/>
    </row>
    <row r="135" spans="1:19" ht="12.75">
      <c r="A135" s="276" t="s">
        <v>505</v>
      </c>
      <c r="B135" s="280">
        <f aca="true" t="shared" si="55" ref="B135:B141">F135+J135+N135+R135</f>
        <v>220456</v>
      </c>
      <c r="C135" s="232">
        <f>B135/B$122</f>
        <v>0.14397709490931224</v>
      </c>
      <c r="E135" s="276" t="s">
        <v>505</v>
      </c>
      <c r="F135" s="48">
        <v>21567</v>
      </c>
      <c r="G135" s="232">
        <f>F135/F$122</f>
        <v>0.18115917681646368</v>
      </c>
      <c r="H135" s="23"/>
      <c r="I135" s="276" t="s">
        <v>505</v>
      </c>
      <c r="J135" s="48">
        <v>19544</v>
      </c>
      <c r="K135" s="232">
        <f>J135/J$122</f>
        <v>0.19411034414262304</v>
      </c>
      <c r="L135" s="23"/>
      <c r="M135" s="276" t="s">
        <v>505</v>
      </c>
      <c r="N135" s="48">
        <v>63831</v>
      </c>
      <c r="O135" s="232">
        <f>N135/N$122</f>
        <v>0.12851715313697343</v>
      </c>
      <c r="P135" s="23"/>
      <c r="Q135" s="276" t="s">
        <v>505</v>
      </c>
      <c r="R135" s="48">
        <v>115514</v>
      </c>
      <c r="S135" s="232">
        <f>R135/R$122</f>
        <v>0.14177323940204717</v>
      </c>
    </row>
    <row r="136" spans="1:19" ht="12.75">
      <c r="A136" s="276" t="s">
        <v>496</v>
      </c>
      <c r="B136" s="280">
        <f t="shared" si="55"/>
        <v>226280</v>
      </c>
      <c r="C136" s="232">
        <f aca="true" t="shared" si="56" ref="C136:C141">B136/B$122</f>
        <v>0.14778067748702314</v>
      </c>
      <c r="E136" s="276" t="s">
        <v>496</v>
      </c>
      <c r="F136" s="48">
        <v>17044</v>
      </c>
      <c r="G136" s="232">
        <f aca="true" t="shared" si="57" ref="G136:G141">F136/F$122</f>
        <v>0.1431667366652667</v>
      </c>
      <c r="H136" s="23"/>
      <c r="I136" s="276" t="s">
        <v>496</v>
      </c>
      <c r="J136" s="48">
        <v>15538</v>
      </c>
      <c r="K136" s="232">
        <f aca="true" t="shared" si="58" ref="K136:K141">J136/J$122</f>
        <v>0.1543228882157223</v>
      </c>
      <c r="L136" s="23"/>
      <c r="M136" s="276" t="s">
        <v>496</v>
      </c>
      <c r="N136" s="48">
        <v>68730</v>
      </c>
      <c r="O136" s="232">
        <f aca="true" t="shared" si="59" ref="O136:O141">N136/N$122</f>
        <v>0.13838078574836965</v>
      </c>
      <c r="P136" s="23"/>
      <c r="Q136" s="276" t="s">
        <v>496</v>
      </c>
      <c r="R136" s="48">
        <v>124968</v>
      </c>
      <c r="S136" s="232">
        <f aca="true" t="shared" si="60" ref="S136:S141">R136/R$122</f>
        <v>0.15337637153587472</v>
      </c>
    </row>
    <row r="137" spans="1:19" ht="12.75">
      <c r="A137" s="276" t="s">
        <v>488</v>
      </c>
      <c r="B137" s="280">
        <f t="shared" si="55"/>
        <v>201418</v>
      </c>
      <c r="C137" s="232">
        <f t="shared" si="56"/>
        <v>0.13154361188828542</v>
      </c>
      <c r="E137" s="276" t="s">
        <v>488</v>
      </c>
      <c r="F137" s="48">
        <v>12688</v>
      </c>
      <c r="G137" s="232">
        <f t="shared" si="57"/>
        <v>0.10657706845863082</v>
      </c>
      <c r="H137" s="23"/>
      <c r="I137" s="276" t="s">
        <v>488</v>
      </c>
      <c r="J137" s="48">
        <v>10789</v>
      </c>
      <c r="K137" s="232">
        <f t="shared" si="58"/>
        <v>0.10715598152654318</v>
      </c>
      <c r="L137" s="23"/>
      <c r="M137" s="276" t="s">
        <v>488</v>
      </c>
      <c r="N137" s="48">
        <v>66466</v>
      </c>
      <c r="O137" s="232">
        <f t="shared" si="59"/>
        <v>0.13382245461299486</v>
      </c>
      <c r="P137" s="23"/>
      <c r="Q137" s="276" t="s">
        <v>488</v>
      </c>
      <c r="R137" s="48">
        <v>111475</v>
      </c>
      <c r="S137" s="232">
        <f t="shared" si="60"/>
        <v>0.13681607305039398</v>
      </c>
    </row>
    <row r="138" spans="1:19" ht="12.75">
      <c r="A138" s="276" t="s">
        <v>489</v>
      </c>
      <c r="B138" s="280">
        <f t="shared" si="55"/>
        <v>173087</v>
      </c>
      <c r="C138" s="232">
        <f t="shared" si="56"/>
        <v>0.11304098516968523</v>
      </c>
      <c r="E138" s="276" t="s">
        <v>489</v>
      </c>
      <c r="F138" s="48">
        <v>15009</v>
      </c>
      <c r="G138" s="232">
        <f t="shared" si="57"/>
        <v>0.12607307853842922</v>
      </c>
      <c r="H138" s="23"/>
      <c r="I138" s="276" t="s">
        <v>489</v>
      </c>
      <c r="J138" s="48">
        <v>8890</v>
      </c>
      <c r="K138" s="232">
        <f t="shared" si="58"/>
        <v>0.08829517803049114</v>
      </c>
      <c r="L138" s="23"/>
      <c r="M138" s="276" t="s">
        <v>489</v>
      </c>
      <c r="N138" s="48">
        <v>62440</v>
      </c>
      <c r="O138" s="232">
        <f t="shared" si="59"/>
        <v>0.12571651770883457</v>
      </c>
      <c r="P138" s="23"/>
      <c r="Q138" s="276" t="s">
        <v>489</v>
      </c>
      <c r="R138" s="48">
        <v>86748</v>
      </c>
      <c r="S138" s="232">
        <f t="shared" si="60"/>
        <v>0.1064680036328825</v>
      </c>
    </row>
    <row r="139" spans="1:19" ht="12.75">
      <c r="A139" s="276" t="s">
        <v>490</v>
      </c>
      <c r="B139" s="280">
        <f t="shared" si="55"/>
        <v>123273</v>
      </c>
      <c r="C139" s="232">
        <f t="shared" si="56"/>
        <v>0.08050807608210096</v>
      </c>
      <c r="E139" s="276" t="s">
        <v>490</v>
      </c>
      <c r="F139" s="48">
        <v>12566</v>
      </c>
      <c r="G139" s="232">
        <f t="shared" si="57"/>
        <v>0.10555228895422092</v>
      </c>
      <c r="H139" s="23"/>
      <c r="I139" s="276" t="s">
        <v>490</v>
      </c>
      <c r="J139" s="48">
        <v>6445</v>
      </c>
      <c r="K139" s="232">
        <f t="shared" si="58"/>
        <v>0.0640115210805979</v>
      </c>
      <c r="L139" s="23"/>
      <c r="M139" s="276" t="s">
        <v>490</v>
      </c>
      <c r="N139" s="48">
        <v>38646</v>
      </c>
      <c r="O139" s="232">
        <f t="shared" si="59"/>
        <v>0.07780974605021815</v>
      </c>
      <c r="P139" s="23"/>
      <c r="Q139" s="276" t="s">
        <v>490</v>
      </c>
      <c r="R139" s="48">
        <v>65616</v>
      </c>
      <c r="S139" s="232">
        <f t="shared" si="60"/>
        <v>0.08053216819264096</v>
      </c>
    </row>
    <row r="140" spans="1:19" ht="12.75">
      <c r="A140" s="276" t="s">
        <v>491</v>
      </c>
      <c r="B140" s="280">
        <f t="shared" si="55"/>
        <v>512722</v>
      </c>
      <c r="C140" s="232">
        <f t="shared" si="56"/>
        <v>0.3348524152488133</v>
      </c>
      <c r="E140" s="276" t="s">
        <v>491</v>
      </c>
      <c r="F140" s="48">
        <v>33064</v>
      </c>
      <c r="G140" s="232">
        <f t="shared" si="57"/>
        <v>0.2777320453590928</v>
      </c>
      <c r="H140" s="23"/>
      <c r="I140" s="276" t="s">
        <v>491</v>
      </c>
      <c r="J140" s="48">
        <v>30706</v>
      </c>
      <c r="K140" s="232">
        <f t="shared" si="58"/>
        <v>0.3049709489993544</v>
      </c>
      <c r="L140" s="23"/>
      <c r="M140" s="276" t="s">
        <v>491</v>
      </c>
      <c r="N140" s="48">
        <v>177668</v>
      </c>
      <c r="O140" s="232">
        <f t="shared" si="59"/>
        <v>0.35771624388682294</v>
      </c>
      <c r="P140" s="23"/>
      <c r="Q140" s="276" t="s">
        <v>491</v>
      </c>
      <c r="R140" s="48">
        <v>271284</v>
      </c>
      <c r="S140" s="232">
        <f t="shared" si="60"/>
        <v>0.33295368074817744</v>
      </c>
    </row>
    <row r="141" spans="1:19" ht="12.75">
      <c r="A141" s="276" t="s">
        <v>492</v>
      </c>
      <c r="B141" s="280">
        <f t="shared" si="55"/>
        <v>73952</v>
      </c>
      <c r="C141" s="232">
        <f t="shared" si="56"/>
        <v>0.048297139214779634</v>
      </c>
      <c r="E141" s="276" t="s">
        <v>492</v>
      </c>
      <c r="F141" s="48">
        <v>7112</v>
      </c>
      <c r="G141" s="232">
        <f t="shared" si="57"/>
        <v>0.05973960520789584</v>
      </c>
      <c r="H141" s="23"/>
      <c r="I141" s="276" t="s">
        <v>492</v>
      </c>
      <c r="J141" s="48">
        <v>8773</v>
      </c>
      <c r="K141" s="232">
        <f t="shared" si="58"/>
        <v>0.08713313800466803</v>
      </c>
      <c r="L141" s="23"/>
      <c r="M141" s="276" t="s">
        <v>492</v>
      </c>
      <c r="N141" s="48">
        <v>18892</v>
      </c>
      <c r="O141" s="232">
        <f t="shared" si="59"/>
        <v>0.038037098855786405</v>
      </c>
      <c r="P141" s="23"/>
      <c r="Q141" s="276" t="s">
        <v>492</v>
      </c>
      <c r="R141" s="48">
        <v>39175</v>
      </c>
      <c r="S141" s="232">
        <f t="shared" si="60"/>
        <v>0.04808046343798326</v>
      </c>
    </row>
  </sheetData>
  <mergeCells count="12">
    <mergeCell ref="AH3:AI3"/>
    <mergeCell ref="Z3:AA3"/>
    <mergeCell ref="AD3:AE3"/>
    <mergeCell ref="AF3:AG3"/>
    <mergeCell ref="AB3:AC3"/>
    <mergeCell ref="V3:W3"/>
    <mergeCell ref="X3:Y3"/>
    <mergeCell ref="Q2:S2"/>
    <mergeCell ref="A2:C2"/>
    <mergeCell ref="E2:G2"/>
    <mergeCell ref="I2:K2"/>
    <mergeCell ref="M2:O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B65"/>
  <sheetViews>
    <sheetView workbookViewId="0" topLeftCell="P1">
      <selection activeCell="S8" sqref="S8"/>
    </sheetView>
  </sheetViews>
  <sheetFormatPr defaultColWidth="9.140625" defaultRowHeight="12.75"/>
  <cols>
    <col min="2" max="2" width="12.8515625" style="0" bestFit="1" customWidth="1"/>
    <col min="10" max="10" width="12.8515625" style="0" customWidth="1"/>
    <col min="18" max="18" width="11.57421875" style="0" customWidth="1"/>
    <col min="26" max="26" width="12.00390625" style="0" customWidth="1"/>
    <col min="28" max="28" width="10.28125" style="0" bestFit="1" customWidth="1"/>
  </cols>
  <sheetData>
    <row r="1" ht="12.75">
      <c r="A1" s="217" t="s">
        <v>534</v>
      </c>
    </row>
    <row r="2" spans="1:27" ht="25.5" customHeight="1">
      <c r="A2" s="19">
        <v>2000</v>
      </c>
      <c r="B2" s="434" t="s">
        <v>525</v>
      </c>
      <c r="C2" s="434"/>
      <c r="D2" s="434" t="s">
        <v>526</v>
      </c>
      <c r="E2" s="434"/>
      <c r="F2" s="434" t="s">
        <v>527</v>
      </c>
      <c r="G2" s="434"/>
      <c r="H2" s="434" t="s">
        <v>528</v>
      </c>
      <c r="I2" s="434"/>
      <c r="J2" s="27" t="s">
        <v>529</v>
      </c>
      <c r="K2" s="27"/>
      <c r="L2" s="434" t="s">
        <v>530</v>
      </c>
      <c r="M2" s="434"/>
      <c r="N2" s="434" t="s">
        <v>81</v>
      </c>
      <c r="O2" s="434"/>
      <c r="Q2" s="19">
        <f>A2</f>
        <v>2000</v>
      </c>
      <c r="R2" s="434" t="s">
        <v>535</v>
      </c>
      <c r="S2" s="434"/>
      <c r="T2" s="452" t="s">
        <v>536</v>
      </c>
      <c r="U2" s="453"/>
      <c r="V2" s="452" t="s">
        <v>367</v>
      </c>
      <c r="W2" s="453"/>
      <c r="X2" s="454" t="s">
        <v>530</v>
      </c>
      <c r="Y2" s="455"/>
      <c r="Z2" s="434" t="s">
        <v>81</v>
      </c>
      <c r="AA2" s="434"/>
    </row>
    <row r="3" spans="1:27" ht="12.75">
      <c r="A3" s="19"/>
      <c r="B3" s="19" t="s">
        <v>531</v>
      </c>
      <c r="C3" s="19" t="s">
        <v>61</v>
      </c>
      <c r="D3" s="19" t="s">
        <v>531</v>
      </c>
      <c r="E3" s="19" t="s">
        <v>61</v>
      </c>
      <c r="F3" s="19" t="s">
        <v>531</v>
      </c>
      <c r="G3" s="19" t="s">
        <v>61</v>
      </c>
      <c r="H3" s="19" t="s">
        <v>531</v>
      </c>
      <c r="I3" s="19" t="s">
        <v>61</v>
      </c>
      <c r="J3" s="19" t="s">
        <v>531</v>
      </c>
      <c r="K3" s="19" t="s">
        <v>61</v>
      </c>
      <c r="L3" s="19" t="s">
        <v>531</v>
      </c>
      <c r="M3" s="19" t="s">
        <v>61</v>
      </c>
      <c r="N3" s="19" t="s">
        <v>531</v>
      </c>
      <c r="O3" s="19" t="s">
        <v>61</v>
      </c>
      <c r="Q3" s="19" t="s">
        <v>37</v>
      </c>
      <c r="R3" s="19" t="s">
        <v>531</v>
      </c>
      <c r="S3" s="19" t="s">
        <v>61</v>
      </c>
      <c r="T3" s="19" t="s">
        <v>531</v>
      </c>
      <c r="U3" s="19" t="s">
        <v>61</v>
      </c>
      <c r="V3" s="19" t="s">
        <v>531</v>
      </c>
      <c r="W3" s="19" t="s">
        <v>61</v>
      </c>
      <c r="X3" s="19" t="s">
        <v>531</v>
      </c>
      <c r="Y3" s="19" t="s">
        <v>61</v>
      </c>
      <c r="Z3" s="19" t="s">
        <v>531</v>
      </c>
      <c r="AA3" s="19" t="s">
        <v>61</v>
      </c>
    </row>
    <row r="4" spans="1:27" ht="12.75">
      <c r="A4" s="19" t="s">
        <v>0</v>
      </c>
      <c r="B4" s="51">
        <f>'State Level Census Data'!V5</f>
        <v>369447</v>
      </c>
      <c r="C4" s="66">
        <f>'State Level Census Data'!W5</f>
        <v>0.6999435417866562</v>
      </c>
      <c r="D4" s="51">
        <f>'State Level Census Data'!X5</f>
        <v>14952</v>
      </c>
      <c r="E4" s="66">
        <f>'State Level Census Data'!Y5</f>
        <v>0.036235501679454434</v>
      </c>
      <c r="F4" s="51">
        <f>'State Level Census Data'!Z5</f>
        <v>30630</v>
      </c>
      <c r="G4" s="66">
        <f>'State Level Census Data'!AA5</f>
        <v>0.07423043181124192</v>
      </c>
      <c r="H4" s="51">
        <f>'State Level Census Data'!AB5</f>
        <v>29428</v>
      </c>
      <c r="I4" s="66">
        <f>'State Level Census Data'!AC5</f>
        <v>0.07131743869870151</v>
      </c>
      <c r="J4" s="51">
        <f>'State Level Census Data'!AD5</f>
        <v>51511</v>
      </c>
      <c r="K4" s="66">
        <f>'State Level Census Data'!AE5</f>
        <v>0.12483459918474968</v>
      </c>
      <c r="L4" s="51">
        <f>'State Level Census Data'!AF5</f>
        <v>93</v>
      </c>
      <c r="M4" s="66">
        <f>'State Level Census Data'!AG5</f>
        <v>0.0002253813306707639</v>
      </c>
      <c r="N4" s="51">
        <f>'State Level Census Data'!AH5</f>
        <v>496061</v>
      </c>
      <c r="O4" s="66">
        <f>'State Level Census Data'!AI5</f>
        <v>0.10240217098935789</v>
      </c>
      <c r="Q4" s="19" t="s">
        <v>0</v>
      </c>
      <c r="R4" s="26">
        <f>(B4+D4+F4)</f>
        <v>415029</v>
      </c>
      <c r="S4" s="66">
        <f>R4/$Z4</f>
        <v>0.8366491217813938</v>
      </c>
      <c r="T4" s="26">
        <f aca="true" t="shared" si="0" ref="T4:X8">H4</f>
        <v>29428</v>
      </c>
      <c r="U4" s="66">
        <f>T4/$Z4</f>
        <v>0.05932334934614896</v>
      </c>
      <c r="V4" s="26">
        <f t="shared" si="0"/>
        <v>51511</v>
      </c>
      <c r="W4" s="66">
        <f>V4/$Z4</f>
        <v>0.10384005192909743</v>
      </c>
      <c r="X4" s="26">
        <f t="shared" si="0"/>
        <v>93</v>
      </c>
      <c r="Y4" s="66">
        <f>X4/$Z4</f>
        <v>0.0001874769433597884</v>
      </c>
      <c r="Z4" s="26">
        <f>R4+T4+V4+X4</f>
        <v>496061</v>
      </c>
      <c r="AA4" s="66">
        <f>Z4/Z8</f>
        <v>0.10240217098935789</v>
      </c>
    </row>
    <row r="5" spans="1:27" ht="12.75">
      <c r="A5" s="19" t="s">
        <v>1</v>
      </c>
      <c r="B5" s="51">
        <f>'State Level Census Data'!V6</f>
        <v>286020</v>
      </c>
      <c r="C5" s="66">
        <f>'State Level Census Data'!W6</f>
        <v>0.6931566472951817</v>
      </c>
      <c r="D5" s="51">
        <f>'State Level Census Data'!X6</f>
        <v>12418</v>
      </c>
      <c r="E5" s="66">
        <f>'State Level Census Data'!Y6</f>
        <v>0.023526781654490892</v>
      </c>
      <c r="F5" s="51">
        <f>'State Level Census Data'!Z6</f>
        <v>38104</v>
      </c>
      <c r="G5" s="66">
        <f>'State Level Census Data'!AA6</f>
        <v>0.07219073024341446</v>
      </c>
      <c r="H5" s="51">
        <f>'State Level Census Data'!AB6</f>
        <v>38130</v>
      </c>
      <c r="I5" s="66">
        <f>'State Level Census Data'!AC6</f>
        <v>0.07223998908727151</v>
      </c>
      <c r="J5" s="51">
        <f>'State Level Census Data'!AD6</f>
        <v>68642</v>
      </c>
      <c r="K5" s="66">
        <f>'State Level Census Data'!AE6</f>
        <v>0.13004713692442935</v>
      </c>
      <c r="L5" s="51">
        <f>'State Level Census Data'!AF6</f>
        <v>1083</v>
      </c>
      <c r="M5" s="66">
        <f>'State Level Census Data'!AG6</f>
        <v>0.0020518203037376095</v>
      </c>
      <c r="N5" s="51">
        <f>'State Level Census Data'!AH6</f>
        <v>444397</v>
      </c>
      <c r="O5" s="66">
        <f>'State Level Census Data'!AI6</f>
        <v>0.09173714035402436</v>
      </c>
      <c r="Q5" s="19" t="s">
        <v>1</v>
      </c>
      <c r="R5" s="26">
        <f>(B5+D5+F5)</f>
        <v>336542</v>
      </c>
      <c r="S5" s="66">
        <f aca="true" t="shared" si="1" ref="S5:U8">R5/$Z5</f>
        <v>0.7573003418114884</v>
      </c>
      <c r="T5" s="26">
        <f t="shared" si="0"/>
        <v>38130</v>
      </c>
      <c r="U5" s="66">
        <f t="shared" si="1"/>
        <v>0.08580165932713317</v>
      </c>
      <c r="V5" s="26">
        <f t="shared" si="0"/>
        <v>68642</v>
      </c>
      <c r="W5" s="66">
        <f>V5/$Z5</f>
        <v>0.15446098871054484</v>
      </c>
      <c r="X5" s="26">
        <f t="shared" si="0"/>
        <v>1083</v>
      </c>
      <c r="Y5" s="66">
        <f>X5/$Z5</f>
        <v>0.0024370101508336016</v>
      </c>
      <c r="Z5" s="26">
        <f>R5+T5+V5+X5</f>
        <v>444397</v>
      </c>
      <c r="AA5" s="66">
        <f>Z5/Z8</f>
        <v>0.09173714035402436</v>
      </c>
    </row>
    <row r="6" spans="1:27" ht="12.75">
      <c r="A6" s="19" t="s">
        <v>2</v>
      </c>
      <c r="B6" s="51">
        <f>'State Level Census Data'!V7</f>
        <v>905469</v>
      </c>
      <c r="C6" s="66">
        <f>'State Level Census Data'!W7</f>
        <v>0.6232968887781379</v>
      </c>
      <c r="D6" s="51">
        <f>'State Level Census Data'!X7</f>
        <v>51152</v>
      </c>
      <c r="E6" s="66">
        <f>'State Level Census Data'!Y7</f>
        <v>0.035211456664755295</v>
      </c>
      <c r="F6" s="51">
        <f>'State Level Census Data'!Z7</f>
        <v>121751</v>
      </c>
      <c r="G6" s="66">
        <f>'State Level Census Data'!AA7</f>
        <v>0.08380962739268498</v>
      </c>
      <c r="H6" s="51">
        <f>'State Level Census Data'!AB7</f>
        <v>221005</v>
      </c>
      <c r="I6" s="66">
        <f>'State Level Census Data'!AC7</f>
        <v>0.15213301493967477</v>
      </c>
      <c r="J6" s="51">
        <f>'State Level Census Data'!AD7</f>
        <v>150492</v>
      </c>
      <c r="K6" s="66">
        <f>'State Level Census Data'!AE7</f>
        <v>0.10359404395512109</v>
      </c>
      <c r="L6" s="51">
        <f>'State Level Census Data'!AF7</f>
        <v>2840</v>
      </c>
      <c r="M6" s="66">
        <f>'State Level Census Data'!AG7</f>
        <v>0.0019549682696259198</v>
      </c>
      <c r="N6" s="51">
        <f>'State Level Census Data'!AH7</f>
        <v>1452709</v>
      </c>
      <c r="O6" s="66">
        <f>'State Level Census Data'!AI7</f>
        <v>0.2998835937833837</v>
      </c>
      <c r="Q6" s="19" t="s">
        <v>2</v>
      </c>
      <c r="R6" s="26">
        <f>(B6+D6+F6)</f>
        <v>1078372</v>
      </c>
      <c r="S6" s="66">
        <f t="shared" si="1"/>
        <v>0.7423179728355782</v>
      </c>
      <c r="T6" s="26">
        <f t="shared" si="0"/>
        <v>221005</v>
      </c>
      <c r="U6" s="66">
        <f t="shared" si="1"/>
        <v>0.15213301493967477</v>
      </c>
      <c r="V6" s="26">
        <f t="shared" si="0"/>
        <v>150492</v>
      </c>
      <c r="W6" s="66">
        <f>V6/$Z6</f>
        <v>0.10359404395512109</v>
      </c>
      <c r="X6" s="26">
        <f t="shared" si="0"/>
        <v>2840</v>
      </c>
      <c r="Y6" s="66">
        <f>X6/$Z6</f>
        <v>0.0019549682696259198</v>
      </c>
      <c r="Z6" s="26">
        <f>R6+T6+V6+X6</f>
        <v>1452709</v>
      </c>
      <c r="AA6" s="66">
        <f>Z6/Z8</f>
        <v>0.2998835937833837</v>
      </c>
    </row>
    <row r="7" spans="1:27" ht="12.75">
      <c r="A7" s="19" t="s">
        <v>3</v>
      </c>
      <c r="B7" s="51">
        <f>'State Level Census Data'!V8</f>
        <v>1489507</v>
      </c>
      <c r="C7" s="66">
        <f>'State Level Census Data'!W8</f>
        <v>0.6076951510275487</v>
      </c>
      <c r="D7" s="51">
        <f>'State Level Census Data'!X8</f>
        <v>76894</v>
      </c>
      <c r="E7" s="66">
        <f>'State Level Census Data'!Y8</f>
        <v>0.03137152825942566</v>
      </c>
      <c r="F7" s="51">
        <f>'State Level Census Data'!Z8</f>
        <v>207339</v>
      </c>
      <c r="G7" s="66">
        <f>'State Level Census Data'!AA8</f>
        <v>0.08459101227379323</v>
      </c>
      <c r="H7" s="51">
        <f>'State Level Census Data'!AB8</f>
        <v>480177</v>
      </c>
      <c r="I7" s="66">
        <f>'State Level Census Data'!AC8</f>
        <v>0.1959045741543714</v>
      </c>
      <c r="J7" s="51">
        <f>'State Level Census Data'!AD8</f>
        <v>191257</v>
      </c>
      <c r="K7" s="66">
        <f>'State Level Census Data'!AE8</f>
        <v>0.07802981221308519</v>
      </c>
      <c r="L7" s="51">
        <f>'State Level Census Data'!AF8</f>
        <v>5902</v>
      </c>
      <c r="M7" s="66">
        <f>'State Level Census Data'!AG8</f>
        <v>0.0024079220717758243</v>
      </c>
      <c r="N7" s="51">
        <f>'State Level Census Data'!AH8</f>
        <v>2451076</v>
      </c>
      <c r="O7" s="66">
        <f>'State Level Census Data'!AI8</f>
        <v>0.5059770948732341</v>
      </c>
      <c r="Q7" s="19" t="s">
        <v>3</v>
      </c>
      <c r="R7" s="26">
        <f>(B7+D7+F7)</f>
        <v>1773740</v>
      </c>
      <c r="S7" s="66">
        <f t="shared" si="1"/>
        <v>0.7236576915607676</v>
      </c>
      <c r="T7" s="26">
        <f t="shared" si="0"/>
        <v>480177</v>
      </c>
      <c r="U7" s="66">
        <f t="shared" si="1"/>
        <v>0.19590457415437137</v>
      </c>
      <c r="V7" s="26">
        <f t="shared" si="0"/>
        <v>191257</v>
      </c>
      <c r="W7" s="66">
        <f>V7/$Z7</f>
        <v>0.07802981221308519</v>
      </c>
      <c r="X7" s="26">
        <f t="shared" si="0"/>
        <v>5902</v>
      </c>
      <c r="Y7" s="66">
        <f>X7/$Z7</f>
        <v>0.0024079220717758243</v>
      </c>
      <c r="Z7" s="26">
        <f>R7+T7+V7+X7</f>
        <v>2451076</v>
      </c>
      <c r="AA7" s="66">
        <f>Z7/Z8</f>
        <v>0.5059770948732341</v>
      </c>
    </row>
    <row r="8" spans="1:28" ht="12.75">
      <c r="A8" s="215" t="s">
        <v>284</v>
      </c>
      <c r="B8" s="51">
        <f>'State Level Census Data'!V9</f>
        <v>3050443</v>
      </c>
      <c r="C8" s="66">
        <f>'State Level Census Data'!W9</f>
        <v>0.6297047856600092</v>
      </c>
      <c r="D8" s="51">
        <f>'State Level Census Data'!X9</f>
        <v>155416</v>
      </c>
      <c r="E8" s="66">
        <f>'State Level Census Data'!Y9</f>
        <v>0.032082618481360244</v>
      </c>
      <c r="F8" s="51">
        <f>'State Level Census Data'!Z9</f>
        <v>397824</v>
      </c>
      <c r="G8" s="66">
        <f>'State Level Census Data'!AA9</f>
        <v>0.3148218017211346</v>
      </c>
      <c r="H8" s="51">
        <f>'State Level Census Data'!AB9</f>
        <v>768740</v>
      </c>
      <c r="I8" s="66">
        <f>'State Level Census Data'!AC9</f>
        <v>0.1586914611839249</v>
      </c>
      <c r="J8" s="51">
        <f>'State Level Census Data'!AD9</f>
        <v>461902</v>
      </c>
      <c r="K8" s="66">
        <f>'State Level Census Data'!AE9</f>
        <v>0.09535070804664424</v>
      </c>
      <c r="L8" s="51">
        <f>'State Level Census Data'!AF9</f>
        <v>9918</v>
      </c>
      <c r="M8" s="66">
        <f>'State Level Census Data'!AG9</f>
        <v>0.0020473787132478695</v>
      </c>
      <c r="N8" s="51">
        <f>'State Level Census Data'!AH9</f>
        <v>4844243</v>
      </c>
      <c r="O8" s="66">
        <f>'State Level Census Data'!AI9</f>
        <v>1</v>
      </c>
      <c r="Q8" s="215" t="s">
        <v>284</v>
      </c>
      <c r="R8" s="26">
        <f>(B8+D8+F8)</f>
        <v>3603683</v>
      </c>
      <c r="S8" s="66">
        <f t="shared" si="1"/>
        <v>0.743910452056183</v>
      </c>
      <c r="T8" s="26">
        <f t="shared" si="0"/>
        <v>768740</v>
      </c>
      <c r="U8" s="66">
        <f t="shared" si="1"/>
        <v>0.1586914611839249</v>
      </c>
      <c r="V8" s="26">
        <f t="shared" si="0"/>
        <v>461902</v>
      </c>
      <c r="W8" s="66">
        <f>V8/$Z8</f>
        <v>0.09535070804664424</v>
      </c>
      <c r="X8" s="26">
        <f t="shared" si="0"/>
        <v>9918</v>
      </c>
      <c r="Y8" s="66">
        <f>X8/$Z8</f>
        <v>0.0020473787132478695</v>
      </c>
      <c r="Z8" s="26">
        <f>R8+T8+V8+X8</f>
        <v>4844243</v>
      </c>
      <c r="AA8" s="66">
        <f>Z8/Z8</f>
        <v>1</v>
      </c>
      <c r="AB8" s="100"/>
    </row>
    <row r="9" spans="1:12" ht="12.75">
      <c r="A9" s="239"/>
      <c r="B9" s="272"/>
      <c r="C9" s="275"/>
      <c r="D9" s="272"/>
      <c r="E9" s="275"/>
      <c r="F9" s="272"/>
      <c r="G9" s="275"/>
      <c r="H9" s="272"/>
      <c r="I9" s="275"/>
      <c r="J9" s="272"/>
      <c r="K9" s="275"/>
      <c r="L9" s="272"/>
    </row>
    <row r="10" ht="12.75">
      <c r="A10" s="217" t="s">
        <v>534</v>
      </c>
    </row>
    <row r="11" spans="1:27" ht="25.5" customHeight="1">
      <c r="A11" s="19">
        <v>1990</v>
      </c>
      <c r="B11" s="434" t="s">
        <v>525</v>
      </c>
      <c r="C11" s="434"/>
      <c r="D11" s="434" t="s">
        <v>526</v>
      </c>
      <c r="E11" s="434"/>
      <c r="F11" s="434" t="s">
        <v>527</v>
      </c>
      <c r="G11" s="434"/>
      <c r="H11" s="434" t="s">
        <v>528</v>
      </c>
      <c r="I11" s="434"/>
      <c r="J11" s="27" t="s">
        <v>529</v>
      </c>
      <c r="K11" s="27"/>
      <c r="L11" s="434" t="s">
        <v>530</v>
      </c>
      <c r="M11" s="434"/>
      <c r="N11" s="434" t="s">
        <v>81</v>
      </c>
      <c r="O11" s="434"/>
      <c r="Q11" s="19">
        <f>A11</f>
        <v>1990</v>
      </c>
      <c r="R11" s="434" t="s">
        <v>535</v>
      </c>
      <c r="S11" s="434"/>
      <c r="T11" s="452" t="s">
        <v>536</v>
      </c>
      <c r="U11" s="453"/>
      <c r="V11" s="452" t="s">
        <v>367</v>
      </c>
      <c r="W11" s="453"/>
      <c r="X11" s="454" t="s">
        <v>530</v>
      </c>
      <c r="Y11" s="455"/>
      <c r="Z11" s="434" t="s">
        <v>81</v>
      </c>
      <c r="AA11" s="434"/>
    </row>
    <row r="12" spans="1:27" ht="12.75">
      <c r="A12" s="19"/>
      <c r="B12" s="19" t="s">
        <v>531</v>
      </c>
      <c r="C12" s="19" t="s">
        <v>61</v>
      </c>
      <c r="D12" s="19" t="s">
        <v>531</v>
      </c>
      <c r="E12" s="19" t="s">
        <v>61</v>
      </c>
      <c r="F12" s="19" t="s">
        <v>531</v>
      </c>
      <c r="G12" s="19" t="s">
        <v>61</v>
      </c>
      <c r="H12" s="19" t="s">
        <v>531</v>
      </c>
      <c r="I12" s="19" t="s">
        <v>61</v>
      </c>
      <c r="J12" s="19" t="s">
        <v>531</v>
      </c>
      <c r="K12" s="19" t="s">
        <v>61</v>
      </c>
      <c r="L12" s="19" t="s">
        <v>531</v>
      </c>
      <c r="M12" s="19" t="s">
        <v>61</v>
      </c>
      <c r="N12" s="19" t="s">
        <v>531</v>
      </c>
      <c r="O12" s="19" t="s">
        <v>61</v>
      </c>
      <c r="Q12" s="19" t="s">
        <v>37</v>
      </c>
      <c r="R12" s="19" t="s">
        <v>531</v>
      </c>
      <c r="S12" s="19" t="s">
        <v>61</v>
      </c>
      <c r="T12" s="19" t="s">
        <v>531</v>
      </c>
      <c r="U12" s="19" t="s">
        <v>61</v>
      </c>
      <c r="V12" s="19" t="s">
        <v>531</v>
      </c>
      <c r="W12" s="19" t="s">
        <v>61</v>
      </c>
      <c r="X12" s="19" t="s">
        <v>531</v>
      </c>
      <c r="Y12" s="19" t="s">
        <v>61</v>
      </c>
      <c r="Z12" s="19" t="s">
        <v>531</v>
      </c>
      <c r="AA12" s="19" t="s">
        <v>61</v>
      </c>
    </row>
    <row r="13" spans="1:27" ht="12.75">
      <c r="A13" s="19" t="s">
        <v>0</v>
      </c>
      <c r="B13" s="49">
        <v>285885</v>
      </c>
      <c r="C13" s="66">
        <v>0.692</v>
      </c>
      <c r="D13" s="49">
        <v>9102</v>
      </c>
      <c r="E13" s="66">
        <v>0.022</v>
      </c>
      <c r="F13" s="49">
        <v>29151</v>
      </c>
      <c r="G13" s="66">
        <v>0.071</v>
      </c>
      <c r="H13" s="49">
        <v>28943</v>
      </c>
      <c r="I13" s="66">
        <v>0.07</v>
      </c>
      <c r="J13" s="49">
        <v>56529</v>
      </c>
      <c r="K13" s="66">
        <v>0.137</v>
      </c>
      <c r="L13" s="49">
        <v>3717</v>
      </c>
      <c r="M13" s="66">
        <v>0.009</v>
      </c>
      <c r="N13" s="51">
        <f>B13+D13+F13+H13+J13+L13</f>
        <v>413327</v>
      </c>
      <c r="O13" s="66">
        <f>N13/N17</f>
        <v>0.10332072051308523</v>
      </c>
      <c r="Q13" s="19" t="s">
        <v>0</v>
      </c>
      <c r="R13" s="26">
        <f>(B13+D13+F13)</f>
        <v>324138</v>
      </c>
      <c r="S13" s="66">
        <f>R13/$Z13</f>
        <v>0.7842168549356805</v>
      </c>
      <c r="T13" s="26">
        <f aca="true" t="shared" si="2" ref="T13:X17">H13</f>
        <v>28943</v>
      </c>
      <c r="U13" s="66">
        <f>T13/$Z13</f>
        <v>0.07002446005221048</v>
      </c>
      <c r="V13" s="26">
        <f t="shared" si="2"/>
        <v>56529</v>
      </c>
      <c r="W13" s="66">
        <f>V13/$Z13</f>
        <v>0.1367658052825003</v>
      </c>
      <c r="X13" s="26">
        <f t="shared" si="2"/>
        <v>3717</v>
      </c>
      <c r="Y13" s="66">
        <f>X13/$Z13</f>
        <v>0.00899287972960876</v>
      </c>
      <c r="Z13" s="26">
        <f>R13+T13+V13+X13</f>
        <v>413327</v>
      </c>
      <c r="AA13" s="66">
        <f>Z13/Z17</f>
        <v>0.10332072051308523</v>
      </c>
    </row>
    <row r="14" spans="1:27" ht="12.75">
      <c r="A14" s="19" t="s">
        <v>1</v>
      </c>
      <c r="B14" s="49">
        <v>237533</v>
      </c>
      <c r="C14" s="66">
        <v>0.658</v>
      </c>
      <c r="D14" s="49">
        <v>8432</v>
      </c>
      <c r="E14" s="66">
        <v>0.023</v>
      </c>
      <c r="F14" s="49">
        <v>29327</v>
      </c>
      <c r="G14" s="66">
        <v>0.081</v>
      </c>
      <c r="H14" s="49">
        <v>27307</v>
      </c>
      <c r="I14" s="66">
        <v>0.076</v>
      </c>
      <c r="J14" s="49">
        <v>54021</v>
      </c>
      <c r="K14" s="66">
        <v>0.15</v>
      </c>
      <c r="L14" s="49">
        <v>4535</v>
      </c>
      <c r="M14" s="66">
        <v>0.013</v>
      </c>
      <c r="N14" s="51">
        <f>B14+D14+F14+H14+J14+L14</f>
        <v>361155</v>
      </c>
      <c r="O14" s="66">
        <f>N14/N17</f>
        <v>0.09027911270471878</v>
      </c>
      <c r="Q14" s="19" t="s">
        <v>1</v>
      </c>
      <c r="R14" s="26">
        <f>(B14+D14+F14)</f>
        <v>275292</v>
      </c>
      <c r="S14" s="66">
        <f aca="true" t="shared" si="3" ref="S14:U17">R14/$Z14</f>
        <v>0.7622544336919052</v>
      </c>
      <c r="T14" s="26">
        <f t="shared" si="2"/>
        <v>27307</v>
      </c>
      <c r="U14" s="66">
        <f t="shared" si="3"/>
        <v>0.07561019506859935</v>
      </c>
      <c r="V14" s="26">
        <f t="shared" si="2"/>
        <v>54021</v>
      </c>
      <c r="W14" s="66">
        <f>V14/$Z14</f>
        <v>0.14957843585164265</v>
      </c>
      <c r="X14" s="26">
        <f t="shared" si="2"/>
        <v>4535</v>
      </c>
      <c r="Y14" s="66">
        <f>X14/$Z14</f>
        <v>0.012556935387852861</v>
      </c>
      <c r="Z14" s="26">
        <f>R14+T14+V14+X14</f>
        <v>361155</v>
      </c>
      <c r="AA14" s="66">
        <f>Z14/Z17</f>
        <v>0.09027911270471878</v>
      </c>
    </row>
    <row r="15" spans="1:27" ht="12.75">
      <c r="A15" s="19" t="s">
        <v>2</v>
      </c>
      <c r="B15" s="49">
        <v>764258</v>
      </c>
      <c r="C15" s="66">
        <v>0.64</v>
      </c>
      <c r="D15" s="49">
        <v>32355</v>
      </c>
      <c r="E15" s="66">
        <v>0.027</v>
      </c>
      <c r="F15" s="49">
        <v>86371</v>
      </c>
      <c r="G15" s="66">
        <v>0.072</v>
      </c>
      <c r="H15" s="49">
        <v>165439</v>
      </c>
      <c r="I15" s="66">
        <v>0.139</v>
      </c>
      <c r="J15" s="49">
        <v>134325</v>
      </c>
      <c r="K15" s="66">
        <v>0.113</v>
      </c>
      <c r="L15" s="49">
        <v>10819</v>
      </c>
      <c r="M15" s="66">
        <v>0.009</v>
      </c>
      <c r="N15" s="51">
        <f>B15+D15+F15+H15+J15+L15</f>
        <v>1193567</v>
      </c>
      <c r="O15" s="66">
        <f>N15/N17</f>
        <v>0.2983599000806664</v>
      </c>
      <c r="Q15" s="19" t="s">
        <v>2</v>
      </c>
      <c r="R15" s="26">
        <f>(B15+D15+F15)</f>
        <v>882984</v>
      </c>
      <c r="S15" s="66">
        <f t="shared" si="3"/>
        <v>0.7397858687446955</v>
      </c>
      <c r="T15" s="26">
        <f t="shared" si="2"/>
        <v>165439</v>
      </c>
      <c r="U15" s="66">
        <f t="shared" si="3"/>
        <v>0.13860889250456823</v>
      </c>
      <c r="V15" s="26">
        <f t="shared" si="2"/>
        <v>134325</v>
      </c>
      <c r="W15" s="66">
        <f>V15/$Z15</f>
        <v>0.11254081253922067</v>
      </c>
      <c r="X15" s="26">
        <f t="shared" si="2"/>
        <v>10819</v>
      </c>
      <c r="Y15" s="66">
        <f>X15/$Z15</f>
        <v>0.009064426211515566</v>
      </c>
      <c r="Z15" s="26">
        <f>R15+T15+V15+X15</f>
        <v>1193567</v>
      </c>
      <c r="AA15" s="66">
        <f>Z15/Z17</f>
        <v>0.2983599000806664</v>
      </c>
    </row>
    <row r="16" spans="1:27" ht="12.75">
      <c r="A16" s="19" t="s">
        <v>3</v>
      </c>
      <c r="B16" s="49">
        <v>1272721</v>
      </c>
      <c r="C16" s="66">
        <v>0.626</v>
      </c>
      <c r="D16" s="49">
        <v>48086</v>
      </c>
      <c r="E16" s="66">
        <v>0.024</v>
      </c>
      <c r="F16" s="49">
        <v>138785</v>
      </c>
      <c r="G16" s="66">
        <v>0.068</v>
      </c>
      <c r="H16" s="49">
        <v>365589</v>
      </c>
      <c r="I16" s="66">
        <v>0.18</v>
      </c>
      <c r="J16" s="49">
        <v>187533</v>
      </c>
      <c r="K16" s="66">
        <v>0.092</v>
      </c>
      <c r="L16" s="49">
        <v>19664</v>
      </c>
      <c r="M16" s="66">
        <v>0.01</v>
      </c>
      <c r="N16" s="51">
        <f>B16+D16+F16+H16+J16+L16</f>
        <v>2032378</v>
      </c>
      <c r="O16" s="66">
        <f>N16/N17</f>
        <v>0.5080402667015296</v>
      </c>
      <c r="Q16" s="19" t="s">
        <v>3</v>
      </c>
      <c r="R16" s="26">
        <f>(B16+D16+F16)</f>
        <v>1459592</v>
      </c>
      <c r="S16" s="66">
        <f t="shared" si="3"/>
        <v>0.7181695531047866</v>
      </c>
      <c r="T16" s="26">
        <f t="shared" si="2"/>
        <v>365589</v>
      </c>
      <c r="U16" s="66">
        <f t="shared" si="3"/>
        <v>0.1798823840840631</v>
      </c>
      <c r="V16" s="26">
        <f t="shared" si="2"/>
        <v>187533</v>
      </c>
      <c r="W16" s="66">
        <f>V16/$Z16</f>
        <v>0.09227269730335597</v>
      </c>
      <c r="X16" s="26">
        <f t="shared" si="2"/>
        <v>19664</v>
      </c>
      <c r="Y16" s="66">
        <f>X16/$Z16</f>
        <v>0.009675365507794317</v>
      </c>
      <c r="Z16" s="26">
        <f>R16+T16+V16+X16</f>
        <v>2032378</v>
      </c>
      <c r="AA16" s="66">
        <f>Z16/Z17</f>
        <v>0.5080402667015296</v>
      </c>
    </row>
    <row r="17" spans="1:27" ht="12.75">
      <c r="A17" s="215" t="s">
        <v>284</v>
      </c>
      <c r="B17" s="51">
        <f>SUM(B13:B16)</f>
        <v>2560397</v>
      </c>
      <c r="C17" s="66">
        <f>B17/$N17</f>
        <v>0.640030926698575</v>
      </c>
      <c r="D17" s="51">
        <f>SUM(D13:D16)</f>
        <v>97975</v>
      </c>
      <c r="E17" s="66">
        <f>D17/$N17</f>
        <v>0.024491135571277765</v>
      </c>
      <c r="F17" s="51">
        <f>SUM(F13:F16)</f>
        <v>283634</v>
      </c>
      <c r="G17" s="66">
        <f>F17/$N17</f>
        <v>0.070900931325581</v>
      </c>
      <c r="H17" s="51">
        <f>SUM(H13:H16)</f>
        <v>587278</v>
      </c>
      <c r="I17" s="66">
        <f>H17/$N17</f>
        <v>0.1468038286912872</v>
      </c>
      <c r="J17" s="51">
        <f>SUM(J13:J16)</f>
        <v>432408</v>
      </c>
      <c r="K17" s="66">
        <f>J17/$N17</f>
        <v>0.1080904613432516</v>
      </c>
      <c r="L17" s="51">
        <f>SUM(L13:L16)</f>
        <v>38735</v>
      </c>
      <c r="M17" s="66">
        <f>L17/$N17</f>
        <v>0.0096827163700275</v>
      </c>
      <c r="N17" s="51">
        <f>B17+D17+F17+H17+J17+L17</f>
        <v>4000427</v>
      </c>
      <c r="O17" s="66">
        <f>N17/N17</f>
        <v>1</v>
      </c>
      <c r="Q17" s="215" t="s">
        <v>284</v>
      </c>
      <c r="R17" s="26">
        <f>(B17+D17+F17)</f>
        <v>2942006</v>
      </c>
      <c r="S17" s="66">
        <f t="shared" si="3"/>
        <v>0.7354229935954337</v>
      </c>
      <c r="T17" s="26">
        <f t="shared" si="2"/>
        <v>587278</v>
      </c>
      <c r="U17" s="66">
        <f t="shared" si="3"/>
        <v>0.1468038286912872</v>
      </c>
      <c r="V17" s="26">
        <f t="shared" si="2"/>
        <v>432408</v>
      </c>
      <c r="W17" s="66">
        <f>V17/$Z17</f>
        <v>0.1080904613432516</v>
      </c>
      <c r="X17" s="26">
        <f t="shared" si="2"/>
        <v>38735</v>
      </c>
      <c r="Y17" s="66">
        <f>X17/$Z17</f>
        <v>0.0096827163700275</v>
      </c>
      <c r="Z17" s="26">
        <f>R17+T17+V17+X17</f>
        <v>4000427</v>
      </c>
      <c r="AA17" s="66">
        <f>Z17/Z17</f>
        <v>1</v>
      </c>
    </row>
    <row r="18" spans="1:13" ht="12.75">
      <c r="A18" s="239"/>
      <c r="B18" s="272"/>
      <c r="C18" s="275"/>
      <c r="D18" s="272"/>
      <c r="E18" s="275"/>
      <c r="F18" s="272"/>
      <c r="G18" s="275"/>
      <c r="H18" s="272"/>
      <c r="I18" s="275"/>
      <c r="J18" s="272"/>
      <c r="K18" s="275"/>
      <c r="L18" s="272"/>
      <c r="M18" s="275"/>
    </row>
    <row r="19" ht="12.75">
      <c r="A19" s="217" t="s">
        <v>532</v>
      </c>
    </row>
    <row r="20" spans="1:27" ht="25.5">
      <c r="A20" s="19">
        <v>1980</v>
      </c>
      <c r="B20" s="434" t="s">
        <v>525</v>
      </c>
      <c r="C20" s="434"/>
      <c r="D20" s="434" t="s">
        <v>526</v>
      </c>
      <c r="E20" s="434"/>
      <c r="F20" s="434" t="s">
        <v>527</v>
      </c>
      <c r="G20" s="434"/>
      <c r="H20" s="434" t="s">
        <v>528</v>
      </c>
      <c r="I20" s="434"/>
      <c r="J20" s="27" t="s">
        <v>529</v>
      </c>
      <c r="K20" s="27"/>
      <c r="L20" s="434" t="s">
        <v>530</v>
      </c>
      <c r="M20" s="434"/>
      <c r="N20" s="434" t="s">
        <v>81</v>
      </c>
      <c r="O20" s="434"/>
      <c r="Q20" s="19">
        <f>A20</f>
        <v>1980</v>
      </c>
      <c r="R20" s="434" t="s">
        <v>535</v>
      </c>
      <c r="S20" s="434"/>
      <c r="T20" s="452" t="s">
        <v>536</v>
      </c>
      <c r="U20" s="453"/>
      <c r="V20" s="452" t="s">
        <v>367</v>
      </c>
      <c r="W20" s="453"/>
      <c r="X20" s="454" t="s">
        <v>530</v>
      </c>
      <c r="Y20" s="455"/>
      <c r="Z20" s="434" t="s">
        <v>81</v>
      </c>
      <c r="AA20" s="434"/>
    </row>
    <row r="21" spans="1:27" ht="12.75">
      <c r="A21" s="19"/>
      <c r="B21" s="19" t="s">
        <v>531</v>
      </c>
      <c r="C21" s="19" t="s">
        <v>61</v>
      </c>
      <c r="D21" s="19" t="s">
        <v>531</v>
      </c>
      <c r="E21" s="19" t="s">
        <v>61</v>
      </c>
      <c r="F21" s="19" t="s">
        <v>531</v>
      </c>
      <c r="G21" s="19" t="s">
        <v>61</v>
      </c>
      <c r="H21" s="19" t="s">
        <v>531</v>
      </c>
      <c r="I21" s="19" t="s">
        <v>61</v>
      </c>
      <c r="J21" s="19" t="s">
        <v>531</v>
      </c>
      <c r="K21" s="19" t="s">
        <v>61</v>
      </c>
      <c r="L21" s="19" t="s">
        <v>531</v>
      </c>
      <c r="M21" s="19" t="s">
        <v>61</v>
      </c>
      <c r="N21" s="19" t="s">
        <v>531</v>
      </c>
      <c r="O21" s="19" t="s">
        <v>61</v>
      </c>
      <c r="Q21" s="19" t="s">
        <v>37</v>
      </c>
      <c r="R21" s="19" t="s">
        <v>531</v>
      </c>
      <c r="S21" s="19" t="s">
        <v>61</v>
      </c>
      <c r="T21" s="19" t="s">
        <v>531</v>
      </c>
      <c r="U21" s="19" t="s">
        <v>61</v>
      </c>
      <c r="V21" s="19" t="s">
        <v>531</v>
      </c>
      <c r="W21" s="19" t="s">
        <v>61</v>
      </c>
      <c r="X21" s="19" t="s">
        <v>531</v>
      </c>
      <c r="Y21" s="19" t="s">
        <v>61</v>
      </c>
      <c r="Z21" s="19" t="s">
        <v>531</v>
      </c>
      <c r="AA21" s="19" t="s">
        <v>61</v>
      </c>
    </row>
    <row r="22" spans="1:27" ht="12.75">
      <c r="A22" s="19" t="s">
        <v>0</v>
      </c>
      <c r="B22" s="49">
        <v>251593</v>
      </c>
      <c r="C22" s="66">
        <v>0.699</v>
      </c>
      <c r="D22" s="49">
        <v>7872</v>
      </c>
      <c r="E22" s="66">
        <v>0.022</v>
      </c>
      <c r="F22" s="49">
        <v>27913</v>
      </c>
      <c r="G22" s="66">
        <v>0.078</v>
      </c>
      <c r="H22" s="49">
        <v>31703</v>
      </c>
      <c r="I22" s="66">
        <v>0.088</v>
      </c>
      <c r="J22" s="49">
        <v>40837</v>
      </c>
      <c r="K22" s="66">
        <v>0.113</v>
      </c>
      <c r="L22" s="49">
        <v>113</v>
      </c>
      <c r="M22" s="66">
        <v>0</v>
      </c>
      <c r="N22" s="51">
        <f>B22+D22+F22+H22+J22+L22</f>
        <v>360031</v>
      </c>
      <c r="O22" s="66">
        <f>N22/N26</f>
        <v>0.10594063950857192</v>
      </c>
      <c r="Q22" s="19" t="s">
        <v>0</v>
      </c>
      <c r="R22" s="26">
        <f>(B22+D22+F22)</f>
        <v>287378</v>
      </c>
      <c r="S22" s="66">
        <f>R22/$Z22</f>
        <v>0.7982034880329749</v>
      </c>
      <c r="T22" s="26">
        <f aca="true" t="shared" si="4" ref="T22:X26">H22</f>
        <v>31703</v>
      </c>
      <c r="U22" s="66">
        <f>T22/$Z22</f>
        <v>0.08805630626251629</v>
      </c>
      <c r="V22" s="26">
        <f t="shared" si="4"/>
        <v>40837</v>
      </c>
      <c r="W22" s="66">
        <f>V22/$Z22</f>
        <v>0.11342634384261355</v>
      </c>
      <c r="X22" s="26">
        <f t="shared" si="4"/>
        <v>113</v>
      </c>
      <c r="Y22" s="66">
        <f>X22/$Z22</f>
        <v>0.0003138618618952257</v>
      </c>
      <c r="Z22" s="26">
        <f>R22+T22+V22+X22</f>
        <v>360031</v>
      </c>
      <c r="AA22" s="66">
        <f>Z22/Z26</f>
        <v>0.10594063950857192</v>
      </c>
    </row>
    <row r="23" spans="1:27" ht="12.75">
      <c r="A23" s="19" t="s">
        <v>1</v>
      </c>
      <c r="B23" s="49">
        <v>204033</v>
      </c>
      <c r="C23" s="66">
        <v>0.648</v>
      </c>
      <c r="D23" s="49">
        <v>4640</v>
      </c>
      <c r="E23" s="66">
        <v>0.015</v>
      </c>
      <c r="F23" s="49">
        <v>34504</v>
      </c>
      <c r="G23" s="66">
        <v>0.11</v>
      </c>
      <c r="H23" s="49">
        <v>31134</v>
      </c>
      <c r="I23" s="66">
        <v>0.099</v>
      </c>
      <c r="J23" s="49">
        <v>40727</v>
      </c>
      <c r="K23" s="66">
        <v>0.129</v>
      </c>
      <c r="L23" s="49">
        <v>60</v>
      </c>
      <c r="M23" s="66">
        <v>0</v>
      </c>
      <c r="N23" s="51">
        <f>B23+D23+F23+H23+J23+L23</f>
        <v>315098</v>
      </c>
      <c r="O23" s="66">
        <f>N23/N26</f>
        <v>0.09271891483753342</v>
      </c>
      <c r="Q23" s="19" t="s">
        <v>1</v>
      </c>
      <c r="R23" s="26">
        <f>(B23+D23+F23)</f>
        <v>243177</v>
      </c>
      <c r="S23" s="66">
        <f>R23/$Z23</f>
        <v>0.7717503760734755</v>
      </c>
      <c r="T23" s="26">
        <f t="shared" si="4"/>
        <v>31134</v>
      </c>
      <c r="U23" s="66">
        <f>T23/$Z23</f>
        <v>0.09880735517204171</v>
      </c>
      <c r="V23" s="26">
        <f t="shared" si="4"/>
        <v>40727</v>
      </c>
      <c r="W23" s="66">
        <f>V23/$Z23</f>
        <v>0.1292518518048353</v>
      </c>
      <c r="X23" s="26">
        <f t="shared" si="4"/>
        <v>60</v>
      </c>
      <c r="Y23" s="66">
        <f>X23/$Z23</f>
        <v>0.00019041694964741127</v>
      </c>
      <c r="Z23" s="26">
        <f>R23+T23+V23+X23</f>
        <v>315098</v>
      </c>
      <c r="AA23" s="66">
        <f>Z23/Z26</f>
        <v>0.09271891483753342</v>
      </c>
    </row>
    <row r="24" spans="1:27" ht="12.75">
      <c r="A24" s="19" t="s">
        <v>2</v>
      </c>
      <c r="B24" s="49">
        <v>711856</v>
      </c>
      <c r="C24" s="66">
        <v>0.664</v>
      </c>
      <c r="D24" s="49">
        <v>30939</v>
      </c>
      <c r="E24" s="66">
        <v>0.029</v>
      </c>
      <c r="F24" s="49">
        <v>76692</v>
      </c>
      <c r="G24" s="66">
        <v>0.072</v>
      </c>
      <c r="H24" s="49">
        <v>162300</v>
      </c>
      <c r="I24" s="66">
        <v>0.151</v>
      </c>
      <c r="J24" s="49">
        <v>89315</v>
      </c>
      <c r="K24" s="66">
        <v>0.083</v>
      </c>
      <c r="L24" s="49">
        <v>511</v>
      </c>
      <c r="M24" s="66">
        <v>0</v>
      </c>
      <c r="N24" s="51">
        <f>B24+D24+F24+H24+J24+L24</f>
        <v>1071613</v>
      </c>
      <c r="O24" s="66">
        <f>N24/N26</f>
        <v>0.3153266427771477</v>
      </c>
      <c r="Q24" s="19" t="s">
        <v>2</v>
      </c>
      <c r="R24" s="26">
        <f>(B24+D24+F24)</f>
        <v>819487</v>
      </c>
      <c r="S24" s="66">
        <f>R24/$Z24</f>
        <v>0.7647228990316467</v>
      </c>
      <c r="T24" s="26">
        <f t="shared" si="4"/>
        <v>162300</v>
      </c>
      <c r="U24" s="66">
        <f>T24/$Z24</f>
        <v>0.15145392973022911</v>
      </c>
      <c r="V24" s="26">
        <f t="shared" si="4"/>
        <v>89315</v>
      </c>
      <c r="W24" s="66">
        <f>V24/$Z24</f>
        <v>0.08334631998678628</v>
      </c>
      <c r="X24" s="26">
        <f t="shared" si="4"/>
        <v>511</v>
      </c>
      <c r="Y24" s="66">
        <f>X24/$Z24</f>
        <v>0.0004768512513379364</v>
      </c>
      <c r="Z24" s="26">
        <f>R24+T24+V24+X24</f>
        <v>1071613</v>
      </c>
      <c r="AA24" s="66">
        <f>Z24/Z26</f>
        <v>0.3153266427771477</v>
      </c>
    </row>
    <row r="25" spans="1:27" ht="12.75">
      <c r="A25" s="19" t="s">
        <v>3</v>
      </c>
      <c r="B25" s="49">
        <v>1112525</v>
      </c>
      <c r="C25" s="66">
        <v>0.674</v>
      </c>
      <c r="D25" s="49">
        <v>33414</v>
      </c>
      <c r="E25" s="66">
        <v>0.02</v>
      </c>
      <c r="F25" s="49">
        <v>116419</v>
      </c>
      <c r="G25" s="66">
        <v>0.07</v>
      </c>
      <c r="H25" s="49">
        <v>284061</v>
      </c>
      <c r="I25" s="66">
        <v>0.172</v>
      </c>
      <c r="J25" s="49">
        <v>104477</v>
      </c>
      <c r="K25" s="66">
        <v>0.063</v>
      </c>
      <c r="L25" s="49">
        <v>784</v>
      </c>
      <c r="M25" s="66">
        <v>0</v>
      </c>
      <c r="N25" s="51">
        <f>B25+D25+F25+H25+J25+L25</f>
        <v>1651680</v>
      </c>
      <c r="O25" s="66">
        <f>N25/N26</f>
        <v>0.4860138028767469</v>
      </c>
      <c r="Q25" s="19" t="s">
        <v>3</v>
      </c>
      <c r="R25" s="26">
        <f>(B25+D25+F25)</f>
        <v>1262358</v>
      </c>
      <c r="S25" s="66">
        <f>R25/$Z25</f>
        <v>0.7642872711421098</v>
      </c>
      <c r="T25" s="26">
        <f t="shared" si="4"/>
        <v>284061</v>
      </c>
      <c r="U25" s="66">
        <f>T25/$Z25</f>
        <v>0.17198307178145888</v>
      </c>
      <c r="V25" s="26">
        <f t="shared" si="4"/>
        <v>104477</v>
      </c>
      <c r="W25" s="66">
        <f>V25/$Z25</f>
        <v>0.06325498885982757</v>
      </c>
      <c r="X25" s="26">
        <f t="shared" si="4"/>
        <v>784</v>
      </c>
      <c r="Y25" s="66">
        <f>X25/$Z25</f>
        <v>0.0004746682166037005</v>
      </c>
      <c r="Z25" s="26">
        <f>R25+T25+V25+X25</f>
        <v>1651680</v>
      </c>
      <c r="AA25" s="66">
        <f>Z25/Z26</f>
        <v>0.4860138028767469</v>
      </c>
    </row>
    <row r="26" spans="1:27" ht="12.75">
      <c r="A26" s="215" t="s">
        <v>284</v>
      </c>
      <c r="B26" s="51">
        <f>SUM(B22:B25)</f>
        <v>2280007</v>
      </c>
      <c r="C26" s="66">
        <f>B26/$N26</f>
        <v>0.6709016714227957</v>
      </c>
      <c r="D26" s="51">
        <f>SUM(D22:D25)</f>
        <v>76865</v>
      </c>
      <c r="E26" s="66">
        <f>D26/$N26</f>
        <v>0.022617850284632104</v>
      </c>
      <c r="F26" s="51">
        <f>SUM(F22:F25)</f>
        <v>255528</v>
      </c>
      <c r="G26" s="66">
        <f>F26/$N26</f>
        <v>0.0751901912122744</v>
      </c>
      <c r="H26" s="51">
        <f>SUM(H22:H25)</f>
        <v>509198</v>
      </c>
      <c r="I26" s="66">
        <f>H26/$N26</f>
        <v>0.14983365809190266</v>
      </c>
      <c r="J26" s="51">
        <f>SUM(J22:J25)</f>
        <v>275356</v>
      </c>
      <c r="K26" s="66">
        <f>J26/$N26</f>
        <v>0.08102466379984592</v>
      </c>
      <c r="L26" s="51">
        <f>SUM(L22:L25)</f>
        <v>1468</v>
      </c>
      <c r="M26" s="66">
        <f>L26/$N26</f>
        <v>0.00043196518854927377</v>
      </c>
      <c r="N26" s="51">
        <f>B26+D26+F26+H26+J26+L26</f>
        <v>3398422</v>
      </c>
      <c r="O26" s="66">
        <f>N26/N26</f>
        <v>1</v>
      </c>
      <c r="Q26" s="215" t="s">
        <v>284</v>
      </c>
      <c r="R26" s="26">
        <f>(B26+D26+F26)</f>
        <v>2612400</v>
      </c>
      <c r="S26" s="66">
        <f>R26/$Z26</f>
        <v>0.7687097129197021</v>
      </c>
      <c r="T26" s="26">
        <f t="shared" si="4"/>
        <v>509198</v>
      </c>
      <c r="U26" s="66">
        <f>T26/$Z26</f>
        <v>0.14983365809190266</v>
      </c>
      <c r="V26" s="26">
        <f t="shared" si="4"/>
        <v>275356</v>
      </c>
      <c r="W26" s="66">
        <f>V26/$Z26</f>
        <v>0.08102466379984592</v>
      </c>
      <c r="X26" s="26">
        <f t="shared" si="4"/>
        <v>1468</v>
      </c>
      <c r="Y26" s="66">
        <f>X26/$Z26</f>
        <v>0.00043196518854927377</v>
      </c>
      <c r="Z26" s="26">
        <f>R26+T26+V26+X26</f>
        <v>3398422</v>
      </c>
      <c r="AA26" s="66">
        <f>Z26/Z26</f>
        <v>1</v>
      </c>
    </row>
    <row r="27" spans="1:13" ht="12.75">
      <c r="A27" s="239"/>
      <c r="B27" s="272"/>
      <c r="C27" s="275"/>
      <c r="D27" s="272"/>
      <c r="E27" s="275"/>
      <c r="F27" s="272"/>
      <c r="G27" s="275"/>
      <c r="H27" s="272"/>
      <c r="I27" s="275"/>
      <c r="J27" s="272"/>
      <c r="K27" s="275"/>
      <c r="L27" s="272"/>
      <c r="M27" s="275"/>
    </row>
    <row r="28" ht="12.75">
      <c r="A28" s="217" t="s">
        <v>532</v>
      </c>
    </row>
    <row r="29" spans="1:27" ht="25.5">
      <c r="A29" s="19">
        <v>1970</v>
      </c>
      <c r="B29" s="434" t="s">
        <v>525</v>
      </c>
      <c r="C29" s="434"/>
      <c r="D29" s="434" t="s">
        <v>526</v>
      </c>
      <c r="E29" s="434"/>
      <c r="F29" s="434" t="s">
        <v>527</v>
      </c>
      <c r="G29" s="434"/>
      <c r="H29" s="434" t="s">
        <v>528</v>
      </c>
      <c r="I29" s="434"/>
      <c r="J29" s="27" t="s">
        <v>529</v>
      </c>
      <c r="K29" s="27"/>
      <c r="L29" s="434" t="s">
        <v>530</v>
      </c>
      <c r="M29" s="434"/>
      <c r="N29" s="434" t="s">
        <v>81</v>
      </c>
      <c r="O29" s="434"/>
      <c r="Q29" s="19">
        <f>A29</f>
        <v>1970</v>
      </c>
      <c r="R29" s="434" t="s">
        <v>535</v>
      </c>
      <c r="S29" s="434"/>
      <c r="T29" s="452" t="s">
        <v>536</v>
      </c>
      <c r="U29" s="453"/>
      <c r="V29" s="452" t="s">
        <v>367</v>
      </c>
      <c r="W29" s="453"/>
      <c r="X29" s="454" t="s">
        <v>530</v>
      </c>
      <c r="Y29" s="455"/>
      <c r="Z29" s="434" t="s">
        <v>81</v>
      </c>
      <c r="AA29" s="434"/>
    </row>
    <row r="30" spans="1:27" ht="12.75">
      <c r="A30" s="19"/>
      <c r="B30" s="19" t="s">
        <v>531</v>
      </c>
      <c r="C30" s="19" t="s">
        <v>61</v>
      </c>
      <c r="D30" s="19" t="s">
        <v>531</v>
      </c>
      <c r="E30" s="19" t="s">
        <v>61</v>
      </c>
      <c r="F30" s="19" t="s">
        <v>531</v>
      </c>
      <c r="G30" s="19" t="s">
        <v>61</v>
      </c>
      <c r="H30" s="19" t="s">
        <v>531</v>
      </c>
      <c r="I30" s="19" t="s">
        <v>61</v>
      </c>
      <c r="J30" s="19" t="s">
        <v>531</v>
      </c>
      <c r="K30" s="19" t="s">
        <v>61</v>
      </c>
      <c r="L30" s="19" t="s">
        <v>531</v>
      </c>
      <c r="M30" s="19" t="s">
        <v>61</v>
      </c>
      <c r="N30" s="19" t="s">
        <v>531</v>
      </c>
      <c r="O30" s="19" t="s">
        <v>61</v>
      </c>
      <c r="Q30" s="19" t="s">
        <v>37</v>
      </c>
      <c r="R30" s="19" t="s">
        <v>531</v>
      </c>
      <c r="S30" s="19" t="s">
        <v>61</v>
      </c>
      <c r="T30" s="19" t="s">
        <v>531</v>
      </c>
      <c r="U30" s="19" t="s">
        <v>61</v>
      </c>
      <c r="V30" s="19" t="s">
        <v>531</v>
      </c>
      <c r="W30" s="19" t="s">
        <v>61</v>
      </c>
      <c r="X30" s="19" t="s">
        <v>531</v>
      </c>
      <c r="Y30" s="19" t="s">
        <v>61</v>
      </c>
      <c r="Z30" s="19" t="s">
        <v>531</v>
      </c>
      <c r="AA30" s="19" t="s">
        <v>61</v>
      </c>
    </row>
    <row r="31" spans="1:27" ht="12.75">
      <c r="A31" s="19" t="s">
        <v>0</v>
      </c>
      <c r="B31" s="49">
        <v>190449</v>
      </c>
      <c r="C31" s="66">
        <v>0.799</v>
      </c>
      <c r="D31" s="49">
        <v>1140</v>
      </c>
      <c r="E31" s="66">
        <v>0.005</v>
      </c>
      <c r="F31" s="49">
        <v>17562</v>
      </c>
      <c r="G31" s="66">
        <v>0.074</v>
      </c>
      <c r="H31" s="49">
        <v>13203</v>
      </c>
      <c r="I31" s="66">
        <v>0.055</v>
      </c>
      <c r="J31" s="49">
        <v>15939</v>
      </c>
      <c r="K31" s="66">
        <v>0.067</v>
      </c>
      <c r="L31" s="49"/>
      <c r="M31" s="66"/>
      <c r="N31" s="51">
        <f>B31+D31+F31+H31+J31+L31</f>
        <v>238293</v>
      </c>
      <c r="O31" s="66">
        <f>N31/N35</f>
        <v>0.09848523360036304</v>
      </c>
      <c r="Q31" s="19" t="s">
        <v>0</v>
      </c>
      <c r="R31" s="26">
        <f>(B31+D31+F31)</f>
        <v>209151</v>
      </c>
      <c r="S31" s="66">
        <f>R31/$Z31</f>
        <v>0.8777051780790875</v>
      </c>
      <c r="T31" s="26">
        <f aca="true" t="shared" si="5" ref="T31:X35">H31</f>
        <v>13203</v>
      </c>
      <c r="U31" s="66">
        <f>T31/$Z31</f>
        <v>0.055406579295237374</v>
      </c>
      <c r="V31" s="26">
        <f t="shared" si="5"/>
        <v>15939</v>
      </c>
      <c r="W31" s="66">
        <f>V31/$Z31</f>
        <v>0.06688824262567511</v>
      </c>
      <c r="X31" s="26">
        <f t="shared" si="5"/>
        <v>0</v>
      </c>
      <c r="Y31" s="66">
        <f>X31/$Z31</f>
        <v>0</v>
      </c>
      <c r="Z31" s="26">
        <f>R31+T31+V31+X31</f>
        <v>238293</v>
      </c>
      <c r="AA31" s="66">
        <f>Z31/Z35</f>
        <v>0.09848523360036304</v>
      </c>
    </row>
    <row r="32" spans="1:27" ht="12.75">
      <c r="A32" s="19" t="s">
        <v>1</v>
      </c>
      <c r="B32" s="49">
        <v>176967</v>
      </c>
      <c r="C32" s="66">
        <v>0.735</v>
      </c>
      <c r="D32" s="49">
        <v>1427</v>
      </c>
      <c r="E32" s="66">
        <v>0.006</v>
      </c>
      <c r="F32" s="49">
        <v>25903</v>
      </c>
      <c r="G32" s="66">
        <v>0.108</v>
      </c>
      <c r="H32" s="49">
        <v>19523</v>
      </c>
      <c r="I32" s="66">
        <v>0.081</v>
      </c>
      <c r="J32" s="49">
        <v>16935</v>
      </c>
      <c r="K32" s="66">
        <v>0.07</v>
      </c>
      <c r="L32" s="49"/>
      <c r="M32" s="66"/>
      <c r="N32" s="51">
        <f>B32+D32+F32+H32+J32+L32</f>
        <v>240755</v>
      </c>
      <c r="O32" s="66">
        <f>N32/N35</f>
        <v>0.09950276514818061</v>
      </c>
      <c r="Q32" s="19" t="s">
        <v>1</v>
      </c>
      <c r="R32" s="26">
        <f>(B32+D32+F32)</f>
        <v>204297</v>
      </c>
      <c r="S32" s="66">
        <f>R32/$Z32</f>
        <v>0.8485680463541775</v>
      </c>
      <c r="T32" s="26">
        <f t="shared" si="5"/>
        <v>19523</v>
      </c>
      <c r="U32" s="66">
        <f>T32/$Z32</f>
        <v>0.08109073539490354</v>
      </c>
      <c r="V32" s="26">
        <f t="shared" si="5"/>
        <v>16935</v>
      </c>
      <c r="W32" s="66">
        <f>V32/$Z32</f>
        <v>0.07034121825091899</v>
      </c>
      <c r="X32" s="26">
        <f t="shared" si="5"/>
        <v>0</v>
      </c>
      <c r="Y32" s="66">
        <f>X32/$Z32</f>
        <v>0</v>
      </c>
      <c r="Z32" s="26">
        <f>R32+T32+V32+X32</f>
        <v>240755</v>
      </c>
      <c r="AA32" s="66">
        <f>Z32/Z35</f>
        <v>0.09950276514818061</v>
      </c>
    </row>
    <row r="33" spans="1:27" ht="12.75">
      <c r="A33" s="19" t="s">
        <v>2</v>
      </c>
      <c r="B33" s="49">
        <v>556746</v>
      </c>
      <c r="C33" s="66">
        <v>0.757</v>
      </c>
      <c r="D33" s="49">
        <v>8954</v>
      </c>
      <c r="E33" s="66">
        <v>0.012</v>
      </c>
      <c r="F33" s="49">
        <v>45709</v>
      </c>
      <c r="G33" s="66">
        <v>0.062</v>
      </c>
      <c r="H33" s="49">
        <v>86421</v>
      </c>
      <c r="I33" s="66">
        <v>0.117</v>
      </c>
      <c r="J33" s="49">
        <v>37801</v>
      </c>
      <c r="K33" s="66">
        <v>0.051</v>
      </c>
      <c r="L33" s="49"/>
      <c r="M33" s="66"/>
      <c r="N33" s="51">
        <f>B33+D33+F33+H33+J33+L33</f>
        <v>735631</v>
      </c>
      <c r="O33" s="66">
        <f>N33/N35</f>
        <v>0.30403239238529317</v>
      </c>
      <c r="Q33" s="19" t="s">
        <v>2</v>
      </c>
      <c r="R33" s="26">
        <f>(B33+D33+F33)</f>
        <v>611409</v>
      </c>
      <c r="S33" s="66">
        <f>R33/$Z33</f>
        <v>0.83113544698361</v>
      </c>
      <c r="T33" s="26">
        <f t="shared" si="5"/>
        <v>86421</v>
      </c>
      <c r="U33" s="66">
        <f>T33/$Z33</f>
        <v>0.11747873594234065</v>
      </c>
      <c r="V33" s="26">
        <f t="shared" si="5"/>
        <v>37801</v>
      </c>
      <c r="W33" s="66">
        <f>V33/$Z33</f>
        <v>0.05138581707404935</v>
      </c>
      <c r="X33" s="26">
        <f t="shared" si="5"/>
        <v>0</v>
      </c>
      <c r="Y33" s="66">
        <f>X33/$Z33</f>
        <v>0</v>
      </c>
      <c r="Z33" s="26">
        <f>R33+T33+V33+X33</f>
        <v>735631</v>
      </c>
      <c r="AA33" s="66">
        <f>Z33/Z35</f>
        <v>0.30403239238529317</v>
      </c>
    </row>
    <row r="34" spans="1:27" ht="12.75">
      <c r="A34" s="19" t="s">
        <v>3</v>
      </c>
      <c r="B34" s="49">
        <v>898165</v>
      </c>
      <c r="C34" s="66">
        <v>0.745</v>
      </c>
      <c r="D34" s="49">
        <v>12328</v>
      </c>
      <c r="E34" s="66">
        <v>0.01</v>
      </c>
      <c r="F34" s="49">
        <v>79596</v>
      </c>
      <c r="G34" s="66">
        <v>0.066</v>
      </c>
      <c r="H34" s="49">
        <v>170835</v>
      </c>
      <c r="I34" s="66">
        <v>0.142</v>
      </c>
      <c r="J34" s="49">
        <v>43978</v>
      </c>
      <c r="K34" s="66">
        <v>0.036</v>
      </c>
      <c r="L34" s="49"/>
      <c r="M34" s="66"/>
      <c r="N34" s="51">
        <f>B34+D34+F34+H34+J34+L34</f>
        <v>1204902</v>
      </c>
      <c r="O34" s="66">
        <f>N34/N35</f>
        <v>0.4979796088661632</v>
      </c>
      <c r="Q34" s="19" t="s">
        <v>3</v>
      </c>
      <c r="R34" s="26">
        <f>(B34+D34+F34)</f>
        <v>990089</v>
      </c>
      <c r="S34" s="66">
        <f>R34/$Z34</f>
        <v>0.8217174508798226</v>
      </c>
      <c r="T34" s="26">
        <f t="shared" si="5"/>
        <v>170835</v>
      </c>
      <c r="U34" s="66">
        <f>T34/$Z34</f>
        <v>0.14178331515758127</v>
      </c>
      <c r="V34" s="26">
        <f t="shared" si="5"/>
        <v>43978</v>
      </c>
      <c r="W34" s="66">
        <f>V34/$Z34</f>
        <v>0.03649923396259613</v>
      </c>
      <c r="X34" s="26">
        <f t="shared" si="5"/>
        <v>0</v>
      </c>
      <c r="Y34" s="66">
        <f>X34/$Z34</f>
        <v>0</v>
      </c>
      <c r="Z34" s="26">
        <f>R34+T34+V34+X34</f>
        <v>1204902</v>
      </c>
      <c r="AA34" s="66">
        <f>Z34/Z35</f>
        <v>0.4979796088661632</v>
      </c>
    </row>
    <row r="35" spans="1:27" ht="12.75">
      <c r="A35" s="215" t="s">
        <v>284</v>
      </c>
      <c r="B35" s="51">
        <f>SUM(B31:B34)</f>
        <v>1822327</v>
      </c>
      <c r="C35" s="66">
        <f>B35/$N35</f>
        <v>0.7531580881152563</v>
      </c>
      <c r="D35" s="51">
        <f>SUM(D31:D34)</f>
        <v>23849</v>
      </c>
      <c r="E35" s="66">
        <f>D35/$N35</f>
        <v>0.009856665265597638</v>
      </c>
      <c r="F35" s="51">
        <f>SUM(F31:F34)</f>
        <v>168770</v>
      </c>
      <c r="G35" s="66">
        <f>F35/$N35</f>
        <v>0.06975174627342502</v>
      </c>
      <c r="H35" s="51">
        <f>SUM(H31:H34)</f>
        <v>289982</v>
      </c>
      <c r="I35" s="66">
        <f>H35/$N35</f>
        <v>0.11984802327345107</v>
      </c>
      <c r="J35" s="51">
        <f>SUM(J31:J34)</f>
        <v>114653</v>
      </c>
      <c r="K35" s="66">
        <f>J35/$N35</f>
        <v>0.04738547707226995</v>
      </c>
      <c r="L35" s="51">
        <f>SUM(L31:L34)</f>
        <v>0</v>
      </c>
      <c r="M35" s="66">
        <f>L35/$N35</f>
        <v>0</v>
      </c>
      <c r="N35" s="51">
        <f>B35+D35+F35+H35+J35+L35</f>
        <v>2419581</v>
      </c>
      <c r="O35" s="66">
        <f>N35/N35</f>
        <v>1</v>
      </c>
      <c r="Q35" s="215" t="s">
        <v>284</v>
      </c>
      <c r="R35" s="26">
        <f>(B35+D35+F35)</f>
        <v>2014946</v>
      </c>
      <c r="S35" s="66">
        <f>R35/$Z35</f>
        <v>0.832766499654279</v>
      </c>
      <c r="T35" s="26">
        <f t="shared" si="5"/>
        <v>289982</v>
      </c>
      <c r="U35" s="66">
        <f>T35/$Z35</f>
        <v>0.11984802327345107</v>
      </c>
      <c r="V35" s="26">
        <f t="shared" si="5"/>
        <v>114653</v>
      </c>
      <c r="W35" s="66">
        <f>V35/$Z35</f>
        <v>0.04738547707226995</v>
      </c>
      <c r="X35" s="26">
        <f t="shared" si="5"/>
        <v>0</v>
      </c>
      <c r="Y35" s="66">
        <f>X35/$Z35</f>
        <v>0</v>
      </c>
      <c r="Z35" s="26">
        <f>R35+T35+V35+X35</f>
        <v>2419581</v>
      </c>
      <c r="AA35" s="66">
        <f>Z35/Z35</f>
        <v>1</v>
      </c>
    </row>
    <row r="36" spans="1:13" ht="12.75">
      <c r="A36" s="239"/>
      <c r="B36" s="272"/>
      <c r="C36" s="275"/>
      <c r="D36" s="272"/>
      <c r="E36" s="275"/>
      <c r="F36" s="272"/>
      <c r="G36" s="275"/>
      <c r="H36" s="272"/>
      <c r="I36" s="275"/>
      <c r="J36" s="272"/>
      <c r="K36" s="275"/>
      <c r="L36" s="272"/>
      <c r="M36" s="275"/>
    </row>
    <row r="37" ht="12.75">
      <c r="A37" s="217" t="s">
        <v>532</v>
      </c>
    </row>
    <row r="38" spans="1:27" ht="25.5">
      <c r="A38" s="19">
        <v>1960</v>
      </c>
      <c r="B38" s="434" t="s">
        <v>525</v>
      </c>
      <c r="C38" s="434"/>
      <c r="D38" s="434" t="s">
        <v>526</v>
      </c>
      <c r="E38" s="434"/>
      <c r="F38" s="434" t="s">
        <v>527</v>
      </c>
      <c r="G38" s="434"/>
      <c r="H38" s="434" t="s">
        <v>528</v>
      </c>
      <c r="I38" s="434"/>
      <c r="J38" s="27" t="s">
        <v>529</v>
      </c>
      <c r="K38" s="27"/>
      <c r="L38" s="434" t="s">
        <v>530</v>
      </c>
      <c r="M38" s="434"/>
      <c r="N38" s="434" t="s">
        <v>81</v>
      </c>
      <c r="O38" s="434"/>
      <c r="Q38" s="19">
        <f>A38</f>
        <v>1960</v>
      </c>
      <c r="R38" s="434" t="s">
        <v>535</v>
      </c>
      <c r="S38" s="434"/>
      <c r="T38" s="452" t="s">
        <v>536</v>
      </c>
      <c r="U38" s="453"/>
      <c r="V38" s="452" t="s">
        <v>367</v>
      </c>
      <c r="W38" s="453"/>
      <c r="X38" s="454" t="s">
        <v>530</v>
      </c>
      <c r="Y38" s="455"/>
      <c r="Z38" s="434" t="s">
        <v>81</v>
      </c>
      <c r="AA38" s="434"/>
    </row>
    <row r="39" spans="1:27" ht="12.75">
      <c r="A39" s="19"/>
      <c r="B39" s="19" t="s">
        <v>531</v>
      </c>
      <c r="C39" s="19" t="s">
        <v>61</v>
      </c>
      <c r="D39" s="19" t="s">
        <v>531</v>
      </c>
      <c r="E39" s="19" t="s">
        <v>61</v>
      </c>
      <c r="F39" s="19" t="s">
        <v>531</v>
      </c>
      <c r="G39" s="19" t="s">
        <v>61</v>
      </c>
      <c r="H39" s="19" t="s">
        <v>531</v>
      </c>
      <c r="I39" s="19" t="s">
        <v>61</v>
      </c>
      <c r="J39" s="19" t="s">
        <v>531</v>
      </c>
      <c r="K39" s="19" t="s">
        <v>61</v>
      </c>
      <c r="L39" s="19" t="s">
        <v>531</v>
      </c>
      <c r="M39" s="19" t="s">
        <v>61</v>
      </c>
      <c r="N39" s="19" t="s">
        <v>531</v>
      </c>
      <c r="O39" s="19" t="s">
        <v>61</v>
      </c>
      <c r="Q39" s="19" t="s">
        <v>37</v>
      </c>
      <c r="R39" s="19" t="s">
        <v>531</v>
      </c>
      <c r="S39" s="19" t="s">
        <v>61</v>
      </c>
      <c r="T39" s="19" t="s">
        <v>531</v>
      </c>
      <c r="U39" s="19" t="s">
        <v>61</v>
      </c>
      <c r="V39" s="19" t="s">
        <v>531</v>
      </c>
      <c r="W39" s="19" t="s">
        <v>61</v>
      </c>
      <c r="X39" s="19" t="s">
        <v>531</v>
      </c>
      <c r="Y39" s="19" t="s">
        <v>61</v>
      </c>
      <c r="Z39" s="19" t="s">
        <v>531</v>
      </c>
      <c r="AA39" s="19" t="s">
        <v>61</v>
      </c>
    </row>
    <row r="40" spans="1:27" ht="12.75">
      <c r="A40" s="19" t="s">
        <v>0</v>
      </c>
      <c r="B40" s="49">
        <v>184571</v>
      </c>
      <c r="C40" s="66">
        <v>0.826</v>
      </c>
      <c r="D40" s="49">
        <v>8455</v>
      </c>
      <c r="E40" s="66">
        <v>0.038</v>
      </c>
      <c r="F40" s="49">
        <v>12814</v>
      </c>
      <c r="G40" s="66">
        <v>0.057</v>
      </c>
      <c r="H40" s="49">
        <v>10930</v>
      </c>
      <c r="I40" s="66">
        <v>0.049</v>
      </c>
      <c r="J40" s="49">
        <v>6763</v>
      </c>
      <c r="K40" s="66">
        <v>0.03</v>
      </c>
      <c r="L40" s="49"/>
      <c r="M40" s="66"/>
      <c r="N40" s="51">
        <f>B40+D40+F40+H40+J40+L40</f>
        <v>223533</v>
      </c>
      <c r="O40" s="66">
        <f>N40/N44</f>
        <v>0.10700335275544416</v>
      </c>
      <c r="Q40" s="19" t="s">
        <v>0</v>
      </c>
      <c r="R40" s="26">
        <f>(B40+D40+F40)</f>
        <v>205840</v>
      </c>
      <c r="S40" s="66">
        <f>R40/$Z40</f>
        <v>0.9208483758550192</v>
      </c>
      <c r="T40" s="26">
        <f aca="true" t="shared" si="6" ref="T40:X44">H40</f>
        <v>10930</v>
      </c>
      <c r="U40" s="66">
        <f>T40/$Z40</f>
        <v>0.0488965835022122</v>
      </c>
      <c r="V40" s="26">
        <f t="shared" si="6"/>
        <v>6763</v>
      </c>
      <c r="W40" s="66">
        <f>V40/$Z40</f>
        <v>0.03025504064276863</v>
      </c>
      <c r="X40" s="26">
        <f t="shared" si="6"/>
        <v>0</v>
      </c>
      <c r="Y40" s="66">
        <f>X40/$Z40</f>
        <v>0</v>
      </c>
      <c r="Z40" s="26">
        <f>R40+T40+V40+X40</f>
        <v>223533</v>
      </c>
      <c r="AA40" s="66">
        <f>Z40/Z44</f>
        <v>0.10700335275544416</v>
      </c>
    </row>
    <row r="41" spans="1:27" ht="12.75">
      <c r="A41" s="19" t="s">
        <v>1</v>
      </c>
      <c r="B41" s="49">
        <v>176453</v>
      </c>
      <c r="C41" s="66">
        <v>0.756</v>
      </c>
      <c r="D41" s="49">
        <v>9761</v>
      </c>
      <c r="E41" s="66">
        <v>0.042</v>
      </c>
      <c r="F41" s="49">
        <v>22589</v>
      </c>
      <c r="G41" s="66">
        <v>0.097</v>
      </c>
      <c r="H41" s="49">
        <v>17405</v>
      </c>
      <c r="I41" s="66">
        <v>0.075</v>
      </c>
      <c r="J41" s="49">
        <v>7077</v>
      </c>
      <c r="K41" s="66">
        <v>0.03</v>
      </c>
      <c r="L41" s="49"/>
      <c r="M41" s="66"/>
      <c r="N41" s="51">
        <f>B41+D41+F41+H41+J41+L41</f>
        <v>233285</v>
      </c>
      <c r="O41" s="66">
        <f>N41/N44</f>
        <v>0.11167155251150296</v>
      </c>
      <c r="Q41" s="19" t="s">
        <v>1</v>
      </c>
      <c r="R41" s="26">
        <f>(B41+D41+F41)</f>
        <v>208803</v>
      </c>
      <c r="S41" s="66">
        <f>R41/$Z41</f>
        <v>0.8950554043337549</v>
      </c>
      <c r="T41" s="26">
        <f t="shared" si="6"/>
        <v>17405</v>
      </c>
      <c r="U41" s="66">
        <f>T41/$Z41</f>
        <v>0.07460831172171378</v>
      </c>
      <c r="V41" s="26">
        <f t="shared" si="6"/>
        <v>7077</v>
      </c>
      <c r="W41" s="66">
        <f>V41/$Z41</f>
        <v>0.03033628394453137</v>
      </c>
      <c r="X41" s="26">
        <f t="shared" si="6"/>
        <v>0</v>
      </c>
      <c r="Y41" s="66">
        <f>X41/$Z41</f>
        <v>0</v>
      </c>
      <c r="Z41" s="26">
        <f>R41+T41+V41+X41</f>
        <v>233285</v>
      </c>
      <c r="AA41" s="66">
        <f>Z41/Z44</f>
        <v>0.11167155251150296</v>
      </c>
    </row>
    <row r="42" spans="1:27" ht="12.75">
      <c r="A42" s="19" t="s">
        <v>2</v>
      </c>
      <c r="B42" s="49">
        <v>503664</v>
      </c>
      <c r="C42" s="66">
        <v>0.809</v>
      </c>
      <c r="D42" s="49">
        <v>21190</v>
      </c>
      <c r="E42" s="66">
        <v>0.034</v>
      </c>
      <c r="F42" s="49">
        <v>32785</v>
      </c>
      <c r="G42" s="66">
        <v>0.053</v>
      </c>
      <c r="H42" s="49">
        <v>50997</v>
      </c>
      <c r="I42" s="66">
        <v>0.082</v>
      </c>
      <c r="J42" s="49">
        <v>14090</v>
      </c>
      <c r="K42" s="66">
        <v>0.023</v>
      </c>
      <c r="L42" s="49"/>
      <c r="M42" s="66"/>
      <c r="N42" s="51">
        <f>B42+D42+F42+H42+J42+L42</f>
        <v>622726</v>
      </c>
      <c r="O42" s="66">
        <f>N42/N44</f>
        <v>0.29809365886910083</v>
      </c>
      <c r="Q42" s="19" t="s">
        <v>2</v>
      </c>
      <c r="R42" s="26">
        <f>(B42+D42+F42)</f>
        <v>557639</v>
      </c>
      <c r="S42" s="66">
        <f>R42/$Z42</f>
        <v>0.8954805163105443</v>
      </c>
      <c r="T42" s="26">
        <f t="shared" si="6"/>
        <v>50997</v>
      </c>
      <c r="U42" s="66">
        <f>T42/$Z42</f>
        <v>0.08189316007361183</v>
      </c>
      <c r="V42" s="26">
        <f t="shared" si="6"/>
        <v>14090</v>
      </c>
      <c r="W42" s="66">
        <f>V42/$Z42</f>
        <v>0.022626323615843887</v>
      </c>
      <c r="X42" s="26">
        <f t="shared" si="6"/>
        <v>0</v>
      </c>
      <c r="Y42" s="66">
        <f>X42/$Z42</f>
        <v>0</v>
      </c>
      <c r="Z42" s="26">
        <f>R42+T42+V42+X42</f>
        <v>622726</v>
      </c>
      <c r="AA42" s="66">
        <f>Z42/Z44</f>
        <v>0.29809365886910083</v>
      </c>
    </row>
    <row r="43" spans="1:27" ht="12.75">
      <c r="A43" s="19" t="s">
        <v>3</v>
      </c>
      <c r="B43" s="49">
        <v>787921</v>
      </c>
      <c r="C43" s="66">
        <v>0.781</v>
      </c>
      <c r="D43" s="49">
        <v>35986</v>
      </c>
      <c r="E43" s="66">
        <v>0.036</v>
      </c>
      <c r="F43" s="49">
        <v>60018</v>
      </c>
      <c r="G43" s="66">
        <v>0.059</v>
      </c>
      <c r="H43" s="49">
        <v>110619</v>
      </c>
      <c r="I43" s="66">
        <v>0.11</v>
      </c>
      <c r="J43" s="49">
        <v>14940</v>
      </c>
      <c r="K43" s="66">
        <v>0.015</v>
      </c>
      <c r="L43" s="49"/>
      <c r="M43" s="66"/>
      <c r="N43" s="51">
        <f>B43+D43+F43+H43+J43+L43</f>
        <v>1009484</v>
      </c>
      <c r="O43" s="66">
        <f>N43/N44</f>
        <v>0.48323143586395206</v>
      </c>
      <c r="Q43" s="19" t="s">
        <v>3</v>
      </c>
      <c r="R43" s="26">
        <f>(B43+D43+F43)</f>
        <v>883925</v>
      </c>
      <c r="S43" s="66">
        <f>R43/$Z43</f>
        <v>0.8756206140959143</v>
      </c>
      <c r="T43" s="26">
        <f t="shared" si="6"/>
        <v>110619</v>
      </c>
      <c r="U43" s="66">
        <f>T43/$Z43</f>
        <v>0.10957974569185841</v>
      </c>
      <c r="V43" s="26">
        <f t="shared" si="6"/>
        <v>14940</v>
      </c>
      <c r="W43" s="66">
        <f>V43/$Z43</f>
        <v>0.014799640212227237</v>
      </c>
      <c r="X43" s="26">
        <f t="shared" si="6"/>
        <v>0</v>
      </c>
      <c r="Y43" s="66">
        <f>X43/$Z43</f>
        <v>0</v>
      </c>
      <c r="Z43" s="26">
        <f>R43+T43+V43+X43</f>
        <v>1009484</v>
      </c>
      <c r="AA43" s="66">
        <f>Z43/Z44</f>
        <v>0.48323143586395206</v>
      </c>
    </row>
    <row r="44" spans="1:27" ht="12.75">
      <c r="A44" s="215" t="s">
        <v>284</v>
      </c>
      <c r="B44" s="51">
        <f>SUM(B40:B43)</f>
        <v>1652609</v>
      </c>
      <c r="C44" s="66">
        <f>B44/$N44</f>
        <v>0.7910899231604364</v>
      </c>
      <c r="D44" s="51">
        <f>SUM(D40:D43)</f>
        <v>75392</v>
      </c>
      <c r="E44" s="66">
        <f>D44/$N44</f>
        <v>0.03608951148572446</v>
      </c>
      <c r="F44" s="51">
        <f>SUM(F40:F43)</f>
        <v>128206</v>
      </c>
      <c r="G44" s="66">
        <f>F44/$N44</f>
        <v>0.06137112571013888</v>
      </c>
      <c r="H44" s="51">
        <f>SUM(H40:H43)</f>
        <v>189951</v>
      </c>
      <c r="I44" s="66">
        <f>H44/$N44</f>
        <v>0.09092793394822855</v>
      </c>
      <c r="J44" s="51">
        <f>SUM(J40:J43)</f>
        <v>42870</v>
      </c>
      <c r="K44" s="66">
        <f>J44/$N44</f>
        <v>0.02052150569547177</v>
      </c>
      <c r="L44" s="51">
        <f>SUM(L40:L43)</f>
        <v>0</v>
      </c>
      <c r="M44" s="66">
        <f>L44/$N44</f>
        <v>0</v>
      </c>
      <c r="N44" s="51">
        <f>B44+D44+F44+H44+J44+L44</f>
        <v>2089028</v>
      </c>
      <c r="O44" s="66">
        <f>N44/N44</f>
        <v>1</v>
      </c>
      <c r="Q44" s="215" t="s">
        <v>284</v>
      </c>
      <c r="R44" s="26">
        <f>(B44+D44+F44)</f>
        <v>1856207</v>
      </c>
      <c r="S44" s="66">
        <f>R44/$Z44</f>
        <v>0.8885505603562996</v>
      </c>
      <c r="T44" s="26">
        <f t="shared" si="6"/>
        <v>189951</v>
      </c>
      <c r="U44" s="66">
        <f>T44/$Z44</f>
        <v>0.09092793394822855</v>
      </c>
      <c r="V44" s="26">
        <f t="shared" si="6"/>
        <v>42870</v>
      </c>
      <c r="W44" s="66">
        <f>V44/$Z44</f>
        <v>0.02052150569547177</v>
      </c>
      <c r="X44" s="26">
        <f t="shared" si="6"/>
        <v>0</v>
      </c>
      <c r="Y44" s="66">
        <f>X44/$Z44</f>
        <v>0</v>
      </c>
      <c r="Z44" s="26">
        <f>R44+T44+V44+X44</f>
        <v>2089028</v>
      </c>
      <c r="AA44" s="66">
        <f>Z44/Z44</f>
        <v>1</v>
      </c>
    </row>
    <row r="45" spans="1:13" ht="12.75">
      <c r="A45" s="239"/>
      <c r="B45" s="272"/>
      <c r="C45" s="275"/>
      <c r="D45" s="272"/>
      <c r="E45" s="275"/>
      <c r="F45" s="272"/>
      <c r="G45" s="275"/>
      <c r="H45" s="272"/>
      <c r="I45" s="275"/>
      <c r="J45" s="272"/>
      <c r="K45" s="275"/>
      <c r="L45" s="272"/>
      <c r="M45" s="275"/>
    </row>
    <row r="46" ht="12.75">
      <c r="A46" s="217" t="s">
        <v>532</v>
      </c>
    </row>
    <row r="47" spans="1:27" ht="25.5">
      <c r="A47" s="19">
        <v>1950</v>
      </c>
      <c r="B47" s="434" t="s">
        <v>525</v>
      </c>
      <c r="C47" s="434"/>
      <c r="D47" s="434" t="s">
        <v>526</v>
      </c>
      <c r="E47" s="434"/>
      <c r="F47" s="434" t="s">
        <v>527</v>
      </c>
      <c r="G47" s="434"/>
      <c r="H47" s="434" t="s">
        <v>528</v>
      </c>
      <c r="I47" s="434"/>
      <c r="J47" s="27" t="s">
        <v>529</v>
      </c>
      <c r="K47" s="27"/>
      <c r="L47" s="434" t="s">
        <v>530</v>
      </c>
      <c r="M47" s="434"/>
      <c r="N47" s="434" t="s">
        <v>81</v>
      </c>
      <c r="O47" s="434"/>
      <c r="Q47" s="19">
        <f>A47</f>
        <v>1950</v>
      </c>
      <c r="R47" s="434" t="s">
        <v>535</v>
      </c>
      <c r="S47" s="434"/>
      <c r="T47" s="452" t="s">
        <v>536</v>
      </c>
      <c r="U47" s="453"/>
      <c r="V47" s="452" t="s">
        <v>367</v>
      </c>
      <c r="W47" s="453"/>
      <c r="X47" s="454" t="s">
        <v>530</v>
      </c>
      <c r="Y47" s="455"/>
      <c r="Z47" s="434" t="s">
        <v>81</v>
      </c>
      <c r="AA47" s="434"/>
    </row>
    <row r="48" spans="1:27" ht="12.75">
      <c r="A48" s="19"/>
      <c r="B48" s="19" t="s">
        <v>531</v>
      </c>
      <c r="C48" s="19" t="s">
        <v>61</v>
      </c>
      <c r="D48" s="19" t="s">
        <v>531</v>
      </c>
      <c r="E48" s="19" t="s">
        <v>61</v>
      </c>
      <c r="F48" s="19" t="s">
        <v>531</v>
      </c>
      <c r="G48" s="19" t="s">
        <v>61</v>
      </c>
      <c r="H48" s="19" t="s">
        <v>531</v>
      </c>
      <c r="I48" s="19" t="s">
        <v>61</v>
      </c>
      <c r="J48" s="19" t="s">
        <v>531</v>
      </c>
      <c r="K48" s="19" t="s">
        <v>61</v>
      </c>
      <c r="L48" s="19" t="s">
        <v>531</v>
      </c>
      <c r="M48" s="19" t="s">
        <v>61</v>
      </c>
      <c r="N48" s="19" t="s">
        <v>531</v>
      </c>
      <c r="O48" s="19" t="s">
        <v>61</v>
      </c>
      <c r="Q48" s="19" t="s">
        <v>37</v>
      </c>
      <c r="R48" s="19" t="s">
        <v>531</v>
      </c>
      <c r="S48" s="19" t="s">
        <v>61</v>
      </c>
      <c r="T48" s="19" t="s">
        <v>531</v>
      </c>
      <c r="U48" s="19" t="s">
        <v>61</v>
      </c>
      <c r="V48" s="19" t="s">
        <v>531</v>
      </c>
      <c r="W48" s="19" t="s">
        <v>61</v>
      </c>
      <c r="X48" s="19" t="s">
        <v>531</v>
      </c>
      <c r="Y48" s="19" t="s">
        <v>61</v>
      </c>
      <c r="Z48" s="19" t="s">
        <v>531</v>
      </c>
      <c r="AA48" s="19" t="s">
        <v>61</v>
      </c>
    </row>
    <row r="49" spans="1:27" ht="12.75">
      <c r="A49" s="19" t="s">
        <v>0</v>
      </c>
      <c r="B49" s="49">
        <v>153481</v>
      </c>
      <c r="C49" s="66">
        <v>0.815</v>
      </c>
      <c r="D49" s="49">
        <v>4292</v>
      </c>
      <c r="E49" s="66">
        <v>0.023</v>
      </c>
      <c r="F49" s="49">
        <v>18195</v>
      </c>
      <c r="G49" s="66">
        <v>0.097</v>
      </c>
      <c r="H49" s="49">
        <v>9290</v>
      </c>
      <c r="I49" s="66">
        <v>0.049</v>
      </c>
      <c r="J49" s="49">
        <v>3070</v>
      </c>
      <c r="K49" s="66">
        <v>0.016</v>
      </c>
      <c r="L49" s="49"/>
      <c r="M49" s="66"/>
      <c r="N49" s="51">
        <f>B49+D49+F49+H49+J49+L49</f>
        <v>188328</v>
      </c>
      <c r="O49" s="66">
        <f>N49/N53</f>
        <v>0.10972983555207518</v>
      </c>
      <c r="Q49" s="19" t="s">
        <v>0</v>
      </c>
      <c r="R49" s="26">
        <f>(B49+D49+F49)</f>
        <v>175968</v>
      </c>
      <c r="S49" s="66">
        <f>R49/$Z49</f>
        <v>0.9343698228622404</v>
      </c>
      <c r="T49" s="26">
        <f aca="true" t="shared" si="7" ref="T49:X53">H49</f>
        <v>9290</v>
      </c>
      <c r="U49" s="66">
        <f>T49/$Z49</f>
        <v>0.049328830550953655</v>
      </c>
      <c r="V49" s="26">
        <f t="shared" si="7"/>
        <v>3070</v>
      </c>
      <c r="W49" s="66">
        <f>V49/$Z49</f>
        <v>0.016301346586805997</v>
      </c>
      <c r="X49" s="26">
        <f t="shared" si="7"/>
        <v>0</v>
      </c>
      <c r="Y49" s="66">
        <f>X49/$Z49</f>
        <v>0</v>
      </c>
      <c r="Z49" s="26">
        <f>R49+T49+V49+X49</f>
        <v>188328</v>
      </c>
      <c r="AA49" s="66">
        <f>Z49/Z53</f>
        <v>0.10972983555207518</v>
      </c>
    </row>
    <row r="50" spans="1:27" ht="12.75">
      <c r="A50" s="19" t="s">
        <v>1</v>
      </c>
      <c r="B50" s="49">
        <v>149268</v>
      </c>
      <c r="C50" s="66">
        <v>0.768</v>
      </c>
      <c r="D50" s="49">
        <v>5887</v>
      </c>
      <c r="E50" s="66">
        <v>0.03</v>
      </c>
      <c r="F50" s="49">
        <v>22498</v>
      </c>
      <c r="G50" s="66">
        <v>0.116</v>
      </c>
      <c r="H50" s="49">
        <v>14358</v>
      </c>
      <c r="I50" s="66">
        <v>0.074</v>
      </c>
      <c r="J50" s="49">
        <v>2245</v>
      </c>
      <c r="K50" s="66">
        <v>0.012</v>
      </c>
      <c r="L50" s="49"/>
      <c r="M50" s="66"/>
      <c r="N50" s="51">
        <f>B50+D50+F50+H50+J50+L50</f>
        <v>194256</v>
      </c>
      <c r="O50" s="66">
        <f>N50/N53</f>
        <v>0.11318380132005817</v>
      </c>
      <c r="Q50" s="19" t="s">
        <v>1</v>
      </c>
      <c r="R50" s="26">
        <f>(B50+D50+F50)</f>
        <v>177653</v>
      </c>
      <c r="S50" s="66">
        <f>R50/$Z50</f>
        <v>0.9145303105180792</v>
      </c>
      <c r="T50" s="26">
        <f t="shared" si="7"/>
        <v>14358</v>
      </c>
      <c r="U50" s="66">
        <f>T50/$Z50</f>
        <v>0.07391277489498393</v>
      </c>
      <c r="V50" s="26">
        <f t="shared" si="7"/>
        <v>2245</v>
      </c>
      <c r="W50" s="66">
        <f>V50/$Z50</f>
        <v>0.011556914586936825</v>
      </c>
      <c r="X50" s="26">
        <f t="shared" si="7"/>
        <v>0</v>
      </c>
      <c r="Y50" s="66">
        <f>X50/$Z50</f>
        <v>0</v>
      </c>
      <c r="Z50" s="26">
        <f>R50+T50+V50+X50</f>
        <v>194256</v>
      </c>
      <c r="AA50" s="66">
        <f>Z50/Z53</f>
        <v>0.11318380132005817</v>
      </c>
    </row>
    <row r="51" spans="1:27" ht="12.75">
      <c r="A51" s="19" t="s">
        <v>2</v>
      </c>
      <c r="B51" s="49">
        <v>410398</v>
      </c>
      <c r="C51" s="66">
        <v>0.783</v>
      </c>
      <c r="D51" s="49">
        <v>15122</v>
      </c>
      <c r="E51" s="66">
        <v>0.029</v>
      </c>
      <c r="F51" s="49">
        <v>43080</v>
      </c>
      <c r="G51" s="66">
        <v>0.082</v>
      </c>
      <c r="H51" s="49">
        <v>47589</v>
      </c>
      <c r="I51" s="66">
        <v>0.091</v>
      </c>
      <c r="J51" s="49">
        <v>7814</v>
      </c>
      <c r="K51" s="66">
        <v>0.015</v>
      </c>
      <c r="L51" s="49"/>
      <c r="M51" s="66"/>
      <c r="N51" s="51">
        <f>B51+D51+F51+H51+J51+L51</f>
        <v>524003</v>
      </c>
      <c r="O51" s="66">
        <f>N51/N53</f>
        <v>0.30531181246970207</v>
      </c>
      <c r="Q51" s="19" t="s">
        <v>2</v>
      </c>
      <c r="R51" s="26">
        <f>(B51+D51+F51)</f>
        <v>468600</v>
      </c>
      <c r="S51" s="66">
        <f>R51/$Z51</f>
        <v>0.894269689295672</v>
      </c>
      <c r="T51" s="26">
        <f t="shared" si="7"/>
        <v>47589</v>
      </c>
      <c r="U51" s="66">
        <f>T51/$Z51</f>
        <v>0.09081818233865073</v>
      </c>
      <c r="V51" s="26">
        <f t="shared" si="7"/>
        <v>7814</v>
      </c>
      <c r="W51" s="66">
        <f>V51/$Z51</f>
        <v>0.014912128365677296</v>
      </c>
      <c r="X51" s="26">
        <f t="shared" si="7"/>
        <v>0</v>
      </c>
      <c r="Y51" s="66">
        <f>X51/$Z51</f>
        <v>0</v>
      </c>
      <c r="Z51" s="26">
        <f>R51+T51+V51+X51</f>
        <v>524003</v>
      </c>
      <c r="AA51" s="66">
        <f>Z51/Z53</f>
        <v>0.30531181246970207</v>
      </c>
    </row>
    <row r="52" spans="1:27" ht="12.75">
      <c r="A52" s="19" t="s">
        <v>3</v>
      </c>
      <c r="B52" s="49">
        <v>620806</v>
      </c>
      <c r="C52" s="66">
        <v>0.767</v>
      </c>
      <c r="D52" s="49">
        <v>24156</v>
      </c>
      <c r="E52" s="66">
        <v>0.03</v>
      </c>
      <c r="F52" s="49">
        <v>70045</v>
      </c>
      <c r="G52" s="66">
        <v>0.087</v>
      </c>
      <c r="H52" s="49">
        <v>87305</v>
      </c>
      <c r="I52" s="66">
        <v>0.108</v>
      </c>
      <c r="J52" s="49">
        <v>7389</v>
      </c>
      <c r="K52" s="66">
        <v>0.009</v>
      </c>
      <c r="L52" s="49"/>
      <c r="M52" s="66"/>
      <c r="N52" s="51">
        <f>B52+D52+F52+H52+J52+L52</f>
        <v>809701</v>
      </c>
      <c r="O52" s="66">
        <f>N52/N53</f>
        <v>0.4717745506581646</v>
      </c>
      <c r="Q52" s="19" t="s">
        <v>3</v>
      </c>
      <c r="R52" s="26">
        <f>(B52+D52+F52)</f>
        <v>715007</v>
      </c>
      <c r="S52" s="66">
        <f>R52/$Z52</f>
        <v>0.8830506569709066</v>
      </c>
      <c r="T52" s="26">
        <f t="shared" si="7"/>
        <v>87305</v>
      </c>
      <c r="U52" s="66">
        <f>T52/$Z52</f>
        <v>0.10782375222458661</v>
      </c>
      <c r="V52" s="26">
        <f t="shared" si="7"/>
        <v>7389</v>
      </c>
      <c r="W52" s="66">
        <f>V52/$Z52</f>
        <v>0.00912559080450685</v>
      </c>
      <c r="X52" s="26">
        <f t="shared" si="7"/>
        <v>0</v>
      </c>
      <c r="Y52" s="66">
        <f>X52/$Z52</f>
        <v>0</v>
      </c>
      <c r="Z52" s="26">
        <f>R52+T52+V52+X52</f>
        <v>809701</v>
      </c>
      <c r="AA52" s="66">
        <f>Z52/Z53</f>
        <v>0.4717745506581646</v>
      </c>
    </row>
    <row r="53" spans="1:27" ht="12.75">
      <c r="A53" s="215" t="s">
        <v>284</v>
      </c>
      <c r="B53" s="51">
        <f>SUM(B49:B52)</f>
        <v>1333953</v>
      </c>
      <c r="C53" s="66">
        <f>B53/$N53</f>
        <v>0.777231443673789</v>
      </c>
      <c r="D53" s="51">
        <f>SUM(D49:D52)</f>
        <v>49457</v>
      </c>
      <c r="E53" s="66">
        <f>D53/$N53</f>
        <v>0.028816259275832493</v>
      </c>
      <c r="F53" s="51">
        <f>SUM(F49:F52)</f>
        <v>153818</v>
      </c>
      <c r="G53" s="66">
        <f>F53/$N53</f>
        <v>0.08962248760114852</v>
      </c>
      <c r="H53" s="51">
        <f>SUM(H49:H52)</f>
        <v>158542</v>
      </c>
      <c r="I53" s="66">
        <f>H53/$N53</f>
        <v>0.09237493940410933</v>
      </c>
      <c r="J53" s="51">
        <f>SUM(J49:J52)</f>
        <v>20518</v>
      </c>
      <c r="K53" s="66">
        <f>J53/$N53</f>
        <v>0.011954870045120632</v>
      </c>
      <c r="L53" s="51">
        <f>SUM(L49:L52)</f>
        <v>0</v>
      </c>
      <c r="M53" s="66">
        <f>L53/$N53</f>
        <v>0</v>
      </c>
      <c r="N53" s="51">
        <f>B53+D53+F53+H53+J53+L53</f>
        <v>1716288</v>
      </c>
      <c r="O53" s="66">
        <f>N53/N53</f>
        <v>1</v>
      </c>
      <c r="Q53" s="215" t="s">
        <v>284</v>
      </c>
      <c r="R53" s="26">
        <f>(B53+D53+F53)</f>
        <v>1537228</v>
      </c>
      <c r="S53" s="66">
        <f>R53/$Z53</f>
        <v>0.89567019055077</v>
      </c>
      <c r="T53" s="26">
        <f t="shared" si="7"/>
        <v>158542</v>
      </c>
      <c r="U53" s="66">
        <f>T53/$Z53</f>
        <v>0.09237493940410933</v>
      </c>
      <c r="V53" s="26">
        <f t="shared" si="7"/>
        <v>20518</v>
      </c>
      <c r="W53" s="66">
        <f>V53/$Z53</f>
        <v>0.011954870045120632</v>
      </c>
      <c r="X53" s="26">
        <f t="shared" si="7"/>
        <v>0</v>
      </c>
      <c r="Y53" s="66">
        <f>X53/$Z53</f>
        <v>0</v>
      </c>
      <c r="Z53" s="26">
        <f>R53+T53+V53+X53</f>
        <v>1716288</v>
      </c>
      <c r="AA53" s="66">
        <f>Z53/Z53</f>
        <v>1</v>
      </c>
    </row>
    <row r="54" spans="1:13" ht="12.75">
      <c r="A54" s="239"/>
      <c r="B54" s="272"/>
      <c r="C54" s="275"/>
      <c r="D54" s="272"/>
      <c r="E54" s="275"/>
      <c r="F54" s="272"/>
      <c r="G54" s="275"/>
      <c r="H54" s="272"/>
      <c r="I54" s="275"/>
      <c r="J54" s="272"/>
      <c r="K54" s="275"/>
      <c r="L54" s="272"/>
      <c r="M54" s="275"/>
    </row>
    <row r="55" ht="12.75">
      <c r="A55" s="217" t="s">
        <v>532</v>
      </c>
    </row>
    <row r="56" spans="1:27" ht="25.5">
      <c r="A56" s="19">
        <v>1940</v>
      </c>
      <c r="B56" s="434" t="s">
        <v>525</v>
      </c>
      <c r="C56" s="434"/>
      <c r="D56" s="434" t="s">
        <v>526</v>
      </c>
      <c r="E56" s="434"/>
      <c r="F56" s="434" t="s">
        <v>527</v>
      </c>
      <c r="G56" s="434"/>
      <c r="H56" s="434" t="s">
        <v>528</v>
      </c>
      <c r="I56" s="434"/>
      <c r="J56" s="27" t="s">
        <v>529</v>
      </c>
      <c r="K56" s="27"/>
      <c r="L56" s="434" t="s">
        <v>530</v>
      </c>
      <c r="M56" s="434"/>
      <c r="N56" s="434" t="s">
        <v>81</v>
      </c>
      <c r="O56" s="434"/>
      <c r="Q56" s="19">
        <f>A56</f>
        <v>1940</v>
      </c>
      <c r="R56" s="434" t="s">
        <v>535</v>
      </c>
      <c r="S56" s="434"/>
      <c r="T56" s="452" t="s">
        <v>536</v>
      </c>
      <c r="U56" s="453"/>
      <c r="V56" s="452" t="s">
        <v>367</v>
      </c>
      <c r="W56" s="453"/>
      <c r="X56" s="454" t="s">
        <v>530</v>
      </c>
      <c r="Y56" s="455"/>
      <c r="Z56" s="434" t="s">
        <v>81</v>
      </c>
      <c r="AA56" s="434"/>
    </row>
    <row r="57" spans="1:27" ht="12.75">
      <c r="A57" s="19"/>
      <c r="B57" s="19" t="s">
        <v>531</v>
      </c>
      <c r="C57" s="19" t="s">
        <v>61</v>
      </c>
      <c r="D57" s="19" t="s">
        <v>531</v>
      </c>
      <c r="E57" s="19" t="s">
        <v>61</v>
      </c>
      <c r="F57" s="19" t="s">
        <v>531</v>
      </c>
      <c r="G57" s="19" t="s">
        <v>61</v>
      </c>
      <c r="H57" s="19" t="s">
        <v>531</v>
      </c>
      <c r="I57" s="19" t="s">
        <v>61</v>
      </c>
      <c r="J57" s="19" t="s">
        <v>531</v>
      </c>
      <c r="K57" s="19" t="s">
        <v>61</v>
      </c>
      <c r="L57" s="19" t="s">
        <v>531</v>
      </c>
      <c r="M57" s="19" t="s">
        <v>61</v>
      </c>
      <c r="N57" s="19" t="s">
        <v>531</v>
      </c>
      <c r="O57" s="19" t="s">
        <v>61</v>
      </c>
      <c r="Q57" s="19" t="s">
        <v>37</v>
      </c>
      <c r="R57" s="19" t="s">
        <v>531</v>
      </c>
      <c r="S57" s="19" t="s">
        <v>61</v>
      </c>
      <c r="T57" s="19" t="s">
        <v>531</v>
      </c>
      <c r="U57" s="19" t="s">
        <v>61</v>
      </c>
      <c r="V57" s="19" t="s">
        <v>531</v>
      </c>
      <c r="W57" s="19" t="s">
        <v>61</v>
      </c>
      <c r="X57" s="19" t="s">
        <v>531</v>
      </c>
      <c r="Y57" s="19" t="s">
        <v>61</v>
      </c>
      <c r="Z57" s="19" t="s">
        <v>531</v>
      </c>
      <c r="AA57" s="19" t="s">
        <v>61</v>
      </c>
    </row>
    <row r="58" spans="1:27" ht="12.75">
      <c r="A58" s="19" t="s">
        <v>0</v>
      </c>
      <c r="B58" s="49">
        <v>128459</v>
      </c>
      <c r="C58" s="66">
        <v>0.841</v>
      </c>
      <c r="D58" s="49">
        <v>4669</v>
      </c>
      <c r="E58" s="66">
        <v>0.031</v>
      </c>
      <c r="F58" s="49">
        <v>9163</v>
      </c>
      <c r="G58" s="66">
        <v>0.06</v>
      </c>
      <c r="H58" s="49">
        <v>5283</v>
      </c>
      <c r="I58" s="66">
        <v>0.035</v>
      </c>
      <c r="J58" s="49">
        <v>2753</v>
      </c>
      <c r="K58" s="66">
        <v>0.018</v>
      </c>
      <c r="L58" s="49">
        <v>2508</v>
      </c>
      <c r="M58" s="66">
        <v>0.016</v>
      </c>
      <c r="N58" s="51">
        <f>B58+D58+F58+H58+J58+L58</f>
        <v>152835</v>
      </c>
      <c r="O58" s="66">
        <f>N58/N62</f>
        <v>0.1184282712192219</v>
      </c>
      <c r="Q58" s="19" t="s">
        <v>0</v>
      </c>
      <c r="R58" s="26">
        <f>(B58+D58+F58)</f>
        <v>142291</v>
      </c>
      <c r="S58" s="66">
        <f>R58/$Z58</f>
        <v>0.9310105669512874</v>
      </c>
      <c r="T58" s="26">
        <f aca="true" t="shared" si="8" ref="T58:X62">H58</f>
        <v>5283</v>
      </c>
      <c r="U58" s="66">
        <f>T58/$Z58</f>
        <v>0.03456668956718029</v>
      </c>
      <c r="V58" s="26">
        <f t="shared" si="8"/>
        <v>2753</v>
      </c>
      <c r="W58" s="66">
        <f>V58/$Z58</f>
        <v>0.018012889717669383</v>
      </c>
      <c r="X58" s="26">
        <f t="shared" si="8"/>
        <v>2508</v>
      </c>
      <c r="Y58" s="66">
        <f>X58/$Z58</f>
        <v>0.01640985376386299</v>
      </c>
      <c r="Z58" s="26">
        <f>R58+T58+V58+X58</f>
        <v>152835</v>
      </c>
      <c r="AA58" s="66">
        <f>Z58/Z62</f>
        <v>0.1184282712192219</v>
      </c>
    </row>
    <row r="59" spans="1:27" ht="12.75">
      <c r="A59" s="19" t="s">
        <v>1</v>
      </c>
      <c r="B59" s="49">
        <v>141102</v>
      </c>
      <c r="C59" s="66">
        <v>0.795</v>
      </c>
      <c r="D59" s="49">
        <v>5753</v>
      </c>
      <c r="E59" s="66">
        <v>0.032</v>
      </c>
      <c r="F59" s="49">
        <v>12238</v>
      </c>
      <c r="G59" s="66">
        <v>0.069</v>
      </c>
      <c r="H59" s="49">
        <v>12389</v>
      </c>
      <c r="I59" s="66">
        <v>0.07</v>
      </c>
      <c r="J59" s="49">
        <v>3816</v>
      </c>
      <c r="K59" s="66">
        <v>0.022</v>
      </c>
      <c r="L59" s="49">
        <v>2145</v>
      </c>
      <c r="M59" s="66">
        <v>0.012</v>
      </c>
      <c r="N59" s="51">
        <f>B59+D59+F59+H59+J59+L59</f>
        <v>177443</v>
      </c>
      <c r="O59" s="66">
        <f>N59/N62</f>
        <v>0.13749643556745766</v>
      </c>
      <c r="Q59" s="19" t="s">
        <v>1</v>
      </c>
      <c r="R59" s="26">
        <f>(B59+D59+F59)</f>
        <v>159093</v>
      </c>
      <c r="S59" s="66">
        <f>R59/$Z59</f>
        <v>0.8965865094706469</v>
      </c>
      <c r="T59" s="26">
        <f t="shared" si="8"/>
        <v>12389</v>
      </c>
      <c r="U59" s="66">
        <f>T59/$Z59</f>
        <v>0.06981960404186133</v>
      </c>
      <c r="V59" s="26">
        <f t="shared" si="8"/>
        <v>3816</v>
      </c>
      <c r="W59" s="66">
        <f>V59/$Z59</f>
        <v>0.021505497540055117</v>
      </c>
      <c r="X59" s="26">
        <f t="shared" si="8"/>
        <v>2145</v>
      </c>
      <c r="Y59" s="66">
        <f>X59/$Z59</f>
        <v>0.012088388947436642</v>
      </c>
      <c r="Z59" s="26">
        <f>R59+T59+V59+X59</f>
        <v>177443</v>
      </c>
      <c r="AA59" s="66">
        <f>Z59/Z62</f>
        <v>0.13749643556745766</v>
      </c>
    </row>
    <row r="60" spans="1:27" ht="12.75">
      <c r="A60" s="19" t="s">
        <v>2</v>
      </c>
      <c r="B60" s="49">
        <v>297977</v>
      </c>
      <c r="C60" s="66">
        <v>0.806</v>
      </c>
      <c r="D60" s="49">
        <v>7853</v>
      </c>
      <c r="E60" s="66">
        <v>0.021</v>
      </c>
      <c r="F60" s="49">
        <v>18718</v>
      </c>
      <c r="G60" s="66">
        <v>0.051</v>
      </c>
      <c r="H60" s="49">
        <v>34581</v>
      </c>
      <c r="I60" s="66">
        <v>0.094</v>
      </c>
      <c r="J60" s="49">
        <v>6776</v>
      </c>
      <c r="K60" s="66">
        <v>0.018</v>
      </c>
      <c r="L60" s="49">
        <v>3906</v>
      </c>
      <c r="M60" s="66">
        <v>0.011</v>
      </c>
      <c r="N60" s="51">
        <f>B60+D60+F60+H60+J60+L60</f>
        <v>369811</v>
      </c>
      <c r="O60" s="66">
        <f>N60/N62</f>
        <v>0.28655790498152695</v>
      </c>
      <c r="Q60" s="19" t="s">
        <v>2</v>
      </c>
      <c r="R60" s="26">
        <f>(B60+D60+F60)</f>
        <v>324548</v>
      </c>
      <c r="S60" s="66">
        <f>R60/$Z60</f>
        <v>0.8776050469023366</v>
      </c>
      <c r="T60" s="26">
        <f t="shared" si="8"/>
        <v>34581</v>
      </c>
      <c r="U60" s="66">
        <f>T60/$Z60</f>
        <v>0.09350992804432534</v>
      </c>
      <c r="V60" s="26">
        <f t="shared" si="8"/>
        <v>6776</v>
      </c>
      <c r="W60" s="66">
        <f>V60/$Z60</f>
        <v>0.01832287303514498</v>
      </c>
      <c r="X60" s="26">
        <f t="shared" si="8"/>
        <v>3906</v>
      </c>
      <c r="Y60" s="66">
        <f>X60/$Z60</f>
        <v>0.010562152018193077</v>
      </c>
      <c r="Z60" s="26">
        <f>R60+T60+V60+X60</f>
        <v>369811</v>
      </c>
      <c r="AA60" s="66">
        <f>Z60/Z62</f>
        <v>0.28655790498152695</v>
      </c>
    </row>
    <row r="61" spans="1:27" ht="12.75">
      <c r="A61" s="19" t="s">
        <v>3</v>
      </c>
      <c r="B61" s="49">
        <v>464031</v>
      </c>
      <c r="C61" s="66">
        <v>0.786</v>
      </c>
      <c r="D61" s="49">
        <v>9439</v>
      </c>
      <c r="E61" s="66">
        <v>0.016</v>
      </c>
      <c r="F61" s="49">
        <v>29900</v>
      </c>
      <c r="G61" s="66">
        <v>0.051</v>
      </c>
      <c r="H61" s="49">
        <v>72466</v>
      </c>
      <c r="I61" s="66">
        <v>0.123</v>
      </c>
      <c r="J61" s="49">
        <v>9970</v>
      </c>
      <c r="K61" s="66">
        <v>0.017</v>
      </c>
      <c r="L61" s="49">
        <v>4633</v>
      </c>
      <c r="M61" s="66">
        <v>0.008</v>
      </c>
      <c r="N61" s="51">
        <f>B61+D61+F61+H61+J61+L61</f>
        <v>590439</v>
      </c>
      <c r="O61" s="66">
        <f>N61/N62</f>
        <v>0.4575173882317935</v>
      </c>
      <c r="Q61" s="19" t="s">
        <v>3</v>
      </c>
      <c r="R61" s="26">
        <f>(B61+D61+F61)</f>
        <v>503370</v>
      </c>
      <c r="S61" s="66">
        <f>R61/$Z61</f>
        <v>0.8525351475766336</v>
      </c>
      <c r="T61" s="26">
        <f t="shared" si="8"/>
        <v>72466</v>
      </c>
      <c r="U61" s="66">
        <f>T61/$Z61</f>
        <v>0.1227324075814775</v>
      </c>
      <c r="V61" s="26">
        <f t="shared" si="8"/>
        <v>9970</v>
      </c>
      <c r="W61" s="66">
        <f>V61/$Z61</f>
        <v>0.016885740948683944</v>
      </c>
      <c r="X61" s="26">
        <f t="shared" si="8"/>
        <v>4633</v>
      </c>
      <c r="Y61" s="66">
        <f>X61/$Z61</f>
        <v>0.007846703893204887</v>
      </c>
      <c r="Z61" s="26">
        <f>R61+T61+V61+X61</f>
        <v>590439</v>
      </c>
      <c r="AA61" s="66">
        <f>Z61/Z62</f>
        <v>0.4575173882317935</v>
      </c>
    </row>
    <row r="62" spans="1:27" ht="12.75">
      <c r="A62" s="215" t="s">
        <v>284</v>
      </c>
      <c r="B62" s="51">
        <f>SUM(B58:B61)</f>
        <v>1031569</v>
      </c>
      <c r="C62" s="66">
        <f>B62/$N62</f>
        <v>0.799338720275732</v>
      </c>
      <c r="D62" s="51">
        <f>SUM(D58:D61)</f>
        <v>27714</v>
      </c>
      <c r="E62" s="66">
        <f>D62/$N62</f>
        <v>0.0214749311909544</v>
      </c>
      <c r="F62" s="51">
        <f>SUM(F58:F61)</f>
        <v>70019</v>
      </c>
      <c r="G62" s="66">
        <f>F62/$N62</f>
        <v>0.054256087430881006</v>
      </c>
      <c r="H62" s="51">
        <f>SUM(H58:H61)</f>
        <v>124719</v>
      </c>
      <c r="I62" s="66">
        <f>H62/$N62</f>
        <v>0.09664183961913263</v>
      </c>
      <c r="J62" s="51">
        <f>SUM(J58:J61)</f>
        <v>23315</v>
      </c>
      <c r="K62" s="66">
        <f>J62/$N62</f>
        <v>0.018066248853182573</v>
      </c>
      <c r="L62" s="51">
        <f>SUM(L58:L61)</f>
        <v>13192</v>
      </c>
      <c r="M62" s="66">
        <f>L62/$N62</f>
        <v>0.010222172630117285</v>
      </c>
      <c r="N62" s="51">
        <f>B62+D62+F62+H62+J62+L62</f>
        <v>1290528</v>
      </c>
      <c r="O62" s="66">
        <f>N62/N62</f>
        <v>1</v>
      </c>
      <c r="Q62" s="215" t="s">
        <v>284</v>
      </c>
      <c r="R62" s="26">
        <f>(B62+D62+F62)</f>
        <v>1129302</v>
      </c>
      <c r="S62" s="66">
        <f>R62/$Z62</f>
        <v>0.8750697388975676</v>
      </c>
      <c r="T62" s="26">
        <f t="shared" si="8"/>
        <v>124719</v>
      </c>
      <c r="U62" s="66">
        <f>T62/$Z62</f>
        <v>0.09664183961913263</v>
      </c>
      <c r="V62" s="26">
        <f t="shared" si="8"/>
        <v>23315</v>
      </c>
      <c r="W62" s="66">
        <f>V62/$Z62</f>
        <v>0.018066248853182573</v>
      </c>
      <c r="X62" s="26">
        <f t="shared" si="8"/>
        <v>13192</v>
      </c>
      <c r="Y62" s="66">
        <f>X62/$Z62</f>
        <v>0.010222172630117285</v>
      </c>
      <c r="Z62" s="26">
        <f>R62+T62+V62+X62</f>
        <v>1290528</v>
      </c>
      <c r="AA62" s="66">
        <f>Z62/Z62</f>
        <v>1</v>
      </c>
    </row>
    <row r="64" ht="14.25" customHeight="1"/>
    <row r="65" spans="1:15" ht="59.25" customHeight="1">
      <c r="A65" s="456" t="s">
        <v>550</v>
      </c>
      <c r="B65" s="456"/>
      <c r="C65" s="456"/>
      <c r="D65" s="456"/>
      <c r="E65" s="456"/>
      <c r="F65" s="456"/>
      <c r="G65" s="456"/>
      <c r="H65" s="456"/>
      <c r="I65" s="456"/>
      <c r="J65" s="456"/>
      <c r="K65" s="456"/>
      <c r="L65" s="456"/>
      <c r="M65" s="456"/>
      <c r="N65" s="456"/>
      <c r="O65" s="456"/>
    </row>
  </sheetData>
  <mergeCells count="78">
    <mergeCell ref="A65:O65"/>
    <mergeCell ref="B11:C11"/>
    <mergeCell ref="D11:E11"/>
    <mergeCell ref="F11:G11"/>
    <mergeCell ref="H11:I11"/>
    <mergeCell ref="B20:C20"/>
    <mergeCell ref="D20:E20"/>
    <mergeCell ref="F20:G20"/>
    <mergeCell ref="H20:I20"/>
    <mergeCell ref="L38:M38"/>
    <mergeCell ref="B29:C29"/>
    <mergeCell ref="D29:E29"/>
    <mergeCell ref="F29:G29"/>
    <mergeCell ref="H29:I29"/>
    <mergeCell ref="B38:C38"/>
    <mergeCell ref="D38:E38"/>
    <mergeCell ref="F38:G38"/>
    <mergeCell ref="H38:I38"/>
    <mergeCell ref="L47:M47"/>
    <mergeCell ref="B56:C56"/>
    <mergeCell ref="D56:E56"/>
    <mergeCell ref="F56:G56"/>
    <mergeCell ref="H56:I56"/>
    <mergeCell ref="L56:M56"/>
    <mergeCell ref="B47:C47"/>
    <mergeCell ref="D47:E47"/>
    <mergeCell ref="F47:G47"/>
    <mergeCell ref="H47:I47"/>
    <mergeCell ref="B2:C2"/>
    <mergeCell ref="D2:E2"/>
    <mergeCell ref="F2:G2"/>
    <mergeCell ref="H2:I2"/>
    <mergeCell ref="N11:O11"/>
    <mergeCell ref="N20:O20"/>
    <mergeCell ref="N29:O29"/>
    <mergeCell ref="L2:M2"/>
    <mergeCell ref="L29:M29"/>
    <mergeCell ref="L11:M11"/>
    <mergeCell ref="L20:M20"/>
    <mergeCell ref="N38:O38"/>
    <mergeCell ref="N47:O47"/>
    <mergeCell ref="N56:O56"/>
    <mergeCell ref="R2:S2"/>
    <mergeCell ref="R11:S11"/>
    <mergeCell ref="R20:S20"/>
    <mergeCell ref="R38:S38"/>
    <mergeCell ref="R47:S47"/>
    <mergeCell ref="R56:S56"/>
    <mergeCell ref="N2:O2"/>
    <mergeCell ref="T2:U2"/>
    <mergeCell ref="V2:W2"/>
    <mergeCell ref="Z2:AA2"/>
    <mergeCell ref="X2:Y2"/>
    <mergeCell ref="T11:U11"/>
    <mergeCell ref="V11:W11"/>
    <mergeCell ref="X11:Y11"/>
    <mergeCell ref="Z11:AA11"/>
    <mergeCell ref="Z20:AA20"/>
    <mergeCell ref="R29:S29"/>
    <mergeCell ref="T29:U29"/>
    <mergeCell ref="V29:W29"/>
    <mergeCell ref="X29:Y29"/>
    <mergeCell ref="Z29:AA29"/>
    <mergeCell ref="T20:U20"/>
    <mergeCell ref="V20:W20"/>
    <mergeCell ref="X20:Y20"/>
    <mergeCell ref="T38:U38"/>
    <mergeCell ref="V38:W38"/>
    <mergeCell ref="X38:Y38"/>
    <mergeCell ref="Z38:AA38"/>
    <mergeCell ref="T47:U47"/>
    <mergeCell ref="V47:W47"/>
    <mergeCell ref="X47:Y47"/>
    <mergeCell ref="Z47:AA47"/>
    <mergeCell ref="T56:U56"/>
    <mergeCell ref="V56:W56"/>
    <mergeCell ref="X56:Y56"/>
    <mergeCell ref="Z56:AA56"/>
  </mergeCells>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R90"/>
  <sheetViews>
    <sheetView workbookViewId="0" topLeftCell="A70">
      <selection activeCell="B100" sqref="B100"/>
    </sheetView>
  </sheetViews>
  <sheetFormatPr defaultColWidth="9.140625" defaultRowHeight="12.75"/>
  <cols>
    <col min="1" max="1" width="24.7109375" style="0" customWidth="1"/>
    <col min="2" max="2" width="13.140625" style="0" bestFit="1" customWidth="1"/>
    <col min="3" max="3" width="18.28125" style="0" customWidth="1"/>
    <col min="4" max="5" width="12.57421875" style="0" customWidth="1"/>
    <col min="6" max="6" width="17.28125" style="0" customWidth="1"/>
    <col min="7" max="10" width="12.8515625" style="0" bestFit="1" customWidth="1"/>
    <col min="11" max="11" width="14.00390625" style="0" customWidth="1"/>
    <col min="12" max="18" width="12.8515625" style="0" bestFit="1" customWidth="1"/>
    <col min="23" max="23" width="10.7109375" style="0" customWidth="1"/>
    <col min="28" max="28" width="12.57421875" style="0" customWidth="1"/>
    <col min="33" max="33" width="12.8515625" style="0" bestFit="1" customWidth="1"/>
  </cols>
  <sheetData>
    <row r="1" ht="12.75">
      <c r="A1" t="s">
        <v>305</v>
      </c>
    </row>
    <row r="2" ht="12.75">
      <c r="A2" t="s">
        <v>9</v>
      </c>
    </row>
    <row r="3" spans="2:18" ht="12.75">
      <c r="B3">
        <v>1979</v>
      </c>
      <c r="C3">
        <v>1980</v>
      </c>
      <c r="D3">
        <v>1983</v>
      </c>
      <c r="E3">
        <v>1985</v>
      </c>
      <c r="F3">
        <v>1986</v>
      </c>
      <c r="G3">
        <v>1988</v>
      </c>
      <c r="H3">
        <v>1990</v>
      </c>
      <c r="I3">
        <v>1991</v>
      </c>
      <c r="J3">
        <v>1992</v>
      </c>
      <c r="K3">
        <v>1993</v>
      </c>
      <c r="L3">
        <v>1994</v>
      </c>
      <c r="M3">
        <v>1995</v>
      </c>
      <c r="N3">
        <v>1996</v>
      </c>
      <c r="O3">
        <v>2000</v>
      </c>
      <c r="P3">
        <v>2005</v>
      </c>
      <c r="Q3">
        <v>2010</v>
      </c>
      <c r="R3">
        <v>2015</v>
      </c>
    </row>
    <row r="4" spans="1:18" ht="12.75">
      <c r="A4" t="s">
        <v>306</v>
      </c>
      <c r="B4">
        <v>0.924</v>
      </c>
      <c r="C4">
        <v>0.924</v>
      </c>
      <c r="D4">
        <v>0.9085</v>
      </c>
      <c r="E4">
        <v>0.8974</v>
      </c>
      <c r="F4">
        <v>0.8917</v>
      </c>
      <c r="G4">
        <v>0.8796</v>
      </c>
      <c r="H4">
        <v>0.8669</v>
      </c>
      <c r="I4">
        <v>0.8603</v>
      </c>
      <c r="J4">
        <v>0.8536</v>
      </c>
      <c r="K4">
        <v>0.8466</v>
      </c>
      <c r="L4">
        <v>0.8395</v>
      </c>
      <c r="M4">
        <v>0.8321</v>
      </c>
      <c r="N4">
        <v>0.8247</v>
      </c>
      <c r="O4">
        <v>0.7929</v>
      </c>
      <c r="P4">
        <v>0.749</v>
      </c>
      <c r="Q4">
        <v>0.7003</v>
      </c>
      <c r="R4">
        <v>0.6465</v>
      </c>
    </row>
    <row r="5" spans="1:18" ht="12.75">
      <c r="A5" t="s">
        <v>307</v>
      </c>
      <c r="B5">
        <v>0.1341</v>
      </c>
      <c r="C5">
        <v>0.1341</v>
      </c>
      <c r="D5">
        <v>0.1323</v>
      </c>
      <c r="E5">
        <v>0.1311</v>
      </c>
      <c r="F5">
        <v>0.1304</v>
      </c>
      <c r="G5">
        <v>0.129</v>
      </c>
      <c r="H5">
        <v>0.1275</v>
      </c>
      <c r="I5">
        <v>0.1267</v>
      </c>
      <c r="J5">
        <v>0.1259</v>
      </c>
      <c r="K5">
        <v>0.125</v>
      </c>
      <c r="L5">
        <v>0.1242</v>
      </c>
      <c r="M5">
        <v>0.1232</v>
      </c>
      <c r="N5">
        <v>0.1223</v>
      </c>
      <c r="O5">
        <v>0.1182</v>
      </c>
      <c r="P5">
        <v>0.1123</v>
      </c>
      <c r="Q5">
        <v>0.1053</v>
      </c>
      <c r="R5">
        <v>0.0972</v>
      </c>
    </row>
    <row r="6" spans="1:18" ht="12.75">
      <c r="A6" t="s">
        <v>308</v>
      </c>
      <c r="B6">
        <v>0.0766</v>
      </c>
      <c r="C6">
        <v>0.0766</v>
      </c>
      <c r="D6">
        <v>0.0739</v>
      </c>
      <c r="E6">
        <v>0.0717</v>
      </c>
      <c r="F6">
        <v>0.0705</v>
      </c>
      <c r="G6">
        <v>0.0676</v>
      </c>
      <c r="H6">
        <v>0.0644</v>
      </c>
      <c r="I6">
        <v>0.0625</v>
      </c>
      <c r="J6">
        <v>0.0605</v>
      </c>
      <c r="K6">
        <v>0.0584</v>
      </c>
      <c r="L6">
        <v>0.0562</v>
      </c>
      <c r="M6">
        <v>0.0538</v>
      </c>
      <c r="N6">
        <v>0.0513</v>
      </c>
      <c r="O6">
        <v>0.0399</v>
      </c>
      <c r="P6">
        <v>0.0229</v>
      </c>
      <c r="Q6">
        <v>0.0035</v>
      </c>
      <c r="R6">
        <v>0</v>
      </c>
    </row>
    <row r="7" spans="1:18" ht="12.75">
      <c r="A7" t="s">
        <v>309</v>
      </c>
      <c r="B7">
        <v>1.1348</v>
      </c>
      <c r="C7">
        <v>1.1348</v>
      </c>
      <c r="D7">
        <v>1.1148</v>
      </c>
      <c r="E7">
        <v>1.1002</v>
      </c>
      <c r="F7">
        <v>1.0925</v>
      </c>
      <c r="G7">
        <v>1.0763</v>
      </c>
      <c r="H7">
        <v>1.0588</v>
      </c>
      <c r="I7">
        <v>1.0496</v>
      </c>
      <c r="J7">
        <v>1.04</v>
      </c>
      <c r="K7">
        <v>1.0301</v>
      </c>
      <c r="L7">
        <v>1.0198</v>
      </c>
      <c r="M7">
        <v>1.0092</v>
      </c>
      <c r="N7">
        <v>0.9983</v>
      </c>
      <c r="O7">
        <v>0.951</v>
      </c>
      <c r="P7">
        <v>0.8842</v>
      </c>
      <c r="Q7">
        <v>0.8091</v>
      </c>
      <c r="R7">
        <v>0.7437</v>
      </c>
    </row>
    <row r="9" ht="12.75">
      <c r="A9" t="s">
        <v>10</v>
      </c>
    </row>
    <row r="10" spans="2:18" ht="12.75">
      <c r="B10">
        <v>1979</v>
      </c>
      <c r="C10">
        <v>1980</v>
      </c>
      <c r="D10">
        <v>1983</v>
      </c>
      <c r="E10">
        <v>1985</v>
      </c>
      <c r="F10">
        <v>1986</v>
      </c>
      <c r="G10">
        <v>1988</v>
      </c>
      <c r="H10">
        <v>1990</v>
      </c>
      <c r="I10">
        <v>1991</v>
      </c>
      <c r="J10">
        <v>1992</v>
      </c>
      <c r="K10">
        <v>1993</v>
      </c>
      <c r="L10">
        <v>1994</v>
      </c>
      <c r="M10">
        <v>1995</v>
      </c>
      <c r="N10">
        <v>1996</v>
      </c>
      <c r="O10">
        <v>2000</v>
      </c>
      <c r="P10">
        <v>2005</v>
      </c>
      <c r="Q10">
        <v>2010</v>
      </c>
      <c r="R10">
        <v>2015</v>
      </c>
    </row>
    <row r="11" spans="1:18" ht="12.75">
      <c r="A11" t="s">
        <v>306</v>
      </c>
      <c r="B11">
        <v>1.3055</v>
      </c>
      <c r="C11">
        <v>1.3055</v>
      </c>
      <c r="D11">
        <v>1.2835</v>
      </c>
      <c r="E11">
        <v>1.2678</v>
      </c>
      <c r="F11">
        <v>1.2596</v>
      </c>
      <c r="G11">
        <v>1.2426</v>
      </c>
      <c r="H11">
        <v>1.2247</v>
      </c>
      <c r="I11">
        <v>1.2153</v>
      </c>
      <c r="J11">
        <v>1.2058</v>
      </c>
      <c r="K11">
        <v>1.196</v>
      </c>
      <c r="L11">
        <v>1.1859</v>
      </c>
      <c r="M11">
        <v>1.1756</v>
      </c>
      <c r="N11">
        <v>1.1651</v>
      </c>
      <c r="O11">
        <v>1.1203</v>
      </c>
      <c r="P11">
        <v>1.0584</v>
      </c>
      <c r="Q11">
        <v>0.9896</v>
      </c>
      <c r="R11">
        <v>0.9138</v>
      </c>
    </row>
    <row r="12" spans="1:18" ht="12.75">
      <c r="A12" t="s">
        <v>307</v>
      </c>
      <c r="B12">
        <v>0.2798</v>
      </c>
      <c r="C12">
        <v>0.2798</v>
      </c>
      <c r="D12">
        <v>0.2762</v>
      </c>
      <c r="E12">
        <v>0.2736</v>
      </c>
      <c r="F12">
        <v>0.2722</v>
      </c>
      <c r="G12">
        <v>0.2693</v>
      </c>
      <c r="H12">
        <v>0.2663</v>
      </c>
      <c r="I12">
        <v>0.2647</v>
      </c>
      <c r="J12">
        <v>0.2631</v>
      </c>
      <c r="K12">
        <v>0.2614</v>
      </c>
      <c r="L12">
        <v>0.2596</v>
      </c>
      <c r="M12">
        <v>0.2578</v>
      </c>
      <c r="N12">
        <v>0.256</v>
      </c>
      <c r="O12">
        <v>0.248</v>
      </c>
      <c r="P12">
        <v>0.2367</v>
      </c>
      <c r="Q12">
        <v>0.2237</v>
      </c>
      <c r="R12">
        <v>0.2089</v>
      </c>
    </row>
    <row r="13" spans="1:18" ht="12.75">
      <c r="A13" t="s">
        <v>308</v>
      </c>
      <c r="B13">
        <v>0.1468</v>
      </c>
      <c r="C13">
        <v>0.1468</v>
      </c>
      <c r="D13">
        <v>0.1415</v>
      </c>
      <c r="E13">
        <v>0.1372</v>
      </c>
      <c r="F13">
        <v>0.1348</v>
      </c>
      <c r="G13">
        <v>0.1295</v>
      </c>
      <c r="H13">
        <v>0.1233</v>
      </c>
      <c r="I13">
        <v>0.1199</v>
      </c>
      <c r="J13">
        <v>0.1162</v>
      </c>
      <c r="K13">
        <v>0.1123</v>
      </c>
      <c r="L13">
        <v>0.1082</v>
      </c>
      <c r="M13">
        <v>0.1038</v>
      </c>
      <c r="N13">
        <v>0.0993</v>
      </c>
      <c r="O13">
        <v>0.0786</v>
      </c>
      <c r="P13">
        <v>0.0486</v>
      </c>
      <c r="Q13">
        <v>0.0157</v>
      </c>
      <c r="R13">
        <v>0</v>
      </c>
    </row>
    <row r="14" spans="1:18" ht="12.75">
      <c r="A14" t="s">
        <v>309</v>
      </c>
      <c r="B14">
        <v>1.7321</v>
      </c>
      <c r="C14">
        <v>1.7321</v>
      </c>
      <c r="D14">
        <v>1.7012</v>
      </c>
      <c r="E14">
        <v>1.6786</v>
      </c>
      <c r="F14">
        <v>1.6666</v>
      </c>
      <c r="G14">
        <v>1.6414</v>
      </c>
      <c r="H14">
        <v>1.6142</v>
      </c>
      <c r="I14">
        <v>1.5999</v>
      </c>
      <c r="J14">
        <v>1.5851</v>
      </c>
      <c r="K14">
        <v>1.5697</v>
      </c>
      <c r="L14">
        <v>1.5538</v>
      </c>
      <c r="M14">
        <v>1.5373</v>
      </c>
      <c r="N14">
        <v>1.5203</v>
      </c>
      <c r="O14">
        <v>1.4469</v>
      </c>
      <c r="P14">
        <v>1.3437</v>
      </c>
      <c r="Q14">
        <v>1.2291</v>
      </c>
      <c r="R14">
        <v>1.1227</v>
      </c>
    </row>
    <row r="16" ht="12.75">
      <c r="A16" t="s">
        <v>561</v>
      </c>
    </row>
    <row r="17" spans="2:18" ht="12.75">
      <c r="B17">
        <f>B10</f>
        <v>1979</v>
      </c>
      <c r="C17">
        <f aca="true" t="shared" si="0" ref="C17:R17">C10</f>
        <v>1980</v>
      </c>
      <c r="D17">
        <f t="shared" si="0"/>
        <v>1983</v>
      </c>
      <c r="E17">
        <f t="shared" si="0"/>
        <v>1985</v>
      </c>
      <c r="F17">
        <f t="shared" si="0"/>
        <v>1986</v>
      </c>
      <c r="G17">
        <f t="shared" si="0"/>
        <v>1988</v>
      </c>
      <c r="H17">
        <f t="shared" si="0"/>
        <v>1990</v>
      </c>
      <c r="I17">
        <f t="shared" si="0"/>
        <v>1991</v>
      </c>
      <c r="J17">
        <f t="shared" si="0"/>
        <v>1992</v>
      </c>
      <c r="K17">
        <f t="shared" si="0"/>
        <v>1993</v>
      </c>
      <c r="L17">
        <f t="shared" si="0"/>
        <v>1994</v>
      </c>
      <c r="M17">
        <f t="shared" si="0"/>
        <v>1995</v>
      </c>
      <c r="N17">
        <f t="shared" si="0"/>
        <v>1996</v>
      </c>
      <c r="O17">
        <f t="shared" si="0"/>
        <v>2000</v>
      </c>
      <c r="P17">
        <f t="shared" si="0"/>
        <v>2005</v>
      </c>
      <c r="Q17">
        <f t="shared" si="0"/>
        <v>2010</v>
      </c>
      <c r="R17">
        <f t="shared" si="0"/>
        <v>2015</v>
      </c>
    </row>
    <row r="18" spans="1:18" ht="12.75">
      <c r="A18" t="s">
        <v>306</v>
      </c>
      <c r="B18" s="11">
        <f>(B4+B11)*1000000</f>
        <v>2229500.0000000005</v>
      </c>
      <c r="C18" s="11">
        <f aca="true" t="shared" si="1" ref="C18:R21">(C4+C11)*1000000</f>
        <v>2229500.0000000005</v>
      </c>
      <c r="D18" s="11">
        <f t="shared" si="1"/>
        <v>2192000</v>
      </c>
      <c r="E18" s="11">
        <f t="shared" si="1"/>
        <v>2165200</v>
      </c>
      <c r="F18" s="11">
        <f t="shared" si="1"/>
        <v>2151300</v>
      </c>
      <c r="G18" s="11">
        <f t="shared" si="1"/>
        <v>2122200</v>
      </c>
      <c r="H18" s="11">
        <f t="shared" si="1"/>
        <v>2091599.9999999998</v>
      </c>
      <c r="I18" s="11">
        <f t="shared" si="1"/>
        <v>2075600</v>
      </c>
      <c r="J18" s="11">
        <f t="shared" si="1"/>
        <v>2059400.0000000002</v>
      </c>
      <c r="K18" s="11">
        <f t="shared" si="1"/>
        <v>2042600.0000000002</v>
      </c>
      <c r="L18" s="11">
        <f t="shared" si="1"/>
        <v>2025399.9999999998</v>
      </c>
      <c r="M18" s="11">
        <f t="shared" si="1"/>
        <v>2007699.9999999998</v>
      </c>
      <c r="N18" s="11">
        <f t="shared" si="1"/>
        <v>1989800</v>
      </c>
      <c r="O18" s="11">
        <f t="shared" si="1"/>
        <v>1913200.0000000002</v>
      </c>
      <c r="P18" s="11">
        <f t="shared" si="1"/>
        <v>1807400</v>
      </c>
      <c r="Q18" s="11">
        <f t="shared" si="1"/>
        <v>1689900.0000000002</v>
      </c>
      <c r="R18" s="11">
        <f t="shared" si="1"/>
        <v>1560299.9999999998</v>
      </c>
    </row>
    <row r="19" spans="1:18" ht="12.75">
      <c r="A19" t="s">
        <v>307</v>
      </c>
      <c r="B19" s="11">
        <f>(B5+B12)*1000000</f>
        <v>413900</v>
      </c>
      <c r="C19" s="11">
        <f aca="true" t="shared" si="2" ref="C19:Q19">(C5+C12)*1000000</f>
        <v>413900</v>
      </c>
      <c r="D19" s="11">
        <f t="shared" si="2"/>
        <v>408500</v>
      </c>
      <c r="E19" s="11">
        <f t="shared" si="2"/>
        <v>404700</v>
      </c>
      <c r="F19" s="11">
        <f t="shared" si="2"/>
        <v>402599.99999999994</v>
      </c>
      <c r="G19" s="11">
        <f t="shared" si="2"/>
        <v>398300</v>
      </c>
      <c r="H19" s="11">
        <f t="shared" si="2"/>
        <v>393800</v>
      </c>
      <c r="I19" s="11">
        <f t="shared" si="2"/>
        <v>391399.99999999994</v>
      </c>
      <c r="J19" s="11">
        <f t="shared" si="2"/>
        <v>389000</v>
      </c>
      <c r="K19" s="11">
        <f t="shared" si="2"/>
        <v>386400</v>
      </c>
      <c r="L19" s="11">
        <f t="shared" si="2"/>
        <v>383800.00000000006</v>
      </c>
      <c r="M19" s="11">
        <f t="shared" si="2"/>
        <v>381000</v>
      </c>
      <c r="N19" s="11">
        <f t="shared" si="2"/>
        <v>378300</v>
      </c>
      <c r="O19" s="11">
        <f t="shared" si="2"/>
        <v>366199.99999999994</v>
      </c>
      <c r="P19" s="11">
        <f t="shared" si="2"/>
        <v>349000</v>
      </c>
      <c r="Q19" s="11">
        <f t="shared" si="2"/>
        <v>329000</v>
      </c>
      <c r="R19" s="11">
        <f t="shared" si="1"/>
        <v>306100</v>
      </c>
    </row>
    <row r="20" spans="1:18" ht="12.75">
      <c r="A20" t="s">
        <v>308</v>
      </c>
      <c r="B20" s="11">
        <f>(B6+B13)*1000000</f>
        <v>223400.00000000003</v>
      </c>
      <c r="C20" s="11">
        <f t="shared" si="1"/>
        <v>223400.00000000003</v>
      </c>
      <c r="D20" s="11">
        <f t="shared" si="1"/>
        <v>215399.99999999997</v>
      </c>
      <c r="E20" s="11">
        <f t="shared" si="1"/>
        <v>208899.99999999997</v>
      </c>
      <c r="F20" s="11">
        <f t="shared" si="1"/>
        <v>205299.99999999997</v>
      </c>
      <c r="G20" s="11">
        <f t="shared" si="1"/>
        <v>197100</v>
      </c>
      <c r="H20" s="11">
        <f t="shared" si="1"/>
        <v>187700</v>
      </c>
      <c r="I20" s="11">
        <f t="shared" si="1"/>
        <v>182400</v>
      </c>
      <c r="J20" s="11">
        <f t="shared" si="1"/>
        <v>176700</v>
      </c>
      <c r="K20" s="11">
        <f t="shared" si="1"/>
        <v>170700</v>
      </c>
      <c r="L20" s="11">
        <f t="shared" si="1"/>
        <v>164400</v>
      </c>
      <c r="M20" s="11">
        <f t="shared" si="1"/>
        <v>157600.00000000003</v>
      </c>
      <c r="N20" s="11">
        <f t="shared" si="1"/>
        <v>150600</v>
      </c>
      <c r="O20" s="11">
        <f t="shared" si="1"/>
        <v>118500</v>
      </c>
      <c r="P20" s="11">
        <f t="shared" si="1"/>
        <v>71500</v>
      </c>
      <c r="Q20" s="11">
        <f t="shared" si="1"/>
        <v>19200</v>
      </c>
      <c r="R20" s="11">
        <f t="shared" si="1"/>
        <v>0</v>
      </c>
    </row>
    <row r="21" spans="1:18" ht="12.75">
      <c r="A21" t="s">
        <v>309</v>
      </c>
      <c r="B21" s="11">
        <f>(B7+B14)*1000000</f>
        <v>2866900</v>
      </c>
      <c r="C21" s="11">
        <f t="shared" si="1"/>
        <v>2866900</v>
      </c>
      <c r="D21" s="11">
        <f t="shared" si="1"/>
        <v>2816000</v>
      </c>
      <c r="E21" s="11">
        <f t="shared" si="1"/>
        <v>2778800.0000000005</v>
      </c>
      <c r="F21" s="11">
        <f t="shared" si="1"/>
        <v>2759100</v>
      </c>
      <c r="G21" s="11">
        <f t="shared" si="1"/>
        <v>2717700</v>
      </c>
      <c r="H21" s="11">
        <f t="shared" si="1"/>
        <v>2673000</v>
      </c>
      <c r="I21" s="11">
        <f t="shared" si="1"/>
        <v>2649500</v>
      </c>
      <c r="J21" s="11">
        <f t="shared" si="1"/>
        <v>2625099.9999999995</v>
      </c>
      <c r="K21" s="11">
        <f t="shared" si="1"/>
        <v>2599800</v>
      </c>
      <c r="L21" s="11">
        <f t="shared" si="1"/>
        <v>2573600</v>
      </c>
      <c r="M21" s="11">
        <f t="shared" si="1"/>
        <v>2546500</v>
      </c>
      <c r="N21" s="11">
        <f t="shared" si="1"/>
        <v>2518600</v>
      </c>
      <c r="O21" s="11">
        <f t="shared" si="1"/>
        <v>2397900</v>
      </c>
      <c r="P21" s="11">
        <f t="shared" si="1"/>
        <v>2227900</v>
      </c>
      <c r="Q21" s="11">
        <f t="shared" si="1"/>
        <v>2038200.0000000002</v>
      </c>
      <c r="R21" s="11">
        <f t="shared" si="1"/>
        <v>1866400</v>
      </c>
    </row>
    <row r="23" ht="12.75">
      <c r="B23" s="293"/>
    </row>
    <row r="24" ht="12.75">
      <c r="B24" s="293"/>
    </row>
    <row r="25" ht="12.75">
      <c r="B25" s="293"/>
    </row>
    <row r="26" ht="12.75">
      <c r="A26" t="s">
        <v>511</v>
      </c>
    </row>
    <row r="27" spans="1:7" ht="12.75">
      <c r="A27" s="19" t="s">
        <v>413</v>
      </c>
      <c r="B27" s="19" t="s">
        <v>539</v>
      </c>
      <c r="C27" s="19" t="s">
        <v>540</v>
      </c>
      <c r="D27" s="19" t="s">
        <v>326</v>
      </c>
      <c r="F27" s="215" t="s">
        <v>532</v>
      </c>
      <c r="G27" s="19"/>
    </row>
    <row r="28" spans="1:14" ht="12.75">
      <c r="A28" s="19" t="s">
        <v>81</v>
      </c>
      <c r="B28" s="287">
        <f>SUM(B29:B37)</f>
        <v>4844243</v>
      </c>
      <c r="C28" s="287">
        <f>'State Level Census Data'!B38</f>
        <v>4477755</v>
      </c>
      <c r="D28" s="66">
        <f>C28/C$28</f>
        <v>1</v>
      </c>
      <c r="F28" s="19">
        <v>1980</v>
      </c>
      <c r="G28" s="434" t="s">
        <v>535</v>
      </c>
      <c r="H28" s="434"/>
      <c r="I28" s="452" t="s">
        <v>536</v>
      </c>
      <c r="J28" s="453"/>
      <c r="K28" s="452" t="s">
        <v>367</v>
      </c>
      <c r="L28" s="453"/>
      <c r="M28" s="434" t="s">
        <v>538</v>
      </c>
      <c r="N28" s="434"/>
    </row>
    <row r="29" spans="1:14" ht="12.75">
      <c r="A29" s="276" t="s">
        <v>414</v>
      </c>
      <c r="B29" s="280">
        <v>111001</v>
      </c>
      <c r="C29" s="51">
        <f>C28/B28*B29</f>
        <v>102603.29276524733</v>
      </c>
      <c r="D29" s="66">
        <f aca="true" t="shared" si="3" ref="D29:D37">C29/C$28</f>
        <v>0.022914003281833715</v>
      </c>
      <c r="F29" s="19" t="s">
        <v>37</v>
      </c>
      <c r="G29" s="19" t="s">
        <v>531</v>
      </c>
      <c r="H29" s="19" t="s">
        <v>61</v>
      </c>
      <c r="I29" s="19" t="s">
        <v>531</v>
      </c>
      <c r="J29" s="19" t="s">
        <v>61</v>
      </c>
      <c r="K29" s="19" t="s">
        <v>531</v>
      </c>
      <c r="L29" s="19" t="s">
        <v>61</v>
      </c>
      <c r="M29" s="19" t="s">
        <v>531</v>
      </c>
      <c r="N29" s="19" t="s">
        <v>61</v>
      </c>
    </row>
    <row r="30" spans="1:14" ht="12.75">
      <c r="A30" s="276" t="s">
        <v>415</v>
      </c>
      <c r="B30" s="280">
        <v>469055</v>
      </c>
      <c r="C30" s="51">
        <f aca="true" t="shared" si="4" ref="C30:C37">C29/B29*B30</f>
        <v>433568.95422566537</v>
      </c>
      <c r="D30" s="66">
        <f t="shared" si="3"/>
        <v>0.09682730614463395</v>
      </c>
      <c r="F30" s="19" t="s">
        <v>0</v>
      </c>
      <c r="G30" s="26">
        <f>'Units by State &amp;Type 1940 to 00'!R22</f>
        <v>287378</v>
      </c>
      <c r="H30" s="66">
        <f>'Units by State &amp;Type 1940 to 00'!S22</f>
        <v>0.7982034880329749</v>
      </c>
      <c r="I30" s="26">
        <f>'Units by State &amp;Type 1940 to 00'!T22</f>
        <v>31703</v>
      </c>
      <c r="J30" s="66">
        <f>'Units by State &amp;Type 1940 to 00'!U22</f>
        <v>0.08805630626251629</v>
      </c>
      <c r="K30" s="26">
        <f>'Units by State &amp;Type 1940 to 00'!V22</f>
        <v>40837</v>
      </c>
      <c r="L30" s="66">
        <f>'Units by State &amp;Type 1940 to 00'!W22</f>
        <v>0.11342634384261355</v>
      </c>
      <c r="M30" s="26">
        <f>G30+I30+K30</f>
        <v>359918</v>
      </c>
      <c r="N30" s="66">
        <f>M30/M$34</f>
        <v>0.10595315685758476</v>
      </c>
    </row>
    <row r="31" spans="1:14" ht="12.75">
      <c r="A31" s="276" t="s">
        <v>416</v>
      </c>
      <c r="B31" s="280">
        <v>462986</v>
      </c>
      <c r="C31" s="51">
        <f t="shared" si="4"/>
        <v>427959.1004063999</v>
      </c>
      <c r="D31" s="66">
        <f t="shared" si="3"/>
        <v>0.0955744788194977</v>
      </c>
      <c r="F31" s="19" t="s">
        <v>1</v>
      </c>
      <c r="G31" s="26">
        <f>'Units by State &amp;Type 1940 to 00'!R23</f>
        <v>243177</v>
      </c>
      <c r="H31" s="66">
        <f>'Units by State &amp;Type 1940 to 00'!S23</f>
        <v>0.7717503760734755</v>
      </c>
      <c r="I31" s="26">
        <f>'Units by State &amp;Type 1940 to 00'!T23</f>
        <v>31134</v>
      </c>
      <c r="J31" s="66">
        <f>'Units by State &amp;Type 1940 to 00'!U23</f>
        <v>0.09880735517204171</v>
      </c>
      <c r="K31" s="26">
        <f>'Units by State &amp;Type 1940 to 00'!V23</f>
        <v>40727</v>
      </c>
      <c r="L31" s="66">
        <f>'Units by State &amp;Type 1940 to 00'!W23</f>
        <v>0.1292518518048353</v>
      </c>
      <c r="M31" s="26">
        <f>G31+I31+K31</f>
        <v>315038</v>
      </c>
      <c r="N31" s="66">
        <f>M31/M$34</f>
        <v>0.09274132060663759</v>
      </c>
    </row>
    <row r="32" spans="1:14" ht="12.75">
      <c r="A32" s="276" t="s">
        <v>417</v>
      </c>
      <c r="B32" s="280">
        <v>678810</v>
      </c>
      <c r="C32" s="51">
        <f t="shared" si="4"/>
        <v>627455.0784405324</v>
      </c>
      <c r="D32" s="66">
        <f t="shared" si="3"/>
        <v>0.1401271571223822</v>
      </c>
      <c r="F32" s="19" t="s">
        <v>2</v>
      </c>
      <c r="G32" s="26">
        <f>'Units by State &amp;Type 1940 to 00'!R24</f>
        <v>819487</v>
      </c>
      <c r="H32" s="66">
        <f>'Units by State &amp;Type 1940 to 00'!S24</f>
        <v>0.7647228990316467</v>
      </c>
      <c r="I32" s="26">
        <f>'Units by State &amp;Type 1940 to 00'!T24</f>
        <v>162300</v>
      </c>
      <c r="J32" s="66">
        <f>'Units by State &amp;Type 1940 to 00'!U24</f>
        <v>0.15145392973022911</v>
      </c>
      <c r="K32" s="26">
        <f>'Units by State &amp;Type 1940 to 00'!V24</f>
        <v>89315</v>
      </c>
      <c r="L32" s="66">
        <f>'Units by State &amp;Type 1940 to 00'!W24</f>
        <v>0.08334631998678628</v>
      </c>
      <c r="M32" s="26">
        <f>G32+I32+K32</f>
        <v>1071102</v>
      </c>
      <c r="N32" s="66">
        <f>M32/M$34</f>
        <v>0.31531248288908237</v>
      </c>
    </row>
    <row r="33" spans="1:14" ht="12.75">
      <c r="A33" s="276" t="s">
        <v>418</v>
      </c>
      <c r="B33" s="280">
        <v>1045983</v>
      </c>
      <c r="C33" s="51">
        <f t="shared" si="4"/>
        <v>966849.8479876011</v>
      </c>
      <c r="D33" s="66">
        <f t="shared" si="3"/>
        <v>0.2159229006472219</v>
      </c>
      <c r="F33" s="19" t="s">
        <v>3</v>
      </c>
      <c r="G33" s="26">
        <f>'Units by State &amp;Type 1940 to 00'!R25</f>
        <v>1262358</v>
      </c>
      <c r="H33" s="66">
        <f>'Units by State &amp;Type 1940 to 00'!S25</f>
        <v>0.7642872711421098</v>
      </c>
      <c r="I33" s="26">
        <f>'Units by State &amp;Type 1940 to 00'!T25</f>
        <v>284061</v>
      </c>
      <c r="J33" s="66">
        <f>'Units by State &amp;Type 1940 to 00'!U25</f>
        <v>0.17198307178145888</v>
      </c>
      <c r="K33" s="26">
        <f>'Units by State &amp;Type 1940 to 00'!V25</f>
        <v>104477</v>
      </c>
      <c r="L33" s="66">
        <f>'Units by State &amp;Type 1940 to 00'!W25</f>
        <v>0.06325498885982757</v>
      </c>
      <c r="M33" s="26">
        <f>G33+I33+K33</f>
        <v>1650896</v>
      </c>
      <c r="N33" s="66">
        <f>M33/M$34</f>
        <v>0.48599303964669527</v>
      </c>
    </row>
    <row r="34" spans="1:14" ht="12.75">
      <c r="A34" s="276" t="s">
        <v>419</v>
      </c>
      <c r="B34" s="280">
        <v>562052</v>
      </c>
      <c r="C34" s="51">
        <f t="shared" si="4"/>
        <v>519530.3277023882</v>
      </c>
      <c r="D34" s="66">
        <f t="shared" si="3"/>
        <v>0.11602473286331838</v>
      </c>
      <c r="F34" s="215" t="s">
        <v>284</v>
      </c>
      <c r="G34" s="26">
        <f>'Units by State &amp;Type 1940 to 00'!R26</f>
        <v>2612400</v>
      </c>
      <c r="H34" s="66">
        <f>'Units by State &amp;Type 1940 to 00'!S26</f>
        <v>0.7687097129197021</v>
      </c>
      <c r="I34" s="26">
        <f>'Units by State &amp;Type 1940 to 00'!T26</f>
        <v>509198</v>
      </c>
      <c r="J34" s="66">
        <f>'Units by State &amp;Type 1940 to 00'!U26</f>
        <v>0.14983365809190266</v>
      </c>
      <c r="K34" s="26">
        <f>'Units by State &amp;Type 1940 to 00'!V26</f>
        <v>275356</v>
      </c>
      <c r="L34" s="66">
        <f>'Units by State &amp;Type 1940 to 00'!W26</f>
        <v>0.08102466379984592</v>
      </c>
      <c r="M34" s="26">
        <f>G34+I34+K34</f>
        <v>3396954</v>
      </c>
      <c r="N34" s="66">
        <f>M34/M$34</f>
        <v>1</v>
      </c>
    </row>
    <row r="35" spans="1:4" ht="12.75">
      <c r="A35" s="276" t="s">
        <v>420</v>
      </c>
      <c r="B35" s="280">
        <v>489736</v>
      </c>
      <c r="C35" s="51">
        <f t="shared" si="4"/>
        <v>452685.34684985876</v>
      </c>
      <c r="D35" s="66">
        <f t="shared" si="3"/>
        <v>0.10109649743004223</v>
      </c>
    </row>
    <row r="36" spans="1:7" ht="12.75">
      <c r="A36" s="276" t="s">
        <v>421</v>
      </c>
      <c r="B36" s="280">
        <v>353279</v>
      </c>
      <c r="C36" s="51">
        <f t="shared" si="4"/>
        <v>326551.910927053</v>
      </c>
      <c r="D36" s="66">
        <f t="shared" si="3"/>
        <v>0.07292759673699276</v>
      </c>
      <c r="F36" s="215" t="s">
        <v>534</v>
      </c>
      <c r="G36" s="19"/>
    </row>
    <row r="37" spans="1:14" ht="12.75" customHeight="1">
      <c r="A37" s="276" t="s">
        <v>422</v>
      </c>
      <c r="B37" s="280">
        <v>671341</v>
      </c>
      <c r="C37" s="51">
        <f t="shared" si="4"/>
        <v>620551.1406952542</v>
      </c>
      <c r="D37" s="66">
        <f t="shared" si="3"/>
        <v>0.13858532695407724</v>
      </c>
      <c r="F37" s="19">
        <v>2000</v>
      </c>
      <c r="G37" s="434" t="s">
        <v>535</v>
      </c>
      <c r="H37" s="434"/>
      <c r="I37" s="452" t="s">
        <v>536</v>
      </c>
      <c r="J37" s="453"/>
      <c r="K37" s="452" t="s">
        <v>367</v>
      </c>
      <c r="L37" s="453"/>
      <c r="M37" s="434" t="s">
        <v>538</v>
      </c>
      <c r="N37" s="434"/>
    </row>
    <row r="38" spans="1:14" ht="12.75">
      <c r="A38" s="19" t="s">
        <v>519</v>
      </c>
      <c r="B38" s="288">
        <f>SUM(B33:B37)</f>
        <v>3122391</v>
      </c>
      <c r="C38" s="288">
        <f>SUM(C32:C36)</f>
        <v>2893072.5119074336</v>
      </c>
      <c r="D38" s="289">
        <f>SUM(D33:D37)</f>
        <v>0.6445570546316525</v>
      </c>
      <c r="F38" s="19" t="s">
        <v>37</v>
      </c>
      <c r="G38" s="19" t="s">
        <v>531</v>
      </c>
      <c r="H38" s="19" t="s">
        <v>61</v>
      </c>
      <c r="I38" s="19" t="s">
        <v>531</v>
      </c>
      <c r="J38" s="19" t="s">
        <v>61</v>
      </c>
      <c r="K38" s="19" t="s">
        <v>531</v>
      </c>
      <c r="L38" s="19" t="s">
        <v>61</v>
      </c>
      <c r="M38" s="19" t="s">
        <v>531</v>
      </c>
      <c r="N38" s="19" t="s">
        <v>61</v>
      </c>
    </row>
    <row r="39" spans="1:14" ht="12.75">
      <c r="A39" s="233"/>
      <c r="F39" s="19" t="s">
        <v>0</v>
      </c>
      <c r="G39" s="26">
        <f>'Units by State &amp;Type 1940 to 00'!R4</f>
        <v>415029</v>
      </c>
      <c r="H39" s="66">
        <f>'Units by State &amp;Type 1940 to 00'!S4</f>
        <v>0.8366491217813938</v>
      </c>
      <c r="I39" s="26">
        <f>'Units by State &amp;Type 1940 to 00'!T4</f>
        <v>29428</v>
      </c>
      <c r="J39" s="66">
        <f>'Units by State &amp;Type 1940 to 00'!U4</f>
        <v>0.05932334934614896</v>
      </c>
      <c r="K39" s="26">
        <f>'Units by State &amp;Type 1940 to 00'!V4</f>
        <v>51511</v>
      </c>
      <c r="L39" s="66">
        <f>'Units by State &amp;Type 1940 to 00'!W4</f>
        <v>0.10384005192909743</v>
      </c>
      <c r="M39" s="26">
        <f>G39+I39+K39</f>
        <v>495968</v>
      </c>
      <c r="N39" s="66">
        <f>M39/M$43</f>
        <v>0.10259301970802542</v>
      </c>
    </row>
    <row r="40" spans="1:14" ht="12.75">
      <c r="A40" s="233"/>
      <c r="F40" s="19" t="s">
        <v>1</v>
      </c>
      <c r="G40" s="26">
        <f>'Units by State &amp;Type 1940 to 00'!R5</f>
        <v>336542</v>
      </c>
      <c r="H40" s="66">
        <f>'Units by State &amp;Type 1940 to 00'!S5</f>
        <v>0.7573003418114884</v>
      </c>
      <c r="I40" s="26">
        <f>'Units by State &amp;Type 1940 to 00'!T5</f>
        <v>38130</v>
      </c>
      <c r="J40" s="66">
        <f>'Units by State &amp;Type 1940 to 00'!U5</f>
        <v>0.08580165932713317</v>
      </c>
      <c r="K40" s="26">
        <f>'Units by State &amp;Type 1940 to 00'!V5</f>
        <v>68642</v>
      </c>
      <c r="L40" s="66">
        <f>'Units by State &amp;Type 1940 to 00'!W5</f>
        <v>0.15446098871054484</v>
      </c>
      <c r="M40" s="26">
        <f>G40+I40+K40</f>
        <v>443314</v>
      </c>
      <c r="N40" s="66">
        <f>M40/M$43</f>
        <v>0.09170132334917491</v>
      </c>
    </row>
    <row r="41" spans="1:14" ht="12.75">
      <c r="A41" s="233"/>
      <c r="F41" s="19" t="s">
        <v>2</v>
      </c>
      <c r="G41" s="26">
        <f>'Units by State &amp;Type 1940 to 00'!R6</f>
        <v>1078372</v>
      </c>
      <c r="H41" s="66">
        <f>'Units by State &amp;Type 1940 to 00'!S6</f>
        <v>0.7423179728355782</v>
      </c>
      <c r="I41" s="26">
        <f>'Units by State &amp;Type 1940 to 00'!T6</f>
        <v>221005</v>
      </c>
      <c r="J41" s="66">
        <f>'Units by State &amp;Type 1940 to 00'!U6</f>
        <v>0.15213301493967477</v>
      </c>
      <c r="K41" s="26">
        <f>'Units by State &amp;Type 1940 to 00'!V6</f>
        <v>150492</v>
      </c>
      <c r="L41" s="66">
        <f>'Units by State &amp;Type 1940 to 00'!W6</f>
        <v>0.10359404395512109</v>
      </c>
      <c r="M41" s="26">
        <f>G41+I41+K41</f>
        <v>1449869</v>
      </c>
      <c r="N41" s="66">
        <f>M41/M$43</f>
        <v>0.29991136301345067</v>
      </c>
    </row>
    <row r="42" spans="1:14" ht="12.75">
      <c r="A42" s="233"/>
      <c r="F42" s="19" t="s">
        <v>3</v>
      </c>
      <c r="G42" s="26">
        <f>'Units by State &amp;Type 1940 to 00'!R7</f>
        <v>1773740</v>
      </c>
      <c r="H42" s="66">
        <f>'Units by State &amp;Type 1940 to 00'!S7</f>
        <v>0.7236576915607676</v>
      </c>
      <c r="I42" s="26">
        <f>'Units by State &amp;Type 1940 to 00'!T7</f>
        <v>480177</v>
      </c>
      <c r="J42" s="66">
        <f>'Units by State &amp;Type 1940 to 00'!U7</f>
        <v>0.19590457415437137</v>
      </c>
      <c r="K42" s="26">
        <f>'Units by State &amp;Type 1940 to 00'!V7</f>
        <v>191257</v>
      </c>
      <c r="L42" s="66">
        <f>'Units by State &amp;Type 1940 to 00'!W7</f>
        <v>0.07802981221308519</v>
      </c>
      <c r="M42" s="26">
        <f>G42+I42+K42</f>
        <v>2445174</v>
      </c>
      <c r="N42" s="66">
        <f>M42/M$43</f>
        <v>0.5057942939293489</v>
      </c>
    </row>
    <row r="43" spans="1:14" ht="12.75">
      <c r="A43" s="233"/>
      <c r="F43" s="215" t="s">
        <v>284</v>
      </c>
      <c r="G43" s="26">
        <f>'Units by State &amp;Type 1940 to 00'!R8</f>
        <v>3603683</v>
      </c>
      <c r="H43" s="66">
        <f>'Units by State &amp;Type 1940 to 00'!S8</f>
        <v>0.743910452056183</v>
      </c>
      <c r="I43" s="26">
        <f>'Units by State &amp;Type 1940 to 00'!T8</f>
        <v>768740</v>
      </c>
      <c r="J43" s="66">
        <f>'Units by State &amp;Type 1940 to 00'!U8</f>
        <v>0.1586914611839249</v>
      </c>
      <c r="K43" s="26">
        <f>'Units by State &amp;Type 1940 to 00'!V8</f>
        <v>461902</v>
      </c>
      <c r="L43" s="66">
        <f>'Units by State &amp;Type 1940 to 00'!W8</f>
        <v>0.09535070804664424</v>
      </c>
      <c r="M43" s="26">
        <f>G43+I43+K43</f>
        <v>4834325</v>
      </c>
      <c r="N43" s="66">
        <f>M43/M$43</f>
        <v>1</v>
      </c>
    </row>
    <row r="44" ht="12.75">
      <c r="A44" s="233"/>
    </row>
    <row r="45" spans="1:9" ht="51">
      <c r="A45" s="234" t="s">
        <v>345</v>
      </c>
      <c r="B45" s="216" t="s">
        <v>522</v>
      </c>
      <c r="C45" s="216" t="s">
        <v>541</v>
      </c>
      <c r="D45" s="216" t="s">
        <v>562</v>
      </c>
      <c r="E45" s="216" t="s">
        <v>543</v>
      </c>
      <c r="F45" s="216" t="s">
        <v>544</v>
      </c>
      <c r="G45" s="216" t="s">
        <v>545</v>
      </c>
      <c r="H45" s="216" t="s">
        <v>546</v>
      </c>
      <c r="I45" s="216" t="s">
        <v>547</v>
      </c>
    </row>
    <row r="46" spans="1:9" ht="12.75">
      <c r="A46" s="215" t="s">
        <v>81</v>
      </c>
      <c r="B46" s="291">
        <f>SUM(B47:B49)</f>
        <v>3301656</v>
      </c>
      <c r="C46" s="44">
        <f>SUM(C47:C49)</f>
        <v>1</v>
      </c>
      <c r="D46" s="26">
        <f>SUM(D47:D49)</f>
        <v>4468587.339729861</v>
      </c>
      <c r="E46" s="44">
        <f>SUM(E47:E49)</f>
        <v>0.9999999999999999</v>
      </c>
      <c r="F46" s="26">
        <f>SUM(F47:F49)</f>
        <v>1486602.942994396</v>
      </c>
      <c r="G46" s="26">
        <f>D46-F46</f>
        <v>2981984.396735465</v>
      </c>
      <c r="H46" s="26">
        <f>B46-G46</f>
        <v>319671.60326453485</v>
      </c>
      <c r="I46" s="66">
        <f>H46/B46</f>
        <v>0.0968215959701843</v>
      </c>
    </row>
    <row r="47" spans="1:9" ht="12.75">
      <c r="A47" s="19" t="s">
        <v>314</v>
      </c>
      <c r="B47" s="26">
        <f>G34</f>
        <v>2612400</v>
      </c>
      <c r="C47" s="44">
        <f>B47/B$46</f>
        <v>0.7912393053667615</v>
      </c>
      <c r="D47" s="49">
        <f>G43*C$28/B$28</f>
        <v>3331048.746246834</v>
      </c>
      <c r="E47" s="66">
        <f>D47/D$46</f>
        <v>0.7454366431714872</v>
      </c>
      <c r="F47" s="26">
        <f>'Summary for 5th Plan'!C16*C28/B28</f>
        <v>916288.1403069583</v>
      </c>
      <c r="G47" s="26">
        <f>D47-F47</f>
        <v>2414760.6059398754</v>
      </c>
      <c r="H47" s="26">
        <f>B47-G47</f>
        <v>197639.39406012464</v>
      </c>
      <c r="I47" s="66">
        <f>H47/B47</f>
        <v>0.07565433856228933</v>
      </c>
    </row>
    <row r="48" spans="1:9" ht="12.75">
      <c r="A48" s="19" t="s">
        <v>315</v>
      </c>
      <c r="B48" s="26">
        <f>B68</f>
        <v>413900</v>
      </c>
      <c r="C48" s="44">
        <f>B48/B$46</f>
        <v>0.12536133382763073</v>
      </c>
      <c r="D48" s="49">
        <f>I43*C$28/B$28</f>
        <v>710581.4837736257</v>
      </c>
      <c r="E48" s="66">
        <f>D48/D$46</f>
        <v>0.15901702926468533</v>
      </c>
      <c r="F48" s="26">
        <f>'Summary for 5th Plan'!C17*C28/B28</f>
        <v>327994.8145045573</v>
      </c>
      <c r="G48" s="26">
        <f>D48-F48</f>
        <v>382586.6692690684</v>
      </c>
      <c r="H48" s="26">
        <f>B48-G48</f>
        <v>31313.3307309316</v>
      </c>
      <c r="I48" s="66">
        <f>H48/B48</f>
        <v>0.07565433856228944</v>
      </c>
    </row>
    <row r="49" spans="1:9" ht="12.75">
      <c r="A49" s="19" t="s">
        <v>367</v>
      </c>
      <c r="B49" s="26">
        <f>K34</f>
        <v>275356</v>
      </c>
      <c r="C49" s="44">
        <f>B49/B$46</f>
        <v>0.08339936080560785</v>
      </c>
      <c r="D49" s="49">
        <f>K43*C$28/B$28</f>
        <v>426957.10970940144</v>
      </c>
      <c r="E49" s="66">
        <f>D49/D$46</f>
        <v>0.0955463275638274</v>
      </c>
      <c r="F49" s="26">
        <f>'Summary for 5th Plan'!C18*C28/B28</f>
        <v>242319.98818288016</v>
      </c>
      <c r="G49" s="26">
        <f>D49-F49</f>
        <v>184637.12152652128</v>
      </c>
      <c r="H49" s="26">
        <f>B49-G49</f>
        <v>90718.87847347872</v>
      </c>
      <c r="I49" s="66">
        <f>H49/B49</f>
        <v>0.32946032944071935</v>
      </c>
    </row>
    <row r="50" ht="12.75">
      <c r="A50" s="233"/>
    </row>
    <row r="51" spans="1:9" ht="51">
      <c r="A51" s="234" t="s">
        <v>345</v>
      </c>
      <c r="B51" s="216" t="s">
        <v>548</v>
      </c>
      <c r="C51" s="216" t="s">
        <v>541</v>
      </c>
      <c r="D51" s="216" t="s">
        <v>549</v>
      </c>
      <c r="E51" s="216" t="s">
        <v>543</v>
      </c>
      <c r="F51" s="216" t="s">
        <v>551</v>
      </c>
      <c r="G51" s="216" t="s">
        <v>545</v>
      </c>
      <c r="H51" s="216" t="s">
        <v>546</v>
      </c>
      <c r="I51" s="216" t="s">
        <v>547</v>
      </c>
    </row>
    <row r="52" spans="1:9" ht="12.75">
      <c r="A52" s="215" t="s">
        <v>81</v>
      </c>
      <c r="B52" s="291">
        <f>'PNW Households &amp;  Housing Units'!C3</f>
        <v>3476427</v>
      </c>
      <c r="C52" s="44">
        <f>SUM(C53:C55)</f>
        <v>1</v>
      </c>
      <c r="D52" s="26">
        <f>B28</f>
        <v>4844243</v>
      </c>
      <c r="E52" s="44">
        <f>SUM(E53:E55)</f>
        <v>0.9979526212867522</v>
      </c>
      <c r="F52" s="26">
        <f>SUM(F53:F55)</f>
        <v>1608276.0000000002</v>
      </c>
      <c r="G52" s="26">
        <f>D52-F52</f>
        <v>3235967</v>
      </c>
      <c r="H52" s="26">
        <f>B52-G52</f>
        <v>240460</v>
      </c>
      <c r="I52" s="66">
        <f>H52/B52</f>
        <v>0.0691687183421369</v>
      </c>
    </row>
    <row r="53" spans="1:9" ht="12.75">
      <c r="A53" s="19" t="s">
        <v>314</v>
      </c>
      <c r="B53" s="26">
        <f>B$52*C53</f>
        <v>2750685.6846382543</v>
      </c>
      <c r="C53" s="44">
        <f>C47</f>
        <v>0.7912393053667615</v>
      </c>
      <c r="D53" s="49">
        <f>G43</f>
        <v>3603683</v>
      </c>
      <c r="E53" s="66">
        <f>H43</f>
        <v>0.743910452056183</v>
      </c>
      <c r="F53" s="26">
        <f>'Summary for 5th Plan'!C16</f>
        <v>991283.0000000002</v>
      </c>
      <c r="G53" s="26">
        <f>D53-F53</f>
        <v>2612400</v>
      </c>
      <c r="H53" s="26">
        <f>B53-G53</f>
        <v>138285.68463825434</v>
      </c>
      <c r="I53" s="66">
        <f>H53/B53</f>
        <v>0.050273168399624125</v>
      </c>
    </row>
    <row r="54" spans="1:9" ht="12.75">
      <c r="A54" s="19" t="s">
        <v>315</v>
      </c>
      <c r="B54" s="26">
        <f>B$52*C54</f>
        <v>435809.5256743888</v>
      </c>
      <c r="C54" s="44">
        <f>C48</f>
        <v>0.12536133382763073</v>
      </c>
      <c r="D54" s="49">
        <f>I43</f>
        <v>768740</v>
      </c>
      <c r="E54" s="66">
        <f>J43</f>
        <v>0.1586914611839249</v>
      </c>
      <c r="F54" s="26">
        <f>'Summary for 5th Plan'!C17</f>
        <v>354840.00000000006</v>
      </c>
      <c r="G54" s="26">
        <f>D54-F54</f>
        <v>413899.99999999994</v>
      </c>
      <c r="H54" s="26">
        <f>B54-G54</f>
        <v>21909.52567438886</v>
      </c>
      <c r="I54" s="66">
        <f>H54/B54</f>
        <v>0.05027316839962412</v>
      </c>
    </row>
    <row r="55" spans="1:9" ht="12.75">
      <c r="A55" s="19" t="s">
        <v>367</v>
      </c>
      <c r="B55" s="26">
        <f>B$52*C55</f>
        <v>289931.78968735685</v>
      </c>
      <c r="C55" s="44">
        <f>C49</f>
        <v>0.08339936080560785</v>
      </c>
      <c r="D55" s="49">
        <f>K43</f>
        <v>461902</v>
      </c>
      <c r="E55" s="66">
        <f>L43</f>
        <v>0.09535070804664424</v>
      </c>
      <c r="F55" s="26">
        <f>'Summary for 5th Plan'!C18</f>
        <v>262153</v>
      </c>
      <c r="G55" s="26">
        <f>D55-F55</f>
        <v>199749</v>
      </c>
      <c r="H55" s="26">
        <f>B55-G55</f>
        <v>90182.78968735685</v>
      </c>
      <c r="I55" s="66">
        <f>H55/B55</f>
        <v>0.31104829789311467</v>
      </c>
    </row>
    <row r="56" ht="12.75">
      <c r="A56" s="233"/>
    </row>
    <row r="57" ht="12.75">
      <c r="A57" s="233"/>
    </row>
    <row r="58" ht="12.75">
      <c r="A58" t="s">
        <v>537</v>
      </c>
    </row>
    <row r="59" ht="12.75">
      <c r="A59" t="s">
        <v>523</v>
      </c>
    </row>
    <row r="60" ht="12.75">
      <c r="A60" t="s">
        <v>524</v>
      </c>
    </row>
    <row r="61" spans="1:15" ht="57" customHeight="1">
      <c r="A61" s="457" t="s">
        <v>560</v>
      </c>
      <c r="B61" s="457"/>
      <c r="C61" s="457"/>
      <c r="D61" s="457"/>
      <c r="E61" s="457"/>
      <c r="F61" s="457"/>
      <c r="G61" s="457"/>
      <c r="H61" s="457"/>
      <c r="I61" s="457"/>
      <c r="J61" s="292"/>
      <c r="K61" s="292"/>
      <c r="L61" s="292"/>
      <c r="M61" s="292"/>
      <c r="N61" s="292"/>
      <c r="O61" s="292"/>
    </row>
    <row r="62" spans="2:7" ht="12.75">
      <c r="B62" t="s">
        <v>553</v>
      </c>
      <c r="C62" t="s">
        <v>556</v>
      </c>
      <c r="D62" t="s">
        <v>521</v>
      </c>
      <c r="G62" t="s">
        <v>566</v>
      </c>
    </row>
    <row r="63" spans="1:11" ht="12.75">
      <c r="A63" t="s">
        <v>555</v>
      </c>
      <c r="B63" s="1">
        <f>SUM(PNWStarts!C5:C14)</f>
        <v>183817</v>
      </c>
      <c r="C63" s="100">
        <f>B69-B68</f>
        <v>173378</v>
      </c>
      <c r="D63" s="2">
        <f>C63/B63</f>
        <v>0.9432098228129063</v>
      </c>
      <c r="G63" s="19"/>
      <c r="H63" s="19"/>
      <c r="I63" s="19"/>
      <c r="J63" s="19"/>
      <c r="K63" s="19"/>
    </row>
    <row r="64" spans="1:13" ht="12.75">
      <c r="A64" t="s">
        <v>552</v>
      </c>
      <c r="B64" s="1">
        <f>SUM(PNWStarts!C15:C24)</f>
        <v>172319</v>
      </c>
      <c r="C64" s="100">
        <f>B70-B69</f>
        <v>181462</v>
      </c>
      <c r="D64" s="2">
        <f>C64/B64</f>
        <v>1.0530585716026672</v>
      </c>
      <c r="G64" s="19" t="s">
        <v>38</v>
      </c>
      <c r="H64" s="19" t="s">
        <v>81</v>
      </c>
      <c r="I64" s="19" t="s">
        <v>564</v>
      </c>
      <c r="J64" s="19" t="s">
        <v>565</v>
      </c>
      <c r="K64" s="19" t="s">
        <v>528</v>
      </c>
      <c r="L64" s="215" t="s">
        <v>339</v>
      </c>
      <c r="M64" s="215" t="s">
        <v>340</v>
      </c>
    </row>
    <row r="65" spans="1:13" ht="12.75">
      <c r="A65" s="1" t="s">
        <v>353</v>
      </c>
      <c r="B65" s="1">
        <f>SUM(PNWStarts!C5:C24)</f>
        <v>356136</v>
      </c>
      <c r="C65" s="100">
        <f>B70-B68</f>
        <v>354840</v>
      </c>
      <c r="D65" s="312">
        <f>C65/B65</f>
        <v>0.9963609407642025</v>
      </c>
      <c r="G65" s="19">
        <v>1980</v>
      </c>
      <c r="H65" s="66">
        <v>1.261212833865278</v>
      </c>
      <c r="I65" s="66">
        <v>1.3467060810810811</v>
      </c>
      <c r="J65" s="66">
        <v>1.0375545851528385</v>
      </c>
      <c r="K65" s="66">
        <v>1.1657095980311731</v>
      </c>
      <c r="L65" s="66">
        <v>1.3037943993211298</v>
      </c>
      <c r="M65" s="66">
        <v>1.1657095980311731</v>
      </c>
    </row>
    <row r="66" spans="2:13" ht="12.75">
      <c r="B66" s="1"/>
      <c r="G66" s="19">
        <v>1981</v>
      </c>
      <c r="H66" s="66">
        <v>1.284322678843227</v>
      </c>
      <c r="I66" s="66">
        <v>1.4504696083643454</v>
      </c>
      <c r="J66" s="66">
        <v>1.094302554027505</v>
      </c>
      <c r="K66" s="66">
        <v>1.0510331872260488</v>
      </c>
      <c r="L66" s="66">
        <v>1.3960366311364663</v>
      </c>
      <c r="M66" s="66">
        <v>1.0510331872260488</v>
      </c>
    </row>
    <row r="67" spans="1:13" ht="12.75">
      <c r="A67" t="s">
        <v>554</v>
      </c>
      <c r="B67" s="1"/>
      <c r="G67" s="19">
        <v>1982</v>
      </c>
      <c r="H67" s="66">
        <v>1.0049975012493753</v>
      </c>
      <c r="I67" s="66">
        <v>1.1557467057101025</v>
      </c>
      <c r="J67" s="66">
        <v>0.9139297848244621</v>
      </c>
      <c r="K67" s="66">
        <v>0.8012575177692729</v>
      </c>
      <c r="L67" s="66">
        <v>1.1221049314636837</v>
      </c>
      <c r="M67" s="66">
        <v>0.8012575177692729</v>
      </c>
    </row>
    <row r="68" spans="1:13" ht="12.75">
      <c r="A68">
        <v>1980</v>
      </c>
      <c r="B68" s="11">
        <f>B19</f>
        <v>413900</v>
      </c>
      <c r="C68" s="11">
        <v>509198</v>
      </c>
      <c r="G68" s="19">
        <v>1983</v>
      </c>
      <c r="H68" s="66">
        <v>0.8661226015449788</v>
      </c>
      <c r="I68" s="66">
        <v>1.0246256239600666</v>
      </c>
      <c r="J68" s="66">
        <v>0.688622754491018</v>
      </c>
      <c r="K68" s="66">
        <v>0.6567268900192947</v>
      </c>
      <c r="L68" s="66">
        <v>0.9812578494831419</v>
      </c>
      <c r="M68" s="66">
        <v>0.6567268900192947</v>
      </c>
    </row>
    <row r="69" spans="1:13" ht="12.75">
      <c r="A69">
        <v>1990</v>
      </c>
      <c r="B69" s="11">
        <f>'Units by State &amp;Type 1940 to 00'!T17</f>
        <v>587278</v>
      </c>
      <c r="C69" s="11"/>
      <c r="G69" s="19">
        <v>1984</v>
      </c>
      <c r="H69" s="66">
        <v>0.9823998097276728</v>
      </c>
      <c r="I69" s="66">
        <v>1.111339982653946</v>
      </c>
      <c r="J69" s="66">
        <v>0.7868162692847125</v>
      </c>
      <c r="K69" s="66">
        <v>0.8346303501945526</v>
      </c>
      <c r="L69" s="66">
        <v>1.067887323943662</v>
      </c>
      <c r="M69" s="66">
        <v>0.8346303501945526</v>
      </c>
    </row>
    <row r="70" spans="1:13" ht="12.75">
      <c r="A70">
        <v>2000</v>
      </c>
      <c r="B70" s="11">
        <f>'Units by State &amp;Type 1940 to 00'!T8</f>
        <v>768740</v>
      </c>
      <c r="D70" s="100"/>
      <c r="G70" s="19">
        <v>1985</v>
      </c>
      <c r="H70" s="66">
        <v>0.9826919748456701</v>
      </c>
      <c r="I70" s="66">
        <v>1.1211582688689108</v>
      </c>
      <c r="J70" s="66">
        <v>0.8093255620316404</v>
      </c>
      <c r="K70" s="66">
        <v>0.812671337191593</v>
      </c>
      <c r="L70" s="66">
        <v>1.0863750348286432</v>
      </c>
      <c r="M70" s="66">
        <v>0.812671337191593</v>
      </c>
    </row>
    <row r="71" spans="2:13" ht="12.75">
      <c r="B71" s="1"/>
      <c r="G71" s="19">
        <v>1986</v>
      </c>
      <c r="H71" s="66">
        <v>0.9926528766813609</v>
      </c>
      <c r="I71" s="66">
        <v>1.0395322939866372</v>
      </c>
      <c r="J71" s="66">
        <v>0.794280442804428</v>
      </c>
      <c r="K71" s="66">
        <v>0.9427592116538133</v>
      </c>
      <c r="L71" s="66">
        <v>1.017116357504216</v>
      </c>
      <c r="M71" s="66">
        <v>0.9427592116538133</v>
      </c>
    </row>
    <row r="72" spans="2:13" ht="12.75">
      <c r="B72" s="1"/>
      <c r="G72" s="19">
        <v>1987</v>
      </c>
      <c r="H72" s="66">
        <v>1.0873077925462602</v>
      </c>
      <c r="I72" s="66">
        <v>1.0960562280359234</v>
      </c>
      <c r="J72" s="66">
        <v>0.7995520716685331</v>
      </c>
      <c r="K72" s="66">
        <v>1.1270482070767038</v>
      </c>
      <c r="L72" s="66">
        <v>1.0722815839094908</v>
      </c>
      <c r="M72" s="66">
        <v>1.1270482070767038</v>
      </c>
    </row>
    <row r="73" spans="2:13" ht="12.75">
      <c r="B73" s="1" t="s">
        <v>557</v>
      </c>
      <c r="C73" t="s">
        <v>559</v>
      </c>
      <c r="D73" t="s">
        <v>521</v>
      </c>
      <c r="G73" s="19">
        <v>1988</v>
      </c>
      <c r="H73" s="66">
        <v>1.0509755427315197</v>
      </c>
      <c r="I73" s="66">
        <v>1.0913664721271885</v>
      </c>
      <c r="J73" s="66">
        <v>0.7476882430647291</v>
      </c>
      <c r="K73" s="66">
        <v>1.0064750064750065</v>
      </c>
      <c r="L73" s="66">
        <v>1.067040673211781</v>
      </c>
      <c r="M73" s="66">
        <v>1.0064750064750065</v>
      </c>
    </row>
    <row r="74" spans="1:13" ht="12.75">
      <c r="A74" t="s">
        <v>555</v>
      </c>
      <c r="B74" s="1">
        <f>SUM(PNWStarts!B5:B14)</f>
        <v>354375</v>
      </c>
      <c r="C74" s="100">
        <f>B80-B79</f>
        <v>329606</v>
      </c>
      <c r="D74" s="2">
        <f>C74/B74</f>
        <v>0.930105114638448</v>
      </c>
      <c r="G74" s="19">
        <v>1989</v>
      </c>
      <c r="H74" s="66">
        <v>1.0630603705917512</v>
      </c>
      <c r="I74" s="66">
        <v>1.101534828807556</v>
      </c>
      <c r="J74" s="66">
        <v>0.8761194029850746</v>
      </c>
      <c r="K74" s="66">
        <v>0.9944084755738669</v>
      </c>
      <c r="L74" s="66">
        <v>1.0864123360368478</v>
      </c>
      <c r="M74" s="66">
        <v>0.9944084755738669</v>
      </c>
    </row>
    <row r="75" spans="1:13" ht="12.75">
      <c r="A75" t="s">
        <v>552</v>
      </c>
      <c r="B75" s="1">
        <f>SUM(PNWStarts!B15:B24)</f>
        <v>593937</v>
      </c>
      <c r="C75" s="100">
        <f>B81-B80</f>
        <v>661677</v>
      </c>
      <c r="D75" s="2">
        <f>C75/B75</f>
        <v>1.1140525005177317</v>
      </c>
      <c r="G75" s="19">
        <v>1990</v>
      </c>
      <c r="H75" s="66">
        <v>1.1775297083183291</v>
      </c>
      <c r="I75" s="66">
        <v>1.216777931729437</v>
      </c>
      <c r="J75" s="66">
        <v>0.8250460405156538</v>
      </c>
      <c r="K75" s="66">
        <v>1.132140137090632</v>
      </c>
      <c r="L75" s="66">
        <v>1.1917000707380336</v>
      </c>
      <c r="M75" s="66">
        <v>1.132140137090632</v>
      </c>
    </row>
    <row r="76" spans="1:13" ht="12.75">
      <c r="A76" s="1" t="s">
        <v>353</v>
      </c>
      <c r="B76" s="1">
        <f>SUM(PNWStarts!B5:B24)</f>
        <v>948312</v>
      </c>
      <c r="C76" s="100">
        <f>B81-B79</f>
        <v>991283</v>
      </c>
      <c r="D76" s="2">
        <f>C76/B76</f>
        <v>1.0453131458844769</v>
      </c>
      <c r="G76" s="19">
        <v>1991</v>
      </c>
      <c r="H76" s="66">
        <v>1.1496627318718382</v>
      </c>
      <c r="I76" s="66">
        <v>1.1116124751161247</v>
      </c>
      <c r="J76" s="66">
        <v>0.853828306264501</v>
      </c>
      <c r="K76" s="66">
        <v>1.4240631163708086</v>
      </c>
      <c r="L76" s="66">
        <v>1.0976650765754457</v>
      </c>
      <c r="M76" s="66">
        <v>1.4240631163708086</v>
      </c>
    </row>
    <row r="77" spans="2:13" ht="12.75">
      <c r="B77" s="1"/>
      <c r="G77" s="19">
        <v>1992</v>
      </c>
      <c r="H77" s="66">
        <v>1.0571741711571832</v>
      </c>
      <c r="I77" s="66">
        <v>1.058087185681344</v>
      </c>
      <c r="J77" s="66">
        <v>0.7882096069868997</v>
      </c>
      <c r="K77" s="66">
        <v>1.1416184971098264</v>
      </c>
      <c r="L77" s="66">
        <v>1.0451646628332463</v>
      </c>
      <c r="M77" s="66">
        <v>1.1416184971098264</v>
      </c>
    </row>
    <row r="78" spans="1:13" ht="12.75">
      <c r="A78" t="s">
        <v>558</v>
      </c>
      <c r="B78" s="1"/>
      <c r="G78" s="19">
        <v>1993</v>
      </c>
      <c r="H78" s="66">
        <v>0.9946626636644151</v>
      </c>
      <c r="I78" s="66">
        <v>1.0536239229599595</v>
      </c>
      <c r="J78" s="66">
        <v>0.5028680688336521</v>
      </c>
      <c r="K78" s="66">
        <v>0.7933832709113608</v>
      </c>
      <c r="L78" s="66">
        <v>1.0258952637658838</v>
      </c>
      <c r="M78" s="66">
        <v>0.7933832709113608</v>
      </c>
    </row>
    <row r="79" spans="1:13" ht="12.75">
      <c r="A79">
        <v>1980</v>
      </c>
      <c r="B79" s="1">
        <f>'Units by State &amp;Type 1940 to 00'!R26</f>
        <v>2612400</v>
      </c>
      <c r="G79" s="19">
        <v>1994</v>
      </c>
      <c r="H79" s="66">
        <v>0.9819918343540393</v>
      </c>
      <c r="I79" s="66">
        <v>1.08591483387927</v>
      </c>
      <c r="J79" s="66">
        <v>0.5112540192926045</v>
      </c>
      <c r="K79" s="66">
        <v>0.6427385892116183</v>
      </c>
      <c r="L79" s="66">
        <v>1.0543026443795878</v>
      </c>
      <c r="M79" s="66">
        <v>0.6427385892116183</v>
      </c>
    </row>
    <row r="80" spans="1:13" ht="12.75">
      <c r="A80">
        <v>1990</v>
      </c>
      <c r="B80" s="1">
        <f>'Units by State &amp;Type 1940 to 00'!R17</f>
        <v>2942006</v>
      </c>
      <c r="G80" s="19">
        <v>1995</v>
      </c>
      <c r="H80" s="66">
        <v>0.9850656660412758</v>
      </c>
      <c r="I80" s="66">
        <v>1.068384638524015</v>
      </c>
      <c r="J80" s="66">
        <v>0.5447409733124019</v>
      </c>
      <c r="K80" s="66">
        <v>0.7823204419889503</v>
      </c>
      <c r="L80" s="66">
        <v>1.0369462770970783</v>
      </c>
      <c r="M80" s="66">
        <v>0.7823204419889503</v>
      </c>
    </row>
    <row r="81" spans="1:13" ht="12.75">
      <c r="A81">
        <v>2000</v>
      </c>
      <c r="B81" s="1">
        <f>'Units by State &amp;Type 1940 to 00'!R8</f>
        <v>3603683</v>
      </c>
      <c r="G81" s="19">
        <v>1996</v>
      </c>
      <c r="H81" s="66">
        <v>0.991091470258137</v>
      </c>
      <c r="I81" s="66">
        <v>1.0551659654043946</v>
      </c>
      <c r="J81" s="66">
        <v>0.5030395136778116</v>
      </c>
      <c r="K81" s="66">
        <v>0.8656562177058216</v>
      </c>
      <c r="L81" s="66">
        <v>1.0231656830793623</v>
      </c>
      <c r="M81" s="66">
        <v>0.8656562177058216</v>
      </c>
    </row>
    <row r="82" spans="2:13" ht="12.75">
      <c r="B82" s="1"/>
      <c r="G82" s="19">
        <v>1997</v>
      </c>
      <c r="H82" s="66">
        <v>0.9718270765387552</v>
      </c>
      <c r="I82" s="66">
        <v>1.050828313253012</v>
      </c>
      <c r="J82" s="66">
        <v>0.5401459854014599</v>
      </c>
      <c r="K82" s="66">
        <v>0.7963261359974219</v>
      </c>
      <c r="L82" s="66">
        <v>1.0198956583252277</v>
      </c>
      <c r="M82" s="66">
        <v>0.7963261359974219</v>
      </c>
    </row>
    <row r="83" spans="2:13" ht="12.75">
      <c r="B83" s="1"/>
      <c r="G83" s="19">
        <v>1998</v>
      </c>
      <c r="H83" s="66">
        <v>0.9143459653910563</v>
      </c>
      <c r="I83" s="66">
        <v>0.9765072414954531</v>
      </c>
      <c r="J83" s="66">
        <v>0.5867052023121387</v>
      </c>
      <c r="K83" s="66">
        <v>0.770464135021097</v>
      </c>
      <c r="L83" s="66">
        <v>0.95504455760662</v>
      </c>
      <c r="M83" s="66">
        <v>0.770464135021097</v>
      </c>
    </row>
    <row r="84" spans="1:13" ht="12.75">
      <c r="A84" t="s">
        <v>584</v>
      </c>
      <c r="B84" s="1"/>
      <c r="G84" s="19">
        <v>1999</v>
      </c>
      <c r="H84" s="66">
        <v>0.9647730688307785</v>
      </c>
      <c r="I84" s="66">
        <v>1.0190101868933985</v>
      </c>
      <c r="J84" s="66">
        <v>0.5349544072948329</v>
      </c>
      <c r="K84" s="66">
        <v>0.8524636855596696</v>
      </c>
      <c r="L84" s="66">
        <v>0.9947428571428573</v>
      </c>
      <c r="M84" s="66">
        <v>0.8524636855596696</v>
      </c>
    </row>
    <row r="85" spans="1:13" ht="12.75">
      <c r="A85" s="335" t="s">
        <v>339</v>
      </c>
      <c r="B85" s="290">
        <f>'[1]Pre-1980 Space Heating Unit'!$C$12</f>
        <v>0.33</v>
      </c>
      <c r="G85" s="19">
        <v>2000</v>
      </c>
      <c r="H85" s="66">
        <v>0.9883187841487158</v>
      </c>
      <c r="I85" s="66">
        <v>1.0364744178282281</v>
      </c>
      <c r="J85" s="66">
        <v>0.42064714946070875</v>
      </c>
      <c r="K85" s="66">
        <v>0.9252960825994533</v>
      </c>
      <c r="L85" s="66">
        <v>1.0048297703879652</v>
      </c>
      <c r="M85" s="66">
        <v>0.9252960825994533</v>
      </c>
    </row>
    <row r="86" spans="1:13" ht="12.75">
      <c r="A86" s="335" t="s">
        <v>340</v>
      </c>
      <c r="B86" s="290">
        <f>'[1]Pre-1980 Space Heating Unit'!$C$25</f>
        <v>0.74</v>
      </c>
      <c r="G86" s="19">
        <v>2001</v>
      </c>
      <c r="H86" s="66">
        <v>0.9597360542555141</v>
      </c>
      <c r="I86" s="66">
        <v>1.0164292651343478</v>
      </c>
      <c r="J86" s="66">
        <v>0.5136363636363637</v>
      </c>
      <c r="K86" s="66">
        <v>0.8383054892601433</v>
      </c>
      <c r="L86" s="66">
        <v>0.9909342347879535</v>
      </c>
      <c r="M86" s="66">
        <v>0.8383054892601433</v>
      </c>
    </row>
    <row r="87" spans="1:13" ht="12.75">
      <c r="A87" s="335" t="s">
        <v>341</v>
      </c>
      <c r="B87" s="290">
        <f>'[1]Pre-1980 Space Heating Unit'!$C$38</f>
        <v>0.8400000000000001</v>
      </c>
      <c r="G87" s="19" t="s">
        <v>567</v>
      </c>
      <c r="H87" s="44">
        <f>AVERAGE(H65:H86)</f>
        <v>1.0323601444298698</v>
      </c>
      <c r="I87" s="44">
        <f>AVERAGE(I65:I86)</f>
        <v>1.1039705668861246</v>
      </c>
      <c r="J87" s="44">
        <f>AVERAGE(J65:J86)</f>
        <v>0.7124212412419987</v>
      </c>
      <c r="K87" s="44">
        <f>AVERAGE(K65:K86)</f>
        <v>0.9253407081835512</v>
      </c>
      <c r="L87" s="44">
        <v>1.074572448979924</v>
      </c>
      <c r="M87" s="44">
        <v>0.9253407081835512</v>
      </c>
    </row>
    <row r="88" ht="12.75">
      <c r="B88" s="1"/>
    </row>
    <row r="89" ht="12.75">
      <c r="B89" s="1"/>
    </row>
    <row r="90" ht="12.75">
      <c r="B90" s="1"/>
    </row>
  </sheetData>
  <mergeCells count="9">
    <mergeCell ref="A61:I61"/>
    <mergeCell ref="G37:H37"/>
    <mergeCell ref="I37:J37"/>
    <mergeCell ref="K37:L37"/>
    <mergeCell ref="M37:N37"/>
    <mergeCell ref="M28:N28"/>
    <mergeCell ref="G28:H28"/>
    <mergeCell ref="I28:J28"/>
    <mergeCell ref="K28:L28"/>
  </mergeCells>
  <printOptions/>
  <pageMargins left="0.75" right="0.75" top="1" bottom="1" header="0.5" footer="0.5"/>
  <pageSetup orientation="portrait" paperSize="9"/>
  <legacyDrawing r:id="rId2"/>
</worksheet>
</file>

<file path=xl/worksheets/sheet34.xml><?xml version="1.0" encoding="utf-8"?>
<worksheet xmlns="http://schemas.openxmlformats.org/spreadsheetml/2006/main" xmlns:r="http://schemas.openxmlformats.org/officeDocument/2006/relationships">
  <dimension ref="A1:K17"/>
  <sheetViews>
    <sheetView workbookViewId="0" topLeftCell="A1">
      <selection activeCell="D17" sqref="D17"/>
    </sheetView>
  </sheetViews>
  <sheetFormatPr defaultColWidth="9.140625" defaultRowHeight="12.75"/>
  <cols>
    <col min="1" max="1" width="11.57421875" style="0" customWidth="1"/>
  </cols>
  <sheetData>
    <row r="1" ht="12.75">
      <c r="A1" t="s">
        <v>301</v>
      </c>
    </row>
    <row r="3" spans="1:9" ht="12.75">
      <c r="A3" s="24" t="s">
        <v>298</v>
      </c>
      <c r="B3" s="24" t="s">
        <v>299</v>
      </c>
      <c r="C3" s="24" t="s">
        <v>299</v>
      </c>
      <c r="D3" s="24" t="s">
        <v>299</v>
      </c>
      <c r="E3" s="24" t="s">
        <v>299</v>
      </c>
      <c r="F3" s="24" t="s">
        <v>299</v>
      </c>
      <c r="G3" s="94" t="s">
        <v>302</v>
      </c>
      <c r="H3" s="19"/>
      <c r="I3" s="19"/>
    </row>
    <row r="4" spans="1:11" ht="12.75">
      <c r="A4" s="19"/>
      <c r="B4" s="24">
        <v>1995</v>
      </c>
      <c r="C4" s="24">
        <v>2000</v>
      </c>
      <c r="D4" s="24">
        <v>2005</v>
      </c>
      <c r="E4" s="24">
        <v>2015</v>
      </c>
      <c r="F4" s="24">
        <v>2025</v>
      </c>
      <c r="G4" s="24">
        <v>2005</v>
      </c>
      <c r="H4" s="24">
        <v>2015</v>
      </c>
      <c r="I4" s="24">
        <v>2025</v>
      </c>
      <c r="K4" s="24">
        <v>2025</v>
      </c>
    </row>
    <row r="5" spans="1:11" ht="12.75">
      <c r="A5" s="19" t="s">
        <v>39</v>
      </c>
      <c r="B5" s="51">
        <v>1163</v>
      </c>
      <c r="C5" s="51">
        <v>1347</v>
      </c>
      <c r="D5" s="51">
        <v>1480</v>
      </c>
      <c r="E5" s="51">
        <v>1622</v>
      </c>
      <c r="F5" s="51">
        <v>1739</v>
      </c>
      <c r="G5" s="66">
        <f aca="true" t="shared" si="0" ref="G5:I9">(D5/$C5)-1</f>
        <v>0.09873793615441717</v>
      </c>
      <c r="H5" s="66">
        <f t="shared" si="0"/>
        <v>0.20415738678544915</v>
      </c>
      <c r="I5" s="66">
        <f t="shared" si="0"/>
        <v>0.29101707498144025</v>
      </c>
      <c r="K5" s="66">
        <v>0.29101707498144025</v>
      </c>
    </row>
    <row r="6" spans="1:11" ht="12.75">
      <c r="A6" s="19" t="s">
        <v>40</v>
      </c>
      <c r="B6" s="19">
        <v>870</v>
      </c>
      <c r="C6" s="19">
        <v>950</v>
      </c>
      <c r="D6" s="51">
        <v>1006</v>
      </c>
      <c r="E6" s="51">
        <v>1069</v>
      </c>
      <c r="F6" s="51">
        <v>1121</v>
      </c>
      <c r="G6" s="66">
        <f t="shared" si="0"/>
        <v>0.05894736842105264</v>
      </c>
      <c r="H6" s="66">
        <f t="shared" si="0"/>
        <v>0.12526315789473674</v>
      </c>
      <c r="I6" s="66">
        <f t="shared" si="0"/>
        <v>0.17999999999999994</v>
      </c>
      <c r="K6" s="66">
        <v>0.18</v>
      </c>
    </row>
    <row r="7" spans="1:11" ht="12.75">
      <c r="A7" s="19" t="s">
        <v>41</v>
      </c>
      <c r="B7" s="51">
        <v>3141</v>
      </c>
      <c r="C7" s="51">
        <v>3397</v>
      </c>
      <c r="D7" s="51">
        <v>3613</v>
      </c>
      <c r="E7" s="51">
        <v>3992</v>
      </c>
      <c r="F7" s="51">
        <v>4349</v>
      </c>
      <c r="G7" s="66">
        <f t="shared" si="0"/>
        <v>0.0635855166323227</v>
      </c>
      <c r="H7" s="66">
        <f t="shared" si="0"/>
        <v>0.17515454813070352</v>
      </c>
      <c r="I7" s="66">
        <f t="shared" si="0"/>
        <v>0.2802472770091258</v>
      </c>
      <c r="K7" s="66">
        <v>0.2802472770091258</v>
      </c>
    </row>
    <row r="8" spans="1:11" ht="12.75">
      <c r="A8" s="19" t="s">
        <v>42</v>
      </c>
      <c r="B8" s="51">
        <v>5431</v>
      </c>
      <c r="C8" s="51">
        <v>5858</v>
      </c>
      <c r="D8" s="51">
        <v>6258</v>
      </c>
      <c r="E8" s="51">
        <v>7058</v>
      </c>
      <c r="F8" s="51">
        <v>7808</v>
      </c>
      <c r="G8" s="66">
        <f t="shared" si="0"/>
        <v>0.06828269033799939</v>
      </c>
      <c r="H8" s="66">
        <f t="shared" si="0"/>
        <v>0.20484807101399793</v>
      </c>
      <c r="I8" s="66">
        <f t="shared" si="0"/>
        <v>0.3328781153977467</v>
      </c>
      <c r="K8" s="66">
        <v>0.3328781153977467</v>
      </c>
    </row>
    <row r="9" spans="1:11" ht="12.75">
      <c r="A9" s="19" t="s">
        <v>81</v>
      </c>
      <c r="B9" s="70">
        <v>12600</v>
      </c>
      <c r="C9" s="70">
        <v>13552</v>
      </c>
      <c r="D9" s="70">
        <v>14362</v>
      </c>
      <c r="E9" s="70">
        <v>15756</v>
      </c>
      <c r="F9" s="70">
        <v>17042</v>
      </c>
      <c r="G9" s="66">
        <f t="shared" si="0"/>
        <v>0.059769775678866655</v>
      </c>
      <c r="H9" s="66">
        <f t="shared" si="0"/>
        <v>0.16263282172373072</v>
      </c>
      <c r="I9" s="66">
        <f t="shared" si="0"/>
        <v>0.2575265643447462</v>
      </c>
      <c r="K9" s="66">
        <v>0.2575265643447462</v>
      </c>
    </row>
    <row r="10" spans="1:6" ht="12.75">
      <c r="A10" s="19"/>
      <c r="B10" s="19"/>
      <c r="C10" s="19"/>
      <c r="D10" s="19"/>
      <c r="E10" s="19"/>
      <c r="F10" s="19"/>
    </row>
    <row r="11" spans="1:9" ht="12.75">
      <c r="A11" s="24" t="s">
        <v>300</v>
      </c>
      <c r="B11" s="24" t="s">
        <v>299</v>
      </c>
      <c r="C11" s="24" t="s">
        <v>299</v>
      </c>
      <c r="D11" s="24" t="s">
        <v>299</v>
      </c>
      <c r="E11" s="24" t="s">
        <v>299</v>
      </c>
      <c r="F11" s="24" t="s">
        <v>299</v>
      </c>
      <c r="G11" s="94" t="s">
        <v>302</v>
      </c>
      <c r="H11" s="19"/>
      <c r="I11" s="19"/>
    </row>
    <row r="12" spans="1:9" ht="12.75">
      <c r="A12" s="19"/>
      <c r="B12" s="24">
        <v>1995</v>
      </c>
      <c r="C12" s="24">
        <v>2000</v>
      </c>
      <c r="D12" s="24">
        <v>2005</v>
      </c>
      <c r="E12" s="24">
        <v>2015</v>
      </c>
      <c r="F12" s="24">
        <v>2025</v>
      </c>
      <c r="G12" s="24">
        <v>2005</v>
      </c>
      <c r="H12" s="24">
        <v>2015</v>
      </c>
      <c r="I12" s="24">
        <v>2025</v>
      </c>
    </row>
    <row r="13" spans="1:9" ht="12.75">
      <c r="A13" s="19" t="s">
        <v>39</v>
      </c>
      <c r="B13" s="51">
        <v>1163</v>
      </c>
      <c r="C13" s="51">
        <v>1332</v>
      </c>
      <c r="D13" s="51">
        <v>1489</v>
      </c>
      <c r="E13" s="51">
        <v>1775</v>
      </c>
      <c r="F13" s="51">
        <v>2008</v>
      </c>
      <c r="G13" s="66">
        <f aca="true" t="shared" si="1" ref="G13:I17">(D13/$C13)-1</f>
        <v>0.11786786786786796</v>
      </c>
      <c r="H13" s="66">
        <f t="shared" si="1"/>
        <v>0.33258258258258255</v>
      </c>
      <c r="I13" s="66">
        <f t="shared" si="1"/>
        <v>0.5075075075075075</v>
      </c>
    </row>
    <row r="14" spans="1:9" ht="12.75">
      <c r="A14" s="19" t="s">
        <v>40</v>
      </c>
      <c r="B14" s="19">
        <v>870</v>
      </c>
      <c r="C14" s="19">
        <v>937</v>
      </c>
      <c r="D14" s="19">
        <v>998</v>
      </c>
      <c r="E14" s="51">
        <v>1108</v>
      </c>
      <c r="F14" s="51">
        <v>1187</v>
      </c>
      <c r="G14" s="66">
        <f t="shared" si="1"/>
        <v>0.06510138740661686</v>
      </c>
      <c r="H14" s="66">
        <f t="shared" si="1"/>
        <v>0.18249733191035222</v>
      </c>
      <c r="I14" s="66">
        <f t="shared" si="1"/>
        <v>0.26680896478121663</v>
      </c>
    </row>
    <row r="15" spans="1:9" ht="12.75">
      <c r="A15" s="19" t="s">
        <v>41</v>
      </c>
      <c r="B15" s="51">
        <v>3141</v>
      </c>
      <c r="C15" s="51">
        <v>3397</v>
      </c>
      <c r="D15" s="51">
        <v>3625</v>
      </c>
      <c r="E15" s="51">
        <v>4036</v>
      </c>
      <c r="F15" s="51">
        <v>4361</v>
      </c>
      <c r="G15" s="66">
        <f t="shared" si="1"/>
        <v>0.06711804533411825</v>
      </c>
      <c r="H15" s="66">
        <f t="shared" si="1"/>
        <v>0.18810715337062112</v>
      </c>
      <c r="I15" s="66">
        <f t="shared" si="1"/>
        <v>0.2837798057109213</v>
      </c>
    </row>
    <row r="16" spans="1:9" ht="12.75">
      <c r="A16" s="19" t="s">
        <v>42</v>
      </c>
      <c r="B16" s="51">
        <v>5431</v>
      </c>
      <c r="C16" s="51">
        <v>5829</v>
      </c>
      <c r="D16" s="51">
        <v>6184</v>
      </c>
      <c r="E16" s="51">
        <v>6857</v>
      </c>
      <c r="F16" s="51">
        <v>7480</v>
      </c>
      <c r="G16" s="66">
        <f t="shared" si="1"/>
        <v>0.06090238462858122</v>
      </c>
      <c r="H16" s="66">
        <f t="shared" si="1"/>
        <v>0.17635958140332808</v>
      </c>
      <c r="I16" s="66">
        <f t="shared" si="1"/>
        <v>0.28323897752616234</v>
      </c>
    </row>
    <row r="17" spans="1:9" ht="12.75">
      <c r="A17" s="19" t="s">
        <v>81</v>
      </c>
      <c r="B17" s="70">
        <v>12600</v>
      </c>
      <c r="C17" s="70">
        <v>13495</v>
      </c>
      <c r="D17" s="70">
        <v>14301</v>
      </c>
      <c r="E17" s="70">
        <v>15791</v>
      </c>
      <c r="F17" s="70">
        <v>17061</v>
      </c>
      <c r="G17" s="66">
        <f t="shared" si="1"/>
        <v>0.05972582437939988</v>
      </c>
      <c r="H17" s="66">
        <f t="shared" si="1"/>
        <v>0.17013708781030012</v>
      </c>
      <c r="I17" s="66">
        <f t="shared" si="1"/>
        <v>0.2642460170433494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59"/>
  <sheetViews>
    <sheetView zoomScale="75" zoomScaleNormal="75" workbookViewId="0" topLeftCell="A1">
      <selection activeCell="B20" sqref="B20"/>
    </sheetView>
  </sheetViews>
  <sheetFormatPr defaultColWidth="9.140625" defaultRowHeight="12.75"/>
  <cols>
    <col min="1" max="1" width="14.7109375" style="114" customWidth="1"/>
    <col min="2" max="2" width="15.421875" style="114" customWidth="1"/>
    <col min="3" max="3" width="13.00390625" style="114" customWidth="1"/>
    <col min="4" max="4" width="16.28125" style="114" customWidth="1"/>
    <col min="5" max="5" width="13.8515625" style="114" customWidth="1"/>
    <col min="6" max="6" width="13.140625" style="114" bestFit="1" customWidth="1"/>
    <col min="7" max="7" width="12.28125" style="114" customWidth="1"/>
    <col min="8" max="9" width="15.140625" style="114" customWidth="1"/>
    <col min="10" max="10" width="13.421875" style="114" bestFit="1" customWidth="1"/>
    <col min="11" max="11" width="13.8515625" style="114" customWidth="1"/>
    <col min="12" max="12" width="20.7109375" style="114" customWidth="1"/>
    <col min="13" max="13" width="13.7109375" style="114" customWidth="1"/>
    <col min="14" max="14" width="16.8515625" style="114" customWidth="1"/>
    <col min="15" max="15" width="20.00390625" style="114" customWidth="1"/>
    <col min="16" max="16384" width="11.421875" style="114" customWidth="1"/>
  </cols>
  <sheetData>
    <row r="1" spans="1:12" ht="15.75" thickBot="1">
      <c r="A1" s="110"/>
      <c r="B1" s="111" t="s">
        <v>311</v>
      </c>
      <c r="C1" s="112"/>
      <c r="D1" s="112"/>
      <c r="E1" s="112"/>
      <c r="F1" s="111" t="s">
        <v>312</v>
      </c>
      <c r="G1" s="112"/>
      <c r="H1" s="112"/>
      <c r="I1" s="112"/>
      <c r="J1" s="113"/>
      <c r="L1" s="319" t="s">
        <v>582</v>
      </c>
    </row>
    <row r="2" spans="1:15" ht="30.75" thickBot="1">
      <c r="A2" s="111" t="s">
        <v>313</v>
      </c>
      <c r="B2" s="115" t="s">
        <v>314</v>
      </c>
      <c r="C2" s="116" t="s">
        <v>315</v>
      </c>
      <c r="D2" s="116" t="s">
        <v>316</v>
      </c>
      <c r="E2" s="117" t="s">
        <v>81</v>
      </c>
      <c r="F2" s="118" t="s">
        <v>314</v>
      </c>
      <c r="G2" s="119" t="s">
        <v>315</v>
      </c>
      <c r="H2" s="119" t="s">
        <v>316</v>
      </c>
      <c r="I2" s="119" t="s">
        <v>317</v>
      </c>
      <c r="J2" s="120" t="s">
        <v>81</v>
      </c>
      <c r="L2" s="321" t="s">
        <v>314</v>
      </c>
      <c r="M2" s="322" t="s">
        <v>315</v>
      </c>
      <c r="N2" s="322" t="s">
        <v>316</v>
      </c>
      <c r="O2" s="331" t="s">
        <v>581</v>
      </c>
    </row>
    <row r="3" spans="1:15" ht="16.5" thickBot="1">
      <c r="A3" s="300" t="s">
        <v>353</v>
      </c>
      <c r="B3" s="301">
        <f>SUM(B11:B30)</f>
        <v>948312</v>
      </c>
      <c r="C3" s="301">
        <f aca="true" t="shared" si="0" ref="C3:H3">SUM(C11:C30)</f>
        <v>356136</v>
      </c>
      <c r="D3" s="301">
        <f t="shared" si="0"/>
        <v>262153</v>
      </c>
      <c r="E3" s="301">
        <f t="shared" si="0"/>
        <v>1566601</v>
      </c>
      <c r="F3" s="301">
        <f>SUM(F11:F30)</f>
        <v>451377.4106102043</v>
      </c>
      <c r="G3" s="301">
        <f t="shared" si="0"/>
        <v>309067.5471544791</v>
      </c>
      <c r="H3" s="301">
        <f t="shared" si="0"/>
        <v>247731.08082932665</v>
      </c>
      <c r="I3" s="302">
        <f>F3+G3</f>
        <v>760444.9577646833</v>
      </c>
      <c r="J3" s="323">
        <f>F3+G3+H3</f>
        <v>1008176.0385940099</v>
      </c>
      <c r="K3" s="328" t="s">
        <v>576</v>
      </c>
      <c r="L3" s="329">
        <f>L21</f>
        <v>3150485.6846382543</v>
      </c>
      <c r="M3" s="329">
        <f>M21</f>
        <v>631861.5256743887</v>
      </c>
      <c r="N3" s="329">
        <f>N21</f>
        <v>404006.78968735685</v>
      </c>
      <c r="O3" s="329">
        <f>SUM(L3:N3)</f>
        <v>4186354</v>
      </c>
    </row>
    <row r="4" spans="1:15" ht="15.75">
      <c r="A4" s="129" t="s">
        <v>351</v>
      </c>
      <c r="B4" s="182">
        <f>SUM(B31:B$55)</f>
        <v>1700052.6371258686</v>
      </c>
      <c r="C4" s="183">
        <f>SUM(C31:C$55)</f>
        <v>541310.1862932699</v>
      </c>
      <c r="D4" s="183">
        <f>SUM(D31:D$55)</f>
        <v>283671.806297625</v>
      </c>
      <c r="E4" s="184">
        <f>SUM(E31:E$55)</f>
        <v>2525034.6297167637</v>
      </c>
      <c r="F4" s="185">
        <f>SUM(F31:F$55)</f>
        <v>462593.60542147444</v>
      </c>
      <c r="G4" s="183">
        <f>SUM(G31:G$55)</f>
        <v>401230.48099105485</v>
      </c>
      <c r="H4" s="183">
        <f>SUM(H31:H$55)</f>
        <v>216393.9293751746</v>
      </c>
      <c r="I4" s="183">
        <f>SUM(I31:I$55)</f>
        <v>863824.0864125295</v>
      </c>
      <c r="J4" s="324">
        <f>SUM(J31:J$55)</f>
        <v>1080218.015787704</v>
      </c>
      <c r="K4" s="328" t="s">
        <v>580</v>
      </c>
      <c r="L4" s="329">
        <v>548512</v>
      </c>
      <c r="M4" s="329">
        <v>160084</v>
      </c>
      <c r="N4" s="329">
        <v>148078</v>
      </c>
      <c r="O4" s="329">
        <f>SUM(L4:N4)</f>
        <v>856674</v>
      </c>
    </row>
    <row r="5" spans="1:15" ht="15.75">
      <c r="A5" s="178" t="s">
        <v>310</v>
      </c>
      <c r="B5" s="179">
        <f>SUM(B35:B$55)</f>
        <v>1462239.804411025</v>
      </c>
      <c r="C5" s="180">
        <f>SUM(C35:C$55)</f>
        <v>475894.70258685737</v>
      </c>
      <c r="D5" s="180">
        <f>SUM(D35:D$55)</f>
        <v>252974.37733900003</v>
      </c>
      <c r="E5" s="181">
        <f>SUM(E35:E$55)</f>
        <v>2191108.8843368823</v>
      </c>
      <c r="F5" s="179">
        <f>SUM(F35:F$55)</f>
        <v>372900.43050632114</v>
      </c>
      <c r="G5" s="180">
        <f>SUM(G35:G$55)</f>
        <v>340798.21223063115</v>
      </c>
      <c r="H5" s="180">
        <f>SUM(H35:H$55)</f>
        <v>190306.59430475978</v>
      </c>
      <c r="I5" s="180">
        <f>SUM(I35:I$55)</f>
        <v>713698.6427369523</v>
      </c>
      <c r="J5" s="325">
        <f>SUM(J35:J$55)</f>
        <v>904005.2370417123</v>
      </c>
      <c r="K5" s="328" t="s">
        <v>575</v>
      </c>
      <c r="L5" s="329">
        <f>L3+L4</f>
        <v>3698997.6846382543</v>
      </c>
      <c r="M5" s="329">
        <f>M3+M4</f>
        <v>791945.5256743887</v>
      </c>
      <c r="N5" s="329">
        <f>N3+N4</f>
        <v>552084.7896873569</v>
      </c>
      <c r="O5" s="329">
        <f>SUM(L5:N5)</f>
        <v>5043028</v>
      </c>
    </row>
    <row r="6" spans="1:15" ht="15.75">
      <c r="A6" s="121" t="s">
        <v>318</v>
      </c>
      <c r="B6" s="141">
        <f>B4/$E4</f>
        <v>0.6732789392740193</v>
      </c>
      <c r="C6" s="141">
        <f aca="true" t="shared" si="1" ref="C6:E7">C4/$E4</f>
        <v>0.21437733167009645</v>
      </c>
      <c r="D6" s="141">
        <f t="shared" si="1"/>
        <v>0.1123437290558842</v>
      </c>
      <c r="E6" s="141">
        <f t="shared" si="1"/>
        <v>1</v>
      </c>
      <c r="F6" s="141">
        <f>F4/$J4</f>
        <v>0.428240964935349</v>
      </c>
      <c r="G6" s="141">
        <f aca="true" t="shared" si="2" ref="G6:J7">G4/$J4</f>
        <v>0.37143472440466035</v>
      </c>
      <c r="H6" s="141">
        <f t="shared" si="2"/>
        <v>0.20032431065999057</v>
      </c>
      <c r="I6" s="141">
        <f t="shared" si="2"/>
        <v>0.7996756893400095</v>
      </c>
      <c r="J6" s="326">
        <f t="shared" si="2"/>
        <v>1</v>
      </c>
      <c r="K6" s="328" t="s">
        <v>577</v>
      </c>
      <c r="L6" s="141">
        <f>L5/L3-1</f>
        <v>0.17410394932900042</v>
      </c>
      <c r="M6" s="141">
        <f>M5/M3-1</f>
        <v>0.2533529792451623</v>
      </c>
      <c r="N6" s="141">
        <f>N5/N3-1</f>
        <v>0.36652354311815194</v>
      </c>
      <c r="O6" s="125"/>
    </row>
    <row r="7" spans="1:15" ht="16.5" thickBot="1">
      <c r="A7" s="122" t="s">
        <v>310</v>
      </c>
      <c r="B7" s="186">
        <f>B5/$E5</f>
        <v>0.667351501727655</v>
      </c>
      <c r="C7" s="186">
        <f t="shared" si="1"/>
        <v>0.21719354341027294</v>
      </c>
      <c r="D7" s="186">
        <f t="shared" si="1"/>
        <v>0.11545495486207216</v>
      </c>
      <c r="E7" s="186">
        <f t="shared" si="1"/>
        <v>1</v>
      </c>
      <c r="F7" s="186">
        <f>F5/$J5</f>
        <v>0.41249808654495096</v>
      </c>
      <c r="G7" s="186">
        <f t="shared" si="2"/>
        <v>0.3769869888650946</v>
      </c>
      <c r="H7" s="186">
        <f t="shared" si="2"/>
        <v>0.21051492458995427</v>
      </c>
      <c r="I7" s="186">
        <f t="shared" si="2"/>
        <v>0.7894850754100455</v>
      </c>
      <c r="J7" s="327">
        <f t="shared" si="2"/>
        <v>1</v>
      </c>
      <c r="K7" s="328" t="s">
        <v>578</v>
      </c>
      <c r="L7" s="330">
        <v>0.017583750631639916</v>
      </c>
      <c r="M7" s="330">
        <v>0.017583747998067268</v>
      </c>
      <c r="N7" s="330">
        <v>0.023947531816009504</v>
      </c>
      <c r="O7" s="330">
        <v>0.017824515760668506</v>
      </c>
    </row>
    <row r="8" spans="1:15" ht="15.75" thickBot="1">
      <c r="A8" s="418"/>
      <c r="B8" s="419"/>
      <c r="C8" s="419"/>
      <c r="D8" s="419"/>
      <c r="E8" s="419"/>
      <c r="F8" s="419"/>
      <c r="G8" s="419"/>
      <c r="H8" s="419"/>
      <c r="I8" s="419"/>
      <c r="J8" s="419"/>
      <c r="K8" s="328" t="s">
        <v>579</v>
      </c>
      <c r="L8" s="141">
        <f>L4/$O4</f>
        <v>0.6402809003191412</v>
      </c>
      <c r="M8" s="141">
        <f>M4/$O4</f>
        <v>0.18686688285158648</v>
      </c>
      <c r="N8" s="141">
        <f>N4/$O4</f>
        <v>0.17285221682927226</v>
      </c>
      <c r="O8" s="125"/>
    </row>
    <row r="9" spans="1:15" ht="15.75" thickBot="1">
      <c r="A9" s="110"/>
      <c r="B9" s="111" t="s">
        <v>311</v>
      </c>
      <c r="C9" s="112"/>
      <c r="D9" s="112"/>
      <c r="E9" s="112"/>
      <c r="F9" s="111" t="s">
        <v>312</v>
      </c>
      <c r="G9" s="112"/>
      <c r="H9" s="112"/>
      <c r="I9" s="112"/>
      <c r="J9" s="113"/>
      <c r="K9" s="319" t="s">
        <v>583</v>
      </c>
      <c r="L9" s="334">
        <f>'Summary for 5th Plan'!D3+'Summary for 5th Plan'!E3</f>
        <v>5497630.457272198</v>
      </c>
      <c r="M9" s="334">
        <f>'Summary for 5th Plan'!E4+'Summary for 5th Plan'!D4</f>
        <v>1338771.090978393</v>
      </c>
      <c r="N9" s="334">
        <f>'Summary for 5th Plan'!D5+'Summary for 5th Plan'!E5</f>
        <v>745573.481020835</v>
      </c>
      <c r="O9" s="334">
        <f>SUM(L9:N9)</f>
        <v>7581975.029271427</v>
      </c>
    </row>
    <row r="10" spans="1:14" ht="30.75" thickBot="1">
      <c r="A10" s="123" t="s">
        <v>38</v>
      </c>
      <c r="B10" s="115" t="s">
        <v>314</v>
      </c>
      <c r="C10" s="116" t="s">
        <v>315</v>
      </c>
      <c r="D10" s="116" t="s">
        <v>316</v>
      </c>
      <c r="E10" s="117" t="s">
        <v>81</v>
      </c>
      <c r="F10" s="118" t="s">
        <v>314</v>
      </c>
      <c r="G10" s="119" t="s">
        <v>315</v>
      </c>
      <c r="H10" s="119" t="s">
        <v>316</v>
      </c>
      <c r="I10" s="119" t="s">
        <v>317</v>
      </c>
      <c r="J10" s="120" t="s">
        <v>81</v>
      </c>
      <c r="K10" s="319" t="s">
        <v>574</v>
      </c>
      <c r="L10" s="273">
        <v>2750685.6846382543</v>
      </c>
      <c r="M10" s="273">
        <v>435809.5256743888</v>
      </c>
      <c r="N10" s="273">
        <v>289931.78968735685</v>
      </c>
    </row>
    <row r="11" spans="1:14" ht="15">
      <c r="A11" s="317">
        <v>1981</v>
      </c>
      <c r="B11" s="199">
        <f>'Starts by Utility Type'!C11</f>
        <v>32566</v>
      </c>
      <c r="C11" s="199">
        <f>'Starts by Utility Type'!C115</f>
        <v>10560</v>
      </c>
      <c r="D11" s="199">
        <f>'Starts by Utility Type'!C63</f>
        <v>12261</v>
      </c>
      <c r="E11" s="200">
        <f aca="true" t="shared" si="3" ref="E11:E55">SUM(B11:D11)</f>
        <v>55387</v>
      </c>
      <c r="F11" s="198">
        <f>'Starts by Utility Type'!D11</f>
        <v>20540.543726490207</v>
      </c>
      <c r="G11" s="199">
        <f>'Starts by Utility Type'!D115</f>
        <v>9258.044850766335</v>
      </c>
      <c r="H11" s="199">
        <f>'Starts by Utility Type'!D63</f>
        <v>11757.232826086956</v>
      </c>
      <c r="I11" s="199">
        <f aca="true" t="shared" si="4" ref="I11:I55">F11+G11</f>
        <v>29798.58857725654</v>
      </c>
      <c r="J11" s="200">
        <f aca="true" t="shared" si="5" ref="J11:J55">SUM(F11:H11)</f>
        <v>41555.8214033435</v>
      </c>
      <c r="K11" s="114">
        <v>1</v>
      </c>
      <c r="L11" s="320">
        <v>2783251.6846382543</v>
      </c>
      <c r="M11" s="320">
        <v>446369.5256743888</v>
      </c>
      <c r="N11" s="320">
        <v>302192.78968735685</v>
      </c>
    </row>
    <row r="12" spans="1:14" ht="15">
      <c r="A12" s="149">
        <v>1982</v>
      </c>
      <c r="B12" s="124">
        <f>'Starts by Utility Type'!C12</f>
        <v>22291</v>
      </c>
      <c r="C12" s="124">
        <f>'Starts by Utility Type'!C116</f>
        <v>7405</v>
      </c>
      <c r="D12" s="124">
        <f>'Starts by Utility Type'!C64</f>
        <v>8758</v>
      </c>
      <c r="E12" s="201">
        <f t="shared" si="3"/>
        <v>38454</v>
      </c>
      <c r="F12" s="305">
        <f>'Starts by Utility Type'!D12</f>
        <v>14215.49558494784</v>
      </c>
      <c r="G12" s="126">
        <f>'Starts by Utility Type'!D116</f>
        <v>6499.024246814839</v>
      </c>
      <c r="H12" s="126">
        <f>'Starts by Utility Type'!D64</f>
        <v>8493.814456459875</v>
      </c>
      <c r="I12" s="126">
        <f t="shared" si="4"/>
        <v>20714.51983176268</v>
      </c>
      <c r="J12" s="201">
        <f t="shared" si="5"/>
        <v>29208.334288222555</v>
      </c>
      <c r="K12" s="114">
        <v>2</v>
      </c>
      <c r="L12" s="320">
        <v>2805542.6846382543</v>
      </c>
      <c r="M12" s="320">
        <v>453774.5256743888</v>
      </c>
      <c r="N12" s="320">
        <v>310950.78968735685</v>
      </c>
    </row>
    <row r="13" spans="1:14" ht="15">
      <c r="A13" s="149">
        <v>1983</v>
      </c>
      <c r="B13" s="124">
        <f>'Starts by Utility Type'!C13</f>
        <v>34528</v>
      </c>
      <c r="C13" s="124">
        <f>'Starts by Utility Type'!C117</f>
        <v>8743</v>
      </c>
      <c r="D13" s="124">
        <f>'Starts by Utility Type'!C65</f>
        <v>12114</v>
      </c>
      <c r="E13" s="201">
        <f t="shared" si="3"/>
        <v>55385</v>
      </c>
      <c r="F13" s="305">
        <f>'Starts by Utility Type'!D13</f>
        <v>21844.3499247413</v>
      </c>
      <c r="G13" s="126">
        <f>'Starts by Utility Type'!D117</f>
        <v>7697.982547816624</v>
      </c>
      <c r="H13" s="126">
        <f>'Starts by Utility Type'!D65</f>
        <v>11695.196900456984</v>
      </c>
      <c r="I13" s="126">
        <f t="shared" si="4"/>
        <v>29542.332472557922</v>
      </c>
      <c r="J13" s="201">
        <f t="shared" si="5"/>
        <v>41237.529373014906</v>
      </c>
      <c r="K13" s="114">
        <v>3</v>
      </c>
      <c r="L13" s="320">
        <v>2840070.6846382543</v>
      </c>
      <c r="M13" s="320">
        <v>462517.5256743888</v>
      </c>
      <c r="N13" s="320">
        <v>323064.78968735685</v>
      </c>
    </row>
    <row r="14" spans="1:14" ht="15">
      <c r="A14" s="149">
        <v>1984</v>
      </c>
      <c r="B14" s="124">
        <f>'Starts by Utility Type'!C14</f>
        <v>32063</v>
      </c>
      <c r="C14" s="124">
        <f>'Starts by Utility Type'!C118</f>
        <v>13491</v>
      </c>
      <c r="D14" s="124">
        <f>'Starts by Utility Type'!C66</f>
        <v>11892</v>
      </c>
      <c r="E14" s="201">
        <f t="shared" si="3"/>
        <v>57446</v>
      </c>
      <c r="F14" s="305">
        <f>'Starts by Utility Type'!D14</f>
        <v>19802.098572567782</v>
      </c>
      <c r="G14" s="126">
        <f>'Starts by Utility Type'!D118</f>
        <v>11771.619985459758</v>
      </c>
      <c r="H14" s="126">
        <f>'Starts by Utility Type'!D66</f>
        <v>11415.67413441955</v>
      </c>
      <c r="I14" s="126">
        <f t="shared" si="4"/>
        <v>31573.71855802754</v>
      </c>
      <c r="J14" s="201">
        <f t="shared" si="5"/>
        <v>42989.39269244709</v>
      </c>
      <c r="K14" s="114">
        <v>4</v>
      </c>
      <c r="L14" s="320">
        <v>2872133.6846382543</v>
      </c>
      <c r="M14" s="320">
        <v>476008.5256743888</v>
      </c>
      <c r="N14" s="320">
        <v>334956.78968735685</v>
      </c>
    </row>
    <row r="15" spans="1:14" ht="15">
      <c r="A15" s="149">
        <v>1985</v>
      </c>
      <c r="B15" s="124">
        <f>'Starts by Utility Type'!C15</f>
        <v>30862</v>
      </c>
      <c r="C15" s="124">
        <f>'Starts by Utility Type'!C119</f>
        <v>20845</v>
      </c>
      <c r="D15" s="124">
        <f>'Starts by Utility Type'!C67</f>
        <v>10090</v>
      </c>
      <c r="E15" s="201">
        <f t="shared" si="3"/>
        <v>61797</v>
      </c>
      <c r="F15" s="305">
        <f>'Starts by Utility Type'!D15</f>
        <v>18720.888045902866</v>
      </c>
      <c r="G15" s="126">
        <f>'Starts by Utility Type'!D119</f>
        <v>17972.842460573298</v>
      </c>
      <c r="H15" s="126">
        <f>'Starts by Utility Type'!D67</f>
        <v>9740.708563799351</v>
      </c>
      <c r="I15" s="126">
        <f t="shared" si="4"/>
        <v>36693.73050647616</v>
      </c>
      <c r="J15" s="201">
        <f t="shared" si="5"/>
        <v>46434.43907027551</v>
      </c>
      <c r="K15" s="114">
        <v>5</v>
      </c>
      <c r="L15" s="320">
        <v>2902995.6846382543</v>
      </c>
      <c r="M15" s="320">
        <v>496853.5256743888</v>
      </c>
      <c r="N15" s="320">
        <v>345046.78968735685</v>
      </c>
    </row>
    <row r="16" spans="1:14" ht="15">
      <c r="A16" s="149">
        <v>1986</v>
      </c>
      <c r="B16" s="124">
        <f>'Starts by Utility Type'!C16</f>
        <v>33402</v>
      </c>
      <c r="C16" s="124">
        <f>'Starts by Utility Type'!C120</f>
        <v>18672</v>
      </c>
      <c r="D16" s="124">
        <f>'Starts by Utility Type'!C68</f>
        <v>8352</v>
      </c>
      <c r="E16" s="201">
        <f t="shared" si="3"/>
        <v>60426</v>
      </c>
      <c r="F16" s="305">
        <f>'Starts by Utility Type'!D16</f>
        <v>18543.300755820186</v>
      </c>
      <c r="G16" s="126">
        <f>'Starts by Utility Type'!D120</f>
        <v>15994.744293415384</v>
      </c>
      <c r="H16" s="126">
        <f>'Starts by Utility Type'!D68</f>
        <v>8018.776615384615</v>
      </c>
      <c r="I16" s="126">
        <f t="shared" si="4"/>
        <v>34538.045049235574</v>
      </c>
      <c r="J16" s="201">
        <f t="shared" si="5"/>
        <v>42556.82166462019</v>
      </c>
      <c r="K16" s="114">
        <v>6</v>
      </c>
      <c r="L16" s="320">
        <v>2936397.6846382543</v>
      </c>
      <c r="M16" s="320">
        <v>515525.5256743888</v>
      </c>
      <c r="N16" s="320">
        <v>353398.78968735685</v>
      </c>
    </row>
    <row r="17" spans="1:14" ht="15">
      <c r="A17" s="149">
        <v>1987</v>
      </c>
      <c r="B17" s="124">
        <f>'Starts by Utility Type'!C17</f>
        <v>33691</v>
      </c>
      <c r="C17" s="124">
        <f>'Starts by Utility Type'!C121</f>
        <v>20863</v>
      </c>
      <c r="D17" s="124">
        <f>'Starts by Utility Type'!C69</f>
        <v>7902</v>
      </c>
      <c r="E17" s="201">
        <f t="shared" si="3"/>
        <v>62456</v>
      </c>
      <c r="F17" s="305">
        <f>'Starts by Utility Type'!D17</f>
        <v>16364.792941534679</v>
      </c>
      <c r="G17" s="126">
        <f>'Starts by Utility Type'!D121</f>
        <v>17598.931126832376</v>
      </c>
      <c r="H17" s="126">
        <f>'Starts by Utility Type'!D69</f>
        <v>7533.926644437709</v>
      </c>
      <c r="I17" s="126">
        <f t="shared" si="4"/>
        <v>33963.72406836705</v>
      </c>
      <c r="J17" s="201">
        <f t="shared" si="5"/>
        <v>41497.65071280476</v>
      </c>
      <c r="K17" s="114">
        <v>7</v>
      </c>
      <c r="L17" s="320">
        <v>2970088.6846382543</v>
      </c>
      <c r="M17" s="320">
        <v>536388.5256743887</v>
      </c>
      <c r="N17" s="320">
        <v>361300.78968735685</v>
      </c>
    </row>
    <row r="18" spans="1:14" ht="15">
      <c r="A18" s="149">
        <v>1988</v>
      </c>
      <c r="B18" s="124">
        <f>'Starts by Utility Type'!C18</f>
        <v>37193</v>
      </c>
      <c r="C18" s="124">
        <f>'Starts by Utility Type'!C122</f>
        <v>25943</v>
      </c>
      <c r="D18" s="124">
        <f>'Starts by Utility Type'!C70</f>
        <v>9049</v>
      </c>
      <c r="E18" s="201">
        <f t="shared" si="3"/>
        <v>72185</v>
      </c>
      <c r="F18" s="305">
        <f>'Starts by Utility Type'!D18</f>
        <v>17847.417584706902</v>
      </c>
      <c r="G18" s="126">
        <f>'Starts by Utility Type'!D122</f>
        <v>21709.3152856989</v>
      </c>
      <c r="H18" s="126">
        <f>'Starts by Utility Type'!D70</f>
        <v>8649.0703991615</v>
      </c>
      <c r="I18" s="126">
        <f t="shared" si="4"/>
        <v>39556.7328704058</v>
      </c>
      <c r="J18" s="201">
        <f t="shared" si="5"/>
        <v>48205.8032695673</v>
      </c>
      <c r="K18" s="114">
        <v>8</v>
      </c>
      <c r="L18" s="320">
        <v>3007281.6846382543</v>
      </c>
      <c r="M18" s="320">
        <v>562331.5256743887</v>
      </c>
      <c r="N18" s="320">
        <v>370349.78968735685</v>
      </c>
    </row>
    <row r="19" spans="1:14" ht="15">
      <c r="A19" s="149">
        <v>1989</v>
      </c>
      <c r="B19" s="124">
        <f>'Starts by Utility Type'!C19</f>
        <v>45742</v>
      </c>
      <c r="C19" s="124">
        <f>'Starts by Utility Type'!C123</f>
        <v>31092</v>
      </c>
      <c r="D19" s="124">
        <f>'Starts by Utility Type'!C71</f>
        <v>9967</v>
      </c>
      <c r="E19" s="201">
        <f t="shared" si="3"/>
        <v>86801</v>
      </c>
      <c r="F19" s="305">
        <f>'Starts by Utility Type'!D19</f>
        <v>21650.983024037698</v>
      </c>
      <c r="G19" s="126">
        <f>'Starts by Utility Type'!D123</f>
        <v>25962.04850563449</v>
      </c>
      <c r="H19" s="126">
        <f>'Starts by Utility Type'!D71</f>
        <v>9519.258717230849</v>
      </c>
      <c r="I19" s="126">
        <f t="shared" si="4"/>
        <v>47613.03152967219</v>
      </c>
      <c r="J19" s="201">
        <f t="shared" si="5"/>
        <v>57132.29024690304</v>
      </c>
      <c r="K19" s="114">
        <v>9</v>
      </c>
      <c r="L19" s="320">
        <v>3053023.6846382543</v>
      </c>
      <c r="M19" s="320">
        <v>593423.5256743887</v>
      </c>
      <c r="N19" s="320">
        <v>380316.78968735685</v>
      </c>
    </row>
    <row r="20" spans="1:14" ht="15">
      <c r="A20" s="149">
        <v>1990</v>
      </c>
      <c r="B20" s="124">
        <f>'Starts by Utility Type'!C20</f>
        <v>52037</v>
      </c>
      <c r="C20" s="124">
        <f>'Starts by Utility Type'!C124</f>
        <v>26203</v>
      </c>
      <c r="D20" s="124">
        <f>'Starts by Utility Type'!C72</f>
        <v>11875</v>
      </c>
      <c r="E20" s="201">
        <f t="shared" si="3"/>
        <v>90115</v>
      </c>
      <c r="F20" s="305">
        <f>'Starts by Utility Type'!D20</f>
        <v>27295.337864963374</v>
      </c>
      <c r="G20" s="126">
        <f>'Starts by Utility Type'!D124</f>
        <v>21921.49318295971</v>
      </c>
      <c r="H20" s="126">
        <f>'Starts by Utility Type'!D72</f>
        <v>11479.575163398693</v>
      </c>
      <c r="I20" s="126">
        <f t="shared" si="4"/>
        <v>49216.831047923086</v>
      </c>
      <c r="J20" s="201">
        <f t="shared" si="5"/>
        <v>60696.40621132178</v>
      </c>
      <c r="K20" s="114">
        <v>10</v>
      </c>
      <c r="L20" s="320">
        <v>3105060.6846382543</v>
      </c>
      <c r="M20" s="320">
        <v>619626.5256743887</v>
      </c>
      <c r="N20" s="320">
        <v>392191.78968735685</v>
      </c>
    </row>
    <row r="21" spans="1:15" ht="15">
      <c r="A21" s="149">
        <v>1991</v>
      </c>
      <c r="B21" s="124">
        <f>'Starts by Utility Type'!C21</f>
        <v>45425</v>
      </c>
      <c r="C21" s="124">
        <f>'Starts by Utility Type'!C125</f>
        <v>12235</v>
      </c>
      <c r="D21" s="124">
        <f>'Starts by Utility Type'!C73</f>
        <v>11815</v>
      </c>
      <c r="E21" s="201">
        <f t="shared" si="3"/>
        <v>69475</v>
      </c>
      <c r="F21" s="305">
        <f>'Starts by Utility Type'!D21</f>
        <v>22140.425554380636</v>
      </c>
      <c r="G21" s="126">
        <f>'Starts by Utility Type'!D125</f>
        <v>10021.57179956944</v>
      </c>
      <c r="H21" s="126">
        <f>'Starts by Utility Type'!D73</f>
        <v>11320.16478785032</v>
      </c>
      <c r="I21" s="126">
        <f t="shared" si="4"/>
        <v>32161.997353950075</v>
      </c>
      <c r="J21" s="201">
        <f t="shared" si="5"/>
        <v>43482.16214180039</v>
      </c>
      <c r="K21" s="114">
        <v>11</v>
      </c>
      <c r="L21" s="332">
        <v>3150485.6846382543</v>
      </c>
      <c r="M21" s="332">
        <v>631861.5256743887</v>
      </c>
      <c r="N21" s="332">
        <v>404006.78968735685</v>
      </c>
      <c r="O21" s="333"/>
    </row>
    <row r="22" spans="1:14" ht="15">
      <c r="A22" s="149">
        <v>1992</v>
      </c>
      <c r="B22" s="124">
        <f>'Starts by Utility Type'!C22</f>
        <v>56149</v>
      </c>
      <c r="C22" s="124">
        <f>'Starts by Utility Type'!C126</f>
        <v>12590</v>
      </c>
      <c r="D22" s="124">
        <f>'Starts by Utility Type'!C74</f>
        <v>13784</v>
      </c>
      <c r="E22" s="201">
        <f t="shared" si="3"/>
        <v>82523</v>
      </c>
      <c r="F22" s="305">
        <f>'Starts by Utility Type'!D22</f>
        <v>27112.19167121219</v>
      </c>
      <c r="G22" s="126">
        <f>'Starts by Utility Type'!D126</f>
        <v>11307.416562236978</v>
      </c>
      <c r="H22" s="126">
        <f>'Starts by Utility Type'!D74</f>
        <v>13130.13929526124</v>
      </c>
      <c r="I22" s="126">
        <f t="shared" si="4"/>
        <v>38419.608233449166</v>
      </c>
      <c r="J22" s="201">
        <f t="shared" si="5"/>
        <v>51549.7475287104</v>
      </c>
      <c r="K22" s="114">
        <v>12</v>
      </c>
      <c r="L22" s="320">
        <v>3207175.2132366216</v>
      </c>
      <c r="M22" s="320">
        <v>647916.4178588415</v>
      </c>
      <c r="N22" s="320">
        <v>420088.53050050576</v>
      </c>
    </row>
    <row r="23" spans="1:14" ht="15">
      <c r="A23" s="149">
        <v>1993</v>
      </c>
      <c r="B23" s="124">
        <f>'Starts by Utility Type'!C23</f>
        <v>62224</v>
      </c>
      <c r="C23" s="124">
        <f>'Starts by Utility Type'!C127</f>
        <v>14604</v>
      </c>
      <c r="D23" s="124">
        <f>'Starts by Utility Type'!C75</f>
        <v>17535</v>
      </c>
      <c r="E23" s="201">
        <f t="shared" si="3"/>
        <v>94363</v>
      </c>
      <c r="F23" s="305">
        <f>'Starts by Utility Type'!D23</f>
        <v>27025.258392747914</v>
      </c>
      <c r="G23" s="126">
        <f>'Starts by Utility Type'!D127</f>
        <v>12856.958650717705</v>
      </c>
      <c r="H23" s="126">
        <f>'Starts by Utility Type'!D75</f>
        <v>16703.206075334143</v>
      </c>
      <c r="I23" s="126">
        <f t="shared" si="4"/>
        <v>39882.217043465615</v>
      </c>
      <c r="J23" s="201">
        <f t="shared" si="5"/>
        <v>56585.42311879976</v>
      </c>
      <c r="K23" s="114">
        <v>13</v>
      </c>
      <c r="L23" s="320">
        <v>3264884.807619885</v>
      </c>
      <c r="M23" s="320">
        <v>664379.2468341588</v>
      </c>
      <c r="N23" s="320">
        <v>436810.414980006</v>
      </c>
    </row>
    <row r="24" spans="1:14" ht="15">
      <c r="A24" s="149">
        <v>1994</v>
      </c>
      <c r="B24" s="124">
        <f>'Starts by Utility Type'!C24</f>
        <v>65982</v>
      </c>
      <c r="C24" s="124">
        <f>'Starts by Utility Type'!C128</f>
        <v>17764</v>
      </c>
      <c r="D24" s="124">
        <f>'Starts by Utility Type'!C76</f>
        <v>20512</v>
      </c>
      <c r="E24" s="201">
        <f t="shared" si="3"/>
        <v>104258</v>
      </c>
      <c r="F24" s="305">
        <f>'Starts by Utility Type'!D24</f>
        <v>29424.679322724107</v>
      </c>
      <c r="G24" s="126">
        <f>'Starts by Utility Type'!D128</f>
        <v>15634.76071586676</v>
      </c>
      <c r="H24" s="126">
        <f>'Starts by Utility Type'!D76</f>
        <v>19356.663330617946</v>
      </c>
      <c r="I24" s="126">
        <f t="shared" si="4"/>
        <v>45059.44003859087</v>
      </c>
      <c r="J24" s="201">
        <f t="shared" si="5"/>
        <v>64416.10336920881</v>
      </c>
      <c r="K24" s="114">
        <v>14</v>
      </c>
      <c r="L24" s="320">
        <v>3323632.8227511435</v>
      </c>
      <c r="M24" s="320">
        <v>681260.3778163402</v>
      </c>
      <c r="N24" s="320">
        <v>454197.92444148945</v>
      </c>
    </row>
    <row r="25" spans="1:14" ht="15">
      <c r="A25" s="149">
        <v>1995</v>
      </c>
      <c r="B25" s="124">
        <f>'Starts by Utility Type'!C25</f>
        <v>58906</v>
      </c>
      <c r="C25" s="124">
        <f>'Starts by Utility Type'!C129</f>
        <v>19201</v>
      </c>
      <c r="D25" s="124">
        <f>'Starts by Utility Type'!C77</f>
        <v>19641</v>
      </c>
      <c r="E25" s="201">
        <f t="shared" si="3"/>
        <v>97748</v>
      </c>
      <c r="F25" s="305">
        <f>'Starts by Utility Type'!D25</f>
        <v>26456.690307387355</v>
      </c>
      <c r="G25" s="126">
        <f>'Starts by Utility Type'!D129</f>
        <v>17173.75004357994</v>
      </c>
      <c r="H25" s="126">
        <f>'Starts by Utility Type'!D77</f>
        <v>18530.30297020124</v>
      </c>
      <c r="I25" s="126">
        <f t="shared" si="4"/>
        <v>43630.4403509673</v>
      </c>
      <c r="J25" s="201">
        <f t="shared" si="5"/>
        <v>62160.74332116854</v>
      </c>
      <c r="K25" s="114">
        <v>15</v>
      </c>
      <c r="L25" s="320">
        <v>3383437.9438708914</v>
      </c>
      <c r="M25" s="320">
        <v>698570.4393898902</v>
      </c>
      <c r="N25" s="320">
        <v>472277.5545001592</v>
      </c>
    </row>
    <row r="26" spans="1:14" ht="15">
      <c r="A26" s="149">
        <v>1996</v>
      </c>
      <c r="B26" s="124">
        <f>'Starts by Utility Type'!C26</f>
        <v>61519</v>
      </c>
      <c r="C26" s="124">
        <f>'Starts by Utility Type'!C130</f>
        <v>19396</v>
      </c>
      <c r="D26" s="124">
        <f>'Starts by Utility Type'!C78</f>
        <v>17125</v>
      </c>
      <c r="E26" s="201">
        <f t="shared" si="3"/>
        <v>98040</v>
      </c>
      <c r="F26" s="305">
        <f>'Starts by Utility Type'!D26</f>
        <v>27907.082635031904</v>
      </c>
      <c r="G26" s="126">
        <f>'Starts by Utility Type'!D130</f>
        <v>17513.898896188974</v>
      </c>
      <c r="H26" s="126">
        <f>'Starts by Utility Type'!D78</f>
        <v>16166.799949225693</v>
      </c>
      <c r="I26" s="126">
        <f t="shared" si="4"/>
        <v>45420.98153122088</v>
      </c>
      <c r="J26" s="201">
        <f t="shared" si="5"/>
        <v>61587.781480446574</v>
      </c>
      <c r="K26" s="114">
        <v>16</v>
      </c>
      <c r="L26" s="320">
        <v>3444319.1924399966</v>
      </c>
      <c r="M26" s="320">
        <v>716320.3301997161</v>
      </c>
      <c r="N26" s="320">
        <v>491076.8554456132</v>
      </c>
    </row>
    <row r="27" spans="1:14" ht="15">
      <c r="A27" s="149">
        <v>1997</v>
      </c>
      <c r="B27" s="124">
        <f>'Starts by Utility Type'!C27</f>
        <v>61143</v>
      </c>
      <c r="C27" s="124">
        <f>'Starts by Utility Type'!C131</f>
        <v>19755</v>
      </c>
      <c r="D27" s="124">
        <f>'Starts by Utility Type'!C79</f>
        <v>17301</v>
      </c>
      <c r="E27" s="201">
        <f t="shared" si="3"/>
        <v>98199</v>
      </c>
      <c r="F27" s="305">
        <f>'Starts by Utility Type'!D27</f>
        <v>23485.33544045745</v>
      </c>
      <c r="G27" s="126">
        <f>'Starts by Utility Type'!D131</f>
        <v>16093.085758011988</v>
      </c>
      <c r="H27" s="126">
        <f>'Starts by Utility Type'!D79</f>
        <v>16089.93</v>
      </c>
      <c r="I27" s="126">
        <f t="shared" si="4"/>
        <v>39578.42119846944</v>
      </c>
      <c r="J27" s="201">
        <f t="shared" si="5"/>
        <v>55668.35119846944</v>
      </c>
      <c r="K27" s="114">
        <v>17</v>
      </c>
      <c r="L27" s="320">
        <v>3506295.932189618</v>
      </c>
      <c r="M27" s="320">
        <v>734521.2258130605</v>
      </c>
      <c r="N27" s="320">
        <v>510624.4742238124</v>
      </c>
    </row>
    <row r="28" spans="1:14" ht="15">
      <c r="A28" s="149">
        <v>1998</v>
      </c>
      <c r="B28" s="124">
        <f>'Starts by Utility Type'!C28</f>
        <v>63418</v>
      </c>
      <c r="C28" s="124">
        <f>'Starts by Utility Type'!C132</f>
        <v>22391</v>
      </c>
      <c r="D28" s="124">
        <f>'Starts by Utility Type'!C80</f>
        <v>17996</v>
      </c>
      <c r="E28" s="201">
        <f t="shared" si="3"/>
        <v>103805</v>
      </c>
      <c r="F28" s="305">
        <f>'Starts by Utility Type'!D28</f>
        <v>24504.933205296344</v>
      </c>
      <c r="G28" s="126">
        <f>'Starts by Utility Type'!D132</f>
        <v>18242.05824233556</v>
      </c>
      <c r="H28" s="126">
        <f>'Starts by Utility Type'!D80</f>
        <v>16556.32</v>
      </c>
      <c r="I28" s="126">
        <f t="shared" si="4"/>
        <v>42746.9914476319</v>
      </c>
      <c r="J28" s="201">
        <f t="shared" si="5"/>
        <v>59303.3114476319</v>
      </c>
      <c r="K28" s="114">
        <v>18</v>
      </c>
      <c r="L28" s="320">
        <v>3569387.875279981</v>
      </c>
      <c r="M28" s="320">
        <v>753184.5857557859</v>
      </c>
      <c r="N28" s="320">
        <v>530950.1980901674</v>
      </c>
    </row>
    <row r="29" spans="1:14" ht="15">
      <c r="A29" s="149">
        <v>1999</v>
      </c>
      <c r="B29" s="124">
        <f>'Starts by Utility Type'!C29</f>
        <v>62069</v>
      </c>
      <c r="C29" s="124">
        <f>'Starts by Utility Type'!C133</f>
        <v>18864</v>
      </c>
      <c r="D29" s="124">
        <f>'Starts by Utility Type'!C81</f>
        <v>14620</v>
      </c>
      <c r="E29" s="201">
        <f t="shared" si="3"/>
        <v>95553</v>
      </c>
      <c r="F29" s="305">
        <f>'Starts by Utility Type'!D29</f>
        <v>24161.326428783173</v>
      </c>
      <c r="G29" s="126">
        <f>'Starts by Utility Type'!D133</f>
        <v>17105</v>
      </c>
      <c r="H29" s="126">
        <f>'Starts by Utility Type'!D81</f>
        <v>13158</v>
      </c>
      <c r="I29" s="126">
        <f t="shared" si="4"/>
        <v>41266.32642878317</v>
      </c>
      <c r="J29" s="201">
        <f t="shared" si="5"/>
        <v>54424.32642878317</v>
      </c>
      <c r="K29" s="114">
        <v>19</v>
      </c>
      <c r="L29" s="320">
        <v>3633615.08856998</v>
      </c>
      <c r="M29" s="320">
        <v>772322.1607274456</v>
      </c>
      <c r="N29" s="320">
        <v>552085.0000002634</v>
      </c>
    </row>
    <row r="30" spans="1:15" ht="15">
      <c r="A30" s="149">
        <v>2000</v>
      </c>
      <c r="B30" s="124">
        <f>'Starts by Utility Type'!C30</f>
        <v>57102</v>
      </c>
      <c r="C30" s="124">
        <f>'Starts by Utility Type'!C134</f>
        <v>15519</v>
      </c>
      <c r="D30" s="124">
        <f>'Starts by Utility Type'!C82</f>
        <v>9564</v>
      </c>
      <c r="E30" s="201">
        <f t="shared" si="3"/>
        <v>82185</v>
      </c>
      <c r="F30" s="305">
        <f>'Starts by Utility Type'!D30</f>
        <v>22334.27962647035</v>
      </c>
      <c r="G30" s="126">
        <f>'Starts by Utility Type'!D134</f>
        <v>16733</v>
      </c>
      <c r="H30" s="126">
        <f>'Starts by Utility Type'!D82</f>
        <v>8416.32</v>
      </c>
      <c r="I30" s="126">
        <f t="shared" si="4"/>
        <v>39067.27962647035</v>
      </c>
      <c r="J30" s="201">
        <f t="shared" si="5"/>
        <v>47483.59962647035</v>
      </c>
      <c r="K30" s="114">
        <v>20</v>
      </c>
      <c r="L30" s="320">
        <f>'Summary for 5th Plan'!B3</f>
        <v>3603683</v>
      </c>
      <c r="M30" s="320">
        <f>'Summary for 5th Plan'!B4</f>
        <v>768740</v>
      </c>
      <c r="N30" s="320">
        <f>'Summary for 5th Plan'!B5</f>
        <v>461902</v>
      </c>
      <c r="O30" s="320">
        <f>SUM(L30:N30)</f>
        <v>4834325</v>
      </c>
    </row>
    <row r="31" spans="1:15" ht="15">
      <c r="A31" s="150">
        <v>2001</v>
      </c>
      <c r="B31" s="128">
        <f>'Starts by Utility Type'!C31</f>
        <v>58350</v>
      </c>
      <c r="C31" s="128">
        <f>'Starts by Utility Type'!C135</f>
        <v>15741</v>
      </c>
      <c r="D31" s="128">
        <f>'Starts by Utility Type'!C83</f>
        <v>7283</v>
      </c>
      <c r="E31" s="203">
        <f t="shared" si="3"/>
        <v>81374</v>
      </c>
      <c r="F31" s="202">
        <f>'Starts by Utility Type'!D31</f>
        <v>23001.55150119279</v>
      </c>
      <c r="G31" s="128">
        <f>'Starts by Utility Type'!D135</f>
        <v>17023</v>
      </c>
      <c r="H31" s="128">
        <f>'Starts by Utility Type'!D83</f>
        <v>6263.38</v>
      </c>
      <c r="I31" s="128">
        <f t="shared" si="4"/>
        <v>40024.55150119279</v>
      </c>
      <c r="J31" s="203">
        <f t="shared" si="5"/>
        <v>46287.93150119279</v>
      </c>
      <c r="K31" s="114">
        <v>1</v>
      </c>
      <c r="L31" s="320">
        <f>L30*(1+L$7)</f>
        <v>3667049.26322748</v>
      </c>
      <c r="M31" s="320">
        <f aca="true" t="shared" si="6" ref="M31:O46">M30*(1+M$7)</f>
        <v>782257.3304360341</v>
      </c>
      <c r="N31" s="320">
        <f t="shared" si="6"/>
        <v>472963.4128408785</v>
      </c>
      <c r="O31" s="320">
        <f t="shared" si="6"/>
        <v>4920494.502154694</v>
      </c>
    </row>
    <row r="32" spans="1:15" ht="15">
      <c r="A32" s="150">
        <v>2002</v>
      </c>
      <c r="B32" s="128">
        <f>'Starts by Utility Type'!C32</f>
        <v>59079.375</v>
      </c>
      <c r="C32" s="128">
        <f>'Starts by Utility Type'!C136</f>
        <v>16142.702839455847</v>
      </c>
      <c r="D32" s="128">
        <f>'Starts by Utility Type'!C84</f>
        <v>7537.905</v>
      </c>
      <c r="E32" s="203">
        <f t="shared" si="3"/>
        <v>82759.98283945584</v>
      </c>
      <c r="F32" s="202">
        <f>'Starts by Utility Type'!D32</f>
        <v>23296.41146857373</v>
      </c>
      <c r="G32" s="128">
        <f>'Starts by Utility Type'!D136</f>
        <v>16542</v>
      </c>
      <c r="H32" s="128">
        <f>'Starts by Utility Type'!D84</f>
        <v>6331.8402</v>
      </c>
      <c r="I32" s="128">
        <f t="shared" si="4"/>
        <v>39838.41146857373</v>
      </c>
      <c r="J32" s="203">
        <f t="shared" si="5"/>
        <v>46170.25166857373</v>
      </c>
      <c r="K32" s="114">
        <v>2</v>
      </c>
      <c r="L32" s="320">
        <f aca="true" t="shared" si="7" ref="L32:O55">L31*(1+L$7)</f>
        <v>3731529.7430260107</v>
      </c>
      <c r="M32" s="320">
        <f t="shared" si="6"/>
        <v>796012.3462040621</v>
      </c>
      <c r="N32" s="320">
        <f t="shared" si="6"/>
        <v>484289.7192176939</v>
      </c>
      <c r="O32" s="320">
        <f t="shared" si="6"/>
        <v>5008199.933958633</v>
      </c>
    </row>
    <row r="33" spans="1:15" ht="15">
      <c r="A33" s="150">
        <v>2003</v>
      </c>
      <c r="B33" s="128">
        <f>'Starts by Utility Type'!C33</f>
        <v>59817.8671875</v>
      </c>
      <c r="C33" s="128">
        <f>'Starts by Utility Type'!C137</f>
        <v>16554.656944474675</v>
      </c>
      <c r="D33" s="128">
        <f>'Starts by Utility Type'!C85</f>
        <v>7801.731674999999</v>
      </c>
      <c r="E33" s="203">
        <f t="shared" si="3"/>
        <v>84174.25580697467</v>
      </c>
      <c r="F33" s="202">
        <f>'Starts by Utility Type'!D33</f>
        <v>21833.588819656412</v>
      </c>
      <c r="G33" s="128">
        <f>'Starts by Utility Type'!D137</f>
        <v>13320.39936720681</v>
      </c>
      <c r="H33" s="128">
        <f>'Starts by Utility Type'!D85</f>
        <v>6686.521293615302</v>
      </c>
      <c r="I33" s="128">
        <f t="shared" si="4"/>
        <v>35153.98818686322</v>
      </c>
      <c r="J33" s="203">
        <f t="shared" si="5"/>
        <v>41840.509480478526</v>
      </c>
      <c r="K33" s="114">
        <v>3</v>
      </c>
      <c r="L33" s="320">
        <f t="shared" si="7"/>
        <v>3797144.0315019274</v>
      </c>
      <c r="M33" s="320">
        <f t="shared" si="6"/>
        <v>810009.2267030645</v>
      </c>
      <c r="N33" s="320">
        <f t="shared" si="6"/>
        <v>495887.262676826</v>
      </c>
      <c r="O33" s="320">
        <f t="shared" si="6"/>
        <v>5097468.672614058</v>
      </c>
    </row>
    <row r="34" spans="1:15" ht="15">
      <c r="A34" s="150">
        <v>2004</v>
      </c>
      <c r="B34" s="128">
        <f>'Starts by Utility Type'!C34</f>
        <v>60565.590527343746</v>
      </c>
      <c r="C34" s="128">
        <f>'Starts by Utility Type'!C138</f>
        <v>16977.123922481976</v>
      </c>
      <c r="D34" s="128">
        <f>'Starts by Utility Type'!C86</f>
        <v>8074.792283624998</v>
      </c>
      <c r="E34" s="203">
        <f t="shared" si="3"/>
        <v>85617.50673345072</v>
      </c>
      <c r="F34" s="202">
        <f>'Starts by Utility Type'!D34</f>
        <v>21561.623125730373</v>
      </c>
      <c r="G34" s="128">
        <f>'Starts by Utility Type'!D138</f>
        <v>13546.86939321687</v>
      </c>
      <c r="H34" s="128">
        <f>'Starts by Utility Type'!D86</f>
        <v>6805.593576799536</v>
      </c>
      <c r="I34" s="128">
        <f t="shared" si="4"/>
        <v>35108.49251894724</v>
      </c>
      <c r="J34" s="203">
        <f t="shared" si="5"/>
        <v>41914.08609574678</v>
      </c>
      <c r="K34" s="114">
        <v>4</v>
      </c>
      <c r="L34" s="320">
        <f t="shared" si="7"/>
        <v>3863912.065264277</v>
      </c>
      <c r="M34" s="320">
        <f t="shared" si="6"/>
        <v>824252.2248215205</v>
      </c>
      <c r="N34" s="320">
        <f t="shared" si="6"/>
        <v>507762.5386769332</v>
      </c>
      <c r="O34" s="320">
        <f t="shared" si="6"/>
        <v>5188328.58330858</v>
      </c>
    </row>
    <row r="35" spans="1:15" ht="15">
      <c r="A35" s="150">
        <v>2005</v>
      </c>
      <c r="B35" s="128">
        <f>'Starts by Utility Type'!C35</f>
        <v>61322.66040893554</v>
      </c>
      <c r="C35" s="128">
        <f>'Starts by Utility Type'!C139</f>
        <v>17410.37205700042</v>
      </c>
      <c r="D35" s="128">
        <f>'Starts by Utility Type'!C87</f>
        <v>8357.410013551873</v>
      </c>
      <c r="E35" s="203">
        <f t="shared" si="3"/>
        <v>87090.44247948783</v>
      </c>
      <c r="F35" s="202">
        <f>'Starts by Utility Type'!D35</f>
        <v>21280.864477685784</v>
      </c>
      <c r="G35" s="128">
        <f>'Starts by Utility Type'!D139</f>
        <v>13775.826623617417</v>
      </c>
      <c r="H35" s="128">
        <f>'Starts by Utility Type'!D87</f>
        <v>6924.940541988084</v>
      </c>
      <c r="I35" s="128">
        <f t="shared" si="4"/>
        <v>35056.6911013032</v>
      </c>
      <c r="J35" s="203">
        <f t="shared" si="5"/>
        <v>41981.631643291286</v>
      </c>
      <c r="K35" s="114">
        <v>5</v>
      </c>
      <c r="L35" s="320">
        <f t="shared" si="7"/>
        <v>3931854.131482469</v>
      </c>
      <c r="M35" s="320">
        <f t="shared" si="6"/>
        <v>838745.6682296284</v>
      </c>
      <c r="N35" s="320">
        <f t="shared" si="6"/>
        <v>519922.1982268769</v>
      </c>
      <c r="O35" s="320">
        <f t="shared" si="6"/>
        <v>5280808.027913291</v>
      </c>
    </row>
    <row r="36" spans="1:15" ht="15">
      <c r="A36" s="150">
        <v>2006</v>
      </c>
      <c r="B36" s="128">
        <f>'Starts by Utility Type'!C36</f>
        <v>62089.19366404723</v>
      </c>
      <c r="C36" s="128">
        <f>'Starts by Utility Type'!C140</f>
        <v>17854.676478020672</v>
      </c>
      <c r="D36" s="128">
        <f>'Starts by Utility Type'!C88</f>
        <v>8649.919364026187</v>
      </c>
      <c r="E36" s="203">
        <f t="shared" si="3"/>
        <v>88593.7895060941</v>
      </c>
      <c r="F36" s="202">
        <f>'Starts by Utility Type'!D36</f>
        <v>20991.153267390437</v>
      </c>
      <c r="G36" s="128">
        <f>'Starts by Utility Type'!D140</f>
        <v>14007.240390308998</v>
      </c>
      <c r="H36" s="128">
        <f>'Starts by Utility Type'!D88</f>
        <v>7044.440124751124</v>
      </c>
      <c r="I36" s="128">
        <f t="shared" si="4"/>
        <v>34998.39365769943</v>
      </c>
      <c r="J36" s="203">
        <f t="shared" si="5"/>
        <v>42042.83378245056</v>
      </c>
      <c r="K36" s="114">
        <v>6</v>
      </c>
      <c r="L36" s="320">
        <f t="shared" si="7"/>
        <v>4000990.87405044</v>
      </c>
      <c r="M36" s="320">
        <f t="shared" si="6"/>
        <v>853493.9606942486</v>
      </c>
      <c r="N36" s="320">
        <f t="shared" si="6"/>
        <v>532373.0516107647</v>
      </c>
      <c r="O36" s="320">
        <f t="shared" si="6"/>
        <v>5374935.873835896</v>
      </c>
    </row>
    <row r="37" spans="1:15" ht="15">
      <c r="A37" s="150">
        <v>2007</v>
      </c>
      <c r="B37" s="128">
        <f>'Starts by Utility Type'!C37</f>
        <v>62865.308584847815</v>
      </c>
      <c r="C37" s="128">
        <f>'Starts by Utility Type'!C141</f>
        <v>18310.319336720022</v>
      </c>
      <c r="D37" s="128">
        <f>'Starts by Utility Type'!C89</f>
        <v>8952.666541767103</v>
      </c>
      <c r="E37" s="203">
        <f t="shared" si="3"/>
        <v>90128.29446333494</v>
      </c>
      <c r="F37" s="202">
        <f>'Starts by Utility Type'!D37</f>
        <v>20692.32749192149</v>
      </c>
      <c r="G37" s="128">
        <f>'Starts by Utility Type'!D141</f>
        <v>14241.076581756275</v>
      </c>
      <c r="H37" s="128">
        <f>'Starts by Utility Type'!D89</f>
        <v>7242.658056759377</v>
      </c>
      <c r="I37" s="128">
        <f t="shared" si="4"/>
        <v>34933.40407367777</v>
      </c>
      <c r="J37" s="203">
        <f t="shared" si="5"/>
        <v>42176.062130437145</v>
      </c>
      <c r="K37" s="114">
        <v>7</v>
      </c>
      <c r="L37" s="320">
        <f t="shared" si="7"/>
        <v>4071343.2998592095</v>
      </c>
      <c r="M37" s="320">
        <f t="shared" si="6"/>
        <v>868501.5834169685</v>
      </c>
      <c r="N37" s="320">
        <f t="shared" si="6"/>
        <v>545122.0722021996</v>
      </c>
      <c r="O37" s="320">
        <f t="shared" si="6"/>
        <v>5470741.503031666</v>
      </c>
    </row>
    <row r="38" spans="1:15" ht="15">
      <c r="A38" s="150">
        <v>2008</v>
      </c>
      <c r="B38" s="128">
        <f>'Starts by Utility Type'!C38</f>
        <v>63651.12494215841</v>
      </c>
      <c r="C38" s="128">
        <f>'Starts by Utility Type'!C142</f>
        <v>18777.589984639704</v>
      </c>
      <c r="D38" s="128">
        <f>'Starts by Utility Type'!C90</f>
        <v>9266.00987072895</v>
      </c>
      <c r="E38" s="203">
        <f t="shared" si="3"/>
        <v>91694.72479752707</v>
      </c>
      <c r="F38" s="202">
        <f>'Starts by Utility Type'!D38</f>
        <v>20384.222721402868</v>
      </c>
      <c r="G38" s="128">
        <f>'Starts by Utility Type'!D142</f>
        <v>14477.297480616742</v>
      </c>
      <c r="H38" s="128">
        <f>'Starts by Utility Type'!D90</f>
        <v>7445.986305660259</v>
      </c>
      <c r="I38" s="128">
        <f t="shared" si="4"/>
        <v>34861.52020201961</v>
      </c>
      <c r="J38" s="203">
        <f t="shared" si="5"/>
        <v>42307.506507679864</v>
      </c>
      <c r="K38" s="114">
        <v>8</v>
      </c>
      <c r="L38" s="320">
        <f t="shared" si="7"/>
        <v>4142932.7851797314</v>
      </c>
      <c r="M38" s="320">
        <f t="shared" si="6"/>
        <v>883773.0963956948</v>
      </c>
      <c r="N38" s="320">
        <f t="shared" si="6"/>
        <v>558176.4003698708</v>
      </c>
      <c r="O38" s="320">
        <f t="shared" si="6"/>
        <v>5568254.821174998</v>
      </c>
    </row>
    <row r="39" spans="1:15" ht="15">
      <c r="A39" s="150">
        <v>2009</v>
      </c>
      <c r="B39" s="128">
        <f>'Starts by Utility Type'!C39</f>
        <v>64446.76400393539</v>
      </c>
      <c r="C39" s="128">
        <f>'Starts by Utility Type'!C143</f>
        <v>19256.78515743479</v>
      </c>
      <c r="D39" s="128">
        <f>'Starts by Utility Type'!C91</f>
        <v>9590.320216204464</v>
      </c>
      <c r="E39" s="203">
        <f t="shared" si="3"/>
        <v>93293.86937757464</v>
      </c>
      <c r="F39" s="202">
        <f>'Starts by Utility Type'!D39</f>
        <v>20066.67206644888</v>
      </c>
      <c r="G39" s="128">
        <f>'Starts by Utility Type'!D143</f>
        <v>14715.861595157017</v>
      </c>
      <c r="H39" s="128">
        <f>'Starts by Utility Type'!D91</f>
        <v>7654.535034197729</v>
      </c>
      <c r="I39" s="128">
        <f t="shared" si="4"/>
        <v>34782.53366160589</v>
      </c>
      <c r="J39" s="203">
        <f t="shared" si="5"/>
        <v>42437.068695803624</v>
      </c>
      <c r="K39" s="114">
        <v>9</v>
      </c>
      <c r="L39" s="320">
        <f t="shared" si="7"/>
        <v>4215781.082157977</v>
      </c>
      <c r="M39" s="320">
        <f t="shared" si="6"/>
        <v>899313.1398101882</v>
      </c>
      <c r="N39" s="320">
        <f t="shared" si="6"/>
        <v>571543.347476674</v>
      </c>
      <c r="O39" s="320">
        <f t="shared" si="6"/>
        <v>5667506.266994449</v>
      </c>
    </row>
    <row r="40" spans="1:15" ht="15">
      <c r="A40" s="150">
        <v>2010</v>
      </c>
      <c r="B40" s="128">
        <f>'Starts by Utility Type'!C40</f>
        <v>65252.34855398458</v>
      </c>
      <c r="C40" s="128">
        <f>'Starts by Utility Type'!C144</f>
        <v>19748.209163313248</v>
      </c>
      <c r="D40" s="128">
        <f>'Starts by Utility Type'!C92</f>
        <v>9925.981423771618</v>
      </c>
      <c r="E40" s="203">
        <f t="shared" si="3"/>
        <v>94926.53914106944</v>
      </c>
      <c r="F40" s="202">
        <f>'Starts by Utility Type'!D40</f>
        <v>19739.50614520655</v>
      </c>
      <c r="G40" s="128">
        <f>'Starts by Utility Type'!D144</f>
        <v>14956.723484239934</v>
      </c>
      <c r="H40" s="128">
        <f>'Starts by Utility Type'!D92</f>
        <v>7868.4156903830635</v>
      </c>
      <c r="I40" s="128">
        <f t="shared" si="4"/>
        <v>34696.22962944648</v>
      </c>
      <c r="J40" s="203">
        <f t="shared" si="5"/>
        <v>42564.64531982955</v>
      </c>
      <c r="K40" s="114">
        <v>10</v>
      </c>
      <c r="L40" s="320">
        <f t="shared" si="7"/>
        <v>4289910.325424228</v>
      </c>
      <c r="M40" s="320">
        <f t="shared" si="6"/>
        <v>915126.4354319611</v>
      </c>
      <c r="N40" s="320">
        <f t="shared" si="6"/>
        <v>585230.3999746003</v>
      </c>
      <c r="O40" s="320">
        <f t="shared" si="6"/>
        <v>5768526.821774179</v>
      </c>
    </row>
    <row r="41" spans="1:15" ht="15">
      <c r="A41" s="150">
        <v>2011</v>
      </c>
      <c r="B41" s="128">
        <f>'Starts by Utility Type'!C41</f>
        <v>66068.00291090939</v>
      </c>
      <c r="C41" s="128">
        <f>'Starts by Utility Type'!C145</f>
        <v>20252.174076283893</v>
      </c>
      <c r="D41" s="128">
        <f>'Starts by Utility Type'!C93</f>
        <v>10273.390773603624</v>
      </c>
      <c r="E41" s="203">
        <f t="shared" si="3"/>
        <v>96593.5677607969</v>
      </c>
      <c r="F41" s="202">
        <f>'Starts by Utility Type'!D41</f>
        <v>19402.553049994538</v>
      </c>
      <c r="G41" s="128">
        <f>'Starts by Utility Type'!D145</f>
        <v>15199.833575660445</v>
      </c>
      <c r="H41" s="128">
        <f>'Starts by Utility Type'!D93</f>
        <v>8042.898709344932</v>
      </c>
      <c r="I41" s="128">
        <f t="shared" si="4"/>
        <v>34602.38662565498</v>
      </c>
      <c r="J41" s="203">
        <f t="shared" si="5"/>
        <v>42645.28533499991</v>
      </c>
      <c r="K41" s="114">
        <v>11</v>
      </c>
      <c r="L41" s="320">
        <f t="shared" si="7"/>
        <v>4365343.038818585</v>
      </c>
      <c r="M41" s="320">
        <f t="shared" si="6"/>
        <v>931217.7880589662</v>
      </c>
      <c r="N41" s="320">
        <f t="shared" si="6"/>
        <v>599245.223597688</v>
      </c>
      <c r="O41" s="320">
        <f t="shared" si="6"/>
        <v>5871348.019024732</v>
      </c>
    </row>
    <row r="42" spans="1:15" ht="15">
      <c r="A42" s="150">
        <v>2012</v>
      </c>
      <c r="B42" s="128">
        <f>'Starts by Utility Type'!C42</f>
        <v>66893.85294729576</v>
      </c>
      <c r="C42" s="128">
        <f>'Starts by Utility Type'!C146</f>
        <v>20768.999934335945</v>
      </c>
      <c r="D42" s="128">
        <f>'Starts by Utility Type'!C94</f>
        <v>10632.95945067975</v>
      </c>
      <c r="E42" s="203">
        <f t="shared" si="3"/>
        <v>98295.81233231144</v>
      </c>
      <c r="F42" s="202">
        <f>'Starts by Utility Type'!D42</f>
        <v>19055.63831353334</v>
      </c>
      <c r="G42" s="128">
        <f>'Starts by Utility Type'!D146</f>
        <v>15445.137977600229</v>
      </c>
      <c r="H42" s="128">
        <f>'Starts by Utility Type'!D94</f>
        <v>8266.293383440945</v>
      </c>
      <c r="I42" s="128">
        <f t="shared" si="4"/>
        <v>34500.776291133574</v>
      </c>
      <c r="J42" s="203">
        <f t="shared" si="5"/>
        <v>42767.06967457452</v>
      </c>
      <c r="K42" s="114">
        <v>12</v>
      </c>
      <c r="L42" s="320">
        <f t="shared" si="7"/>
        <v>4442102.142234736</v>
      </c>
      <c r="M42" s="320">
        <f t="shared" si="6"/>
        <v>947592.0869755126</v>
      </c>
      <c r="N42" s="320">
        <f t="shared" si="6"/>
        <v>613595.6676553854</v>
      </c>
      <c r="O42" s="320">
        <f t="shared" si="6"/>
        <v>5976001.954326208</v>
      </c>
    </row>
    <row r="43" spans="1:15" ht="15">
      <c r="A43" s="150">
        <v>2013</v>
      </c>
      <c r="B43" s="128">
        <f>'Starts by Utility Type'!C43</f>
        <v>67730.02610913695</v>
      </c>
      <c r="C43" s="128">
        <f>'Starts by Utility Type'!C147</f>
        <v>21299.014942676018</v>
      </c>
      <c r="D43" s="128">
        <f>'Starts by Utility Type'!C95</f>
        <v>11005.11303145354</v>
      </c>
      <c r="E43" s="203">
        <f t="shared" si="3"/>
        <v>100034.1540832665</v>
      </c>
      <c r="F43" s="202">
        <f>'Starts by Utility Type'!D43</f>
        <v>18698.58487476252</v>
      </c>
      <c r="G43" s="128">
        <f>'Starts by Utility Type'!D147</f>
        <v>15692.578282962997</v>
      </c>
      <c r="H43" s="128">
        <f>'Starts by Utility Type'!D95</f>
        <v>8495.312203266229</v>
      </c>
      <c r="I43" s="128">
        <f t="shared" si="4"/>
        <v>34391.16315772552</v>
      </c>
      <c r="J43" s="203">
        <f t="shared" si="5"/>
        <v>42886.475360991746</v>
      </c>
      <c r="K43" s="114">
        <v>13</v>
      </c>
      <c r="L43" s="320">
        <f t="shared" si="7"/>
        <v>4520210.958584065</v>
      </c>
      <c r="M43" s="320">
        <f t="shared" si="6"/>
        <v>964254.3074378525</v>
      </c>
      <c r="N43" s="320">
        <f t="shared" si="6"/>
        <v>628289.7694287285</v>
      </c>
      <c r="O43" s="320">
        <f t="shared" si="6"/>
        <v>6082521.29534688</v>
      </c>
    </row>
    <row r="44" spans="1:15" ht="15">
      <c r="A44" s="150">
        <v>2014</v>
      </c>
      <c r="B44" s="128">
        <f>'Starts by Utility Type'!C44</f>
        <v>68576.65143550116</v>
      </c>
      <c r="C44" s="128">
        <f>'Starts by Utility Type'!C148</f>
        <v>21842.555682151622</v>
      </c>
      <c r="D44" s="128">
        <f>'Starts by Utility Type'!C96</f>
        <v>11390.291987554414</v>
      </c>
      <c r="E44" s="203">
        <f t="shared" si="3"/>
        <v>101809.4991052072</v>
      </c>
      <c r="F44" s="202">
        <f>'Starts by Utility Type'!D44</f>
        <v>18331.213044239666</v>
      </c>
      <c r="G44" s="128">
        <f>'Starts by Utility Type'!D148</f>
        <v>15942.091366346</v>
      </c>
      <c r="H44" s="128">
        <f>'Starts by Utility Type'!D96</f>
        <v>8730.069567977236</v>
      </c>
      <c r="I44" s="128">
        <f t="shared" si="4"/>
        <v>34273.30441058567</v>
      </c>
      <c r="J44" s="203">
        <f t="shared" si="5"/>
        <v>43003.3739785629</v>
      </c>
      <c r="K44" s="114">
        <v>14</v>
      </c>
      <c r="L44" s="320">
        <f t="shared" si="7"/>
        <v>4599693.220882213</v>
      </c>
      <c r="M44" s="320">
        <f t="shared" si="6"/>
        <v>981209.5121858905</v>
      </c>
      <c r="N44" s="320">
        <f t="shared" si="6"/>
        <v>643335.7586717963</v>
      </c>
      <c r="O44" s="320">
        <f t="shared" si="6"/>
        <v>6190939.292040393</v>
      </c>
    </row>
    <row r="45" spans="1:15" ht="15">
      <c r="A45" s="150">
        <v>2015</v>
      </c>
      <c r="B45" s="128">
        <f>'Starts by Utility Type'!C45</f>
        <v>69433.85957844493</v>
      </c>
      <c r="C45" s="128">
        <f>'Starts by Utility Type'!C149</f>
        <v>22399.967322993547</v>
      </c>
      <c r="D45" s="128">
        <f>'Starts by Utility Type'!C97</f>
        <v>11788.952207118817</v>
      </c>
      <c r="E45" s="203">
        <f t="shared" si="3"/>
        <v>103622.77910855728</v>
      </c>
      <c r="F45" s="202">
        <f>'Starts by Utility Type'!D45</f>
        <v>17953.340469116945</v>
      </c>
      <c r="G45" s="128">
        <f>'Starts by Utility Type'!D149</f>
        <v>16193.609173393637</v>
      </c>
      <c r="H45" s="128">
        <f>'Starts by Utility Type'!D97</f>
        <v>8970.680797952948</v>
      </c>
      <c r="I45" s="128">
        <f t="shared" si="4"/>
        <v>34146.94964251058</v>
      </c>
      <c r="J45" s="203">
        <f t="shared" si="5"/>
        <v>43117.63044046353</v>
      </c>
      <c r="K45" s="114">
        <v>15</v>
      </c>
      <c r="L45" s="320">
        <f t="shared" si="7"/>
        <v>4680573.07946025</v>
      </c>
      <c r="M45" s="320">
        <f t="shared" si="6"/>
        <v>998462.8529814736</v>
      </c>
      <c r="N45" s="320">
        <f t="shared" si="6"/>
        <v>658742.0622209659</v>
      </c>
      <c r="O45" s="320">
        <f t="shared" si="6"/>
        <v>6301289.787024708</v>
      </c>
    </row>
    <row r="46" spans="1:15" ht="15">
      <c r="A46" s="150">
        <v>2016</v>
      </c>
      <c r="B46" s="128">
        <f>'Starts by Utility Type'!C46</f>
        <v>70301.78282317548</v>
      </c>
      <c r="C46" s="128">
        <f>'Starts by Utility Type'!C150</f>
        <v>22971.60384401284</v>
      </c>
      <c r="D46" s="128">
        <f>'Starts by Utility Type'!C98</f>
        <v>12201.565534367974</v>
      </c>
      <c r="E46" s="203">
        <f t="shared" si="3"/>
        <v>105474.95220155628</v>
      </c>
      <c r="F46" s="202">
        <f>'Starts by Utility Type'!D46</f>
        <v>17564.782097691175</v>
      </c>
      <c r="G46" s="128">
        <f>'Starts by Utility Type'!D150</f>
        <v>16447.058502271928</v>
      </c>
      <c r="H46" s="128">
        <f>'Starts by Utility Type'!D98</f>
        <v>9217.262052241513</v>
      </c>
      <c r="I46" s="128">
        <f t="shared" si="4"/>
        <v>34011.84059996311</v>
      </c>
      <c r="J46" s="203">
        <f t="shared" si="5"/>
        <v>43229.102652204616</v>
      </c>
      <c r="K46" s="114">
        <v>16</v>
      </c>
      <c r="L46" s="320">
        <f t="shared" si="7"/>
        <v>4762875.109302646</v>
      </c>
      <c r="M46" s="320">
        <f t="shared" si="6"/>
        <v>1016019.5721737309</v>
      </c>
      <c r="N46" s="320">
        <f t="shared" si="6"/>
        <v>674517.3087145463</v>
      </c>
      <c r="O46" s="320">
        <f t="shared" si="6"/>
        <v>6413607.226146069</v>
      </c>
    </row>
    <row r="47" spans="1:15" ht="15">
      <c r="A47" s="150">
        <v>2017</v>
      </c>
      <c r="B47" s="128">
        <f>'Starts by Utility Type'!C47</f>
        <v>71180.55510846517</v>
      </c>
      <c r="C47" s="128">
        <f>'Starts by Utility Type'!C151</f>
        <v>23557.828257391586</v>
      </c>
      <c r="D47" s="128">
        <f>'Starts by Utility Type'!C99</f>
        <v>12628.620328070852</v>
      </c>
      <c r="E47" s="203">
        <f t="shared" si="3"/>
        <v>107367.0036939276</v>
      </c>
      <c r="F47" s="202">
        <f>'Starts by Utility Type'!D47</f>
        <v>17165.350143520875</v>
      </c>
      <c r="G47" s="128">
        <f>'Starts by Utility Type'!D151</f>
        <v>16702.36077699384</v>
      </c>
      <c r="H47" s="128">
        <f>'Starts by Utility Type'!D99</f>
        <v>9415.380717440026</v>
      </c>
      <c r="I47" s="128">
        <f t="shared" si="4"/>
        <v>33867.71092051471</v>
      </c>
      <c r="J47" s="203">
        <f t="shared" si="5"/>
        <v>43283.09163795474</v>
      </c>
      <c r="K47" s="114">
        <v>17</v>
      </c>
      <c r="L47" s="320">
        <f t="shared" si="7"/>
        <v>4846624.317514268</v>
      </c>
      <c r="M47" s="320">
        <f t="shared" si="7"/>
        <v>1033885.0042919378</v>
      </c>
      <c r="N47" s="320">
        <f t="shared" si="7"/>
        <v>690670.333425437</v>
      </c>
      <c r="O47" s="320">
        <f t="shared" si="7"/>
        <v>6527926.669231247</v>
      </c>
    </row>
    <row r="48" spans="1:15" ht="15">
      <c r="A48" s="150">
        <v>2018</v>
      </c>
      <c r="B48" s="128">
        <f>'Starts by Utility Type'!C48</f>
        <v>72070.31204732099</v>
      </c>
      <c r="C48" s="128">
        <f>'Starts by Utility Type'!C152</f>
        <v>24159.012839210238</v>
      </c>
      <c r="D48" s="128">
        <f>'Starts by Utility Type'!C100</f>
        <v>13070.622039553331</v>
      </c>
      <c r="E48" s="203">
        <f t="shared" si="3"/>
        <v>109299.94692608455</v>
      </c>
      <c r="F48" s="202">
        <f>'Starts by Utility Type'!D48</f>
        <v>16754.854049108006</v>
      </c>
      <c r="G48" s="128">
        <f>'Starts by Utility Type'!D152</f>
        <v>16959.431812316714</v>
      </c>
      <c r="H48" s="128">
        <f>'Starts by Utility Type'!D100</f>
        <v>9672.44301398368</v>
      </c>
      <c r="I48" s="128">
        <f t="shared" si="4"/>
        <v>33714.28586142472</v>
      </c>
      <c r="J48" s="203">
        <f t="shared" si="5"/>
        <v>43386.7288754084</v>
      </c>
      <c r="K48" s="114">
        <v>18</v>
      </c>
      <c r="L48" s="320">
        <f t="shared" si="7"/>
        <v>4931846.15091868</v>
      </c>
      <c r="M48" s="320">
        <f t="shared" si="7"/>
        <v>1052064.577666388</v>
      </c>
      <c r="N48" s="320">
        <f t="shared" si="7"/>
        <v>707210.1832095166</v>
      </c>
      <c r="O48" s="320">
        <f t="shared" si="7"/>
        <v>6644283.801031447</v>
      </c>
    </row>
    <row r="49" spans="1:15" ht="15">
      <c r="A49" s="150">
        <v>2019</v>
      </c>
      <c r="B49" s="128">
        <f>'Starts by Utility Type'!C49</f>
        <v>72971.19094791249</v>
      </c>
      <c r="C49" s="128">
        <f>'Starts by Utility Type'!C153</f>
        <v>24775.539365857912</v>
      </c>
      <c r="D49" s="128">
        <f>'Starts by Utility Type'!C101</f>
        <v>13528.093810937697</v>
      </c>
      <c r="E49" s="203">
        <f t="shared" si="3"/>
        <v>111274.8241247081</v>
      </c>
      <c r="F49" s="202">
        <f>'Starts by Utility Type'!D49</f>
        <v>16333.100449136853</v>
      </c>
      <c r="G49" s="128">
        <f>'Starts by Utility Type'!D153</f>
        <v>17218.18156992325</v>
      </c>
      <c r="H49" s="128">
        <f>'Starts by Utility Type'!D101</f>
        <v>9935.768005184951</v>
      </c>
      <c r="I49" s="128">
        <f t="shared" si="4"/>
        <v>33551.282019060105</v>
      </c>
      <c r="J49" s="203">
        <f t="shared" si="5"/>
        <v>43487.05002424506</v>
      </c>
      <c r="K49" s="114">
        <v>19</v>
      </c>
      <c r="L49" s="320">
        <f t="shared" si="7"/>
        <v>5018566.503790047</v>
      </c>
      <c r="M49" s="320">
        <f t="shared" si="7"/>
        <v>1070563.8160777667</v>
      </c>
      <c r="N49" s="320">
        <f t="shared" si="7"/>
        <v>724146.1215725325</v>
      </c>
      <c r="O49" s="320">
        <f t="shared" si="7"/>
        <v>6762714.942361286</v>
      </c>
    </row>
    <row r="50" spans="1:15" ht="15">
      <c r="A50" s="150">
        <v>2020</v>
      </c>
      <c r="B50" s="128">
        <f>'Starts by Utility Type'!C50</f>
        <v>73883.3308347614</v>
      </c>
      <c r="C50" s="128">
        <f>'Starts by Utility Type'!C154</f>
        <v>25407.79935647574</v>
      </c>
      <c r="D50" s="128">
        <f>'Starts by Utility Type'!C102</f>
        <v>14001.577094320515</v>
      </c>
      <c r="E50" s="203">
        <f t="shared" si="3"/>
        <v>113292.70728555766</v>
      </c>
      <c r="F50" s="202">
        <f>'Starts by Utility Type'!D50</f>
        <v>15899.893133267886</v>
      </c>
      <c r="G50" s="128">
        <f>'Starts by Utility Type'!D154</f>
        <v>17478.51390558962</v>
      </c>
      <c r="H50" s="128">
        <f>'Starts by Utility Type'!D102</f>
        <v>10205.472254491295</v>
      </c>
      <c r="I50" s="128">
        <f t="shared" si="4"/>
        <v>33378.407038857506</v>
      </c>
      <c r="J50" s="203">
        <f t="shared" si="5"/>
        <v>43583.8792933488</v>
      </c>
      <c r="K50" s="114">
        <v>20</v>
      </c>
      <c r="L50" s="320">
        <f t="shared" si="7"/>
        <v>5106811.725720992</v>
      </c>
      <c r="M50" s="320">
        <f t="shared" si="7"/>
        <v>1089388.3404355273</v>
      </c>
      <c r="N50" s="320">
        <f t="shared" si="7"/>
        <v>741487.6338583307</v>
      </c>
      <c r="O50" s="320">
        <f t="shared" si="7"/>
        <v>6883257.061436312</v>
      </c>
    </row>
    <row r="51" spans="1:15" ht="15">
      <c r="A51" s="150">
        <v>2021</v>
      </c>
      <c r="B51" s="128">
        <f>'Starts by Utility Type'!C51</f>
        <v>74806.8724701959</v>
      </c>
      <c r="C51" s="128">
        <f>'Starts by Utility Type'!C155</f>
        <v>26056.19432158728</v>
      </c>
      <c r="D51" s="128">
        <f>'Starts by Utility Type'!C103</f>
        <v>14491.632292621733</v>
      </c>
      <c r="E51" s="203">
        <f t="shared" si="3"/>
        <v>115354.69908440491</v>
      </c>
      <c r="F51" s="202">
        <f>'Starts by Utility Type'!D51</f>
        <v>15455.033008479188</v>
      </c>
      <c r="G51" s="128">
        <f>'Starts by Utility Type'!D155</f>
        <v>17740.32630703292</v>
      </c>
      <c r="H51" s="128">
        <f>'Starts by Utility Type'!D103</f>
        <v>10481.672570655333</v>
      </c>
      <c r="I51" s="128">
        <f t="shared" si="4"/>
        <v>33195.359315512105</v>
      </c>
      <c r="J51" s="203">
        <f t="shared" si="5"/>
        <v>43677.03188616744</v>
      </c>
      <c r="K51" s="114">
        <v>21</v>
      </c>
      <c r="L51" s="320">
        <f t="shared" si="7"/>
        <v>5196608.6296288045</v>
      </c>
      <c r="M51" s="320">
        <f t="shared" si="7"/>
        <v>1108543.8704857782</v>
      </c>
      <c r="N51" s="320">
        <f t="shared" si="7"/>
        <v>759244.4325613307</v>
      </c>
      <c r="O51" s="320">
        <f t="shared" si="7"/>
        <v>7005947.785412616</v>
      </c>
    </row>
    <row r="52" spans="1:15" ht="15">
      <c r="A52" s="150">
        <v>2022</v>
      </c>
      <c r="B52" s="128">
        <f>'Starts by Utility Type'!C52</f>
        <v>75741.95837607335</v>
      </c>
      <c r="C52" s="128">
        <f>'Starts by Utility Type'!C156</f>
        <v>26721.13601807384</v>
      </c>
      <c r="D52" s="128">
        <f>'Starts by Utility Type'!C104</f>
        <v>14998.839422863492</v>
      </c>
      <c r="E52" s="203">
        <f t="shared" si="3"/>
        <v>117461.93381701068</v>
      </c>
      <c r="F52" s="202">
        <f>'Starts by Utility Type'!D52</f>
        <v>14998.318060952302</v>
      </c>
      <c r="G52" s="128">
        <f>'Starts by Utility Type'!D156</f>
        <v>18003.50962212211</v>
      </c>
      <c r="H52" s="128">
        <f>'Starts by Utility Type'!D104</f>
        <v>10746.9711782128</v>
      </c>
      <c r="I52" s="128">
        <f t="shared" si="4"/>
        <v>33001.827683074414</v>
      </c>
      <c r="J52" s="203">
        <f t="shared" si="5"/>
        <v>43748.798861287214</v>
      </c>
      <c r="K52" s="114">
        <v>22</v>
      </c>
      <c r="L52" s="320">
        <f t="shared" si="7"/>
        <v>5287984.499902425</v>
      </c>
      <c r="M52" s="320">
        <f t="shared" si="7"/>
        <v>1128036.226549202</v>
      </c>
      <c r="N52" s="320">
        <f t="shared" si="7"/>
        <v>777426.4627662214</v>
      </c>
      <c r="O52" s="320">
        <f t="shared" si="7"/>
        <v>7130825.4121321235</v>
      </c>
    </row>
    <row r="53" spans="1:15" ht="15">
      <c r="A53" s="150">
        <v>2023</v>
      </c>
      <c r="B53" s="128">
        <f>'Starts by Utility Type'!C53</f>
        <v>76688.73285577426</v>
      </c>
      <c r="C53" s="128">
        <f>'Starts by Utility Type'!C157</f>
        <v>27403.04671065666</v>
      </c>
      <c r="D53" s="128">
        <f>'Starts by Utility Type'!C105</f>
        <v>15523.798802663712</v>
      </c>
      <c r="E53" s="203">
        <f t="shared" si="3"/>
        <v>119615.57836909464</v>
      </c>
      <c r="F53" s="202">
        <f>'Starts by Utility Type'!D53</f>
        <v>14529.5433174969</v>
      </c>
      <c r="G53" s="128">
        <f>'Starts by Utility Type'!D157</f>
        <v>18267.947777124456</v>
      </c>
      <c r="H53" s="128">
        <f>'Starts by Utility Type'!D105</f>
        <v>11026.885514823578</v>
      </c>
      <c r="I53" s="128">
        <f t="shared" si="4"/>
        <v>32797.49109462136</v>
      </c>
      <c r="J53" s="203">
        <f t="shared" si="5"/>
        <v>43824.37660944494</v>
      </c>
      <c r="K53" s="114">
        <v>23</v>
      </c>
      <c r="L53" s="320">
        <f t="shared" si="7"/>
        <v>5380967.100692687</v>
      </c>
      <c r="M53" s="320">
        <f t="shared" si="7"/>
        <v>1147871.331289534</v>
      </c>
      <c r="N53" s="320">
        <f t="shared" si="7"/>
        <v>796043.9077179233</v>
      </c>
      <c r="O53" s="320">
        <f t="shared" si="7"/>
        <v>7257928.922077248</v>
      </c>
    </row>
    <row r="54" spans="1:15" ht="15">
      <c r="A54" s="150">
        <v>2024</v>
      </c>
      <c r="B54" s="128">
        <f>'Starts by Utility Type'!C54</f>
        <v>77647.34201647143</v>
      </c>
      <c r="C54" s="128">
        <f>'Starts by Utility Type'!C158</f>
        <v>28102.359440051998</v>
      </c>
      <c r="D54" s="128">
        <f>'Starts by Utility Type'!C106</f>
        <v>16067.131760756942</v>
      </c>
      <c r="E54" s="203">
        <f t="shared" si="3"/>
        <v>121816.83321728036</v>
      </c>
      <c r="F54" s="202">
        <f>'Starts by Utility Type'!D54</f>
        <v>14048.500806508751</v>
      </c>
      <c r="G54" s="128">
        <f>'Starts by Utility Type'!D158</f>
        <v>18533.517484650096</v>
      </c>
      <c r="H54" s="128">
        <f>'Starts by Utility Type'!D106</f>
        <v>11313.027001573944</v>
      </c>
      <c r="I54" s="128">
        <f t="shared" si="4"/>
        <v>32582.01829115885</v>
      </c>
      <c r="J54" s="203">
        <f t="shared" si="5"/>
        <v>43895.04529273279</v>
      </c>
      <c r="K54" s="114">
        <v>24</v>
      </c>
      <c r="L54" s="320">
        <f t="shared" si="7"/>
        <v>5475584.684348325</v>
      </c>
      <c r="M54" s="320">
        <f t="shared" si="7"/>
        <v>1168055.2115131351</v>
      </c>
      <c r="N54" s="320">
        <f t="shared" si="7"/>
        <v>815107.1945249388</v>
      </c>
      <c r="O54" s="320">
        <f t="shared" si="7"/>
        <v>7387297.990538625</v>
      </c>
    </row>
    <row r="55" spans="1:15" ht="15.75" thickBot="1">
      <c r="A55" s="162">
        <v>2025</v>
      </c>
      <c r="B55" s="163">
        <f>'Starts by Utility Type'!C55</f>
        <v>78617.93379167732</v>
      </c>
      <c r="C55" s="163">
        <f>'Starts by Utility Type'!C159</f>
        <v>28819.518297969393</v>
      </c>
      <c r="D55" s="163">
        <f>'Starts by Utility Type'!C107</f>
        <v>16629.481372383434</v>
      </c>
      <c r="E55" s="205">
        <f t="shared" si="3"/>
        <v>124066.93346203015</v>
      </c>
      <c r="F55" s="204">
        <f>'Starts by Utility Type'!D55</f>
        <v>13554.979518456224</v>
      </c>
      <c r="G55" s="163">
        <f>'Starts by Utility Type'!D159</f>
        <v>18800.08794094657</v>
      </c>
      <c r="H55" s="163">
        <f>'Starts by Utility Type'!D107</f>
        <v>11605.481580430771</v>
      </c>
      <c r="I55" s="163">
        <f t="shared" si="4"/>
        <v>32355.067459402795</v>
      </c>
      <c r="J55" s="205">
        <f t="shared" si="5"/>
        <v>43960.54903983357</v>
      </c>
      <c r="K55" s="114">
        <v>25</v>
      </c>
      <c r="L55" s="126">
        <f t="shared" si="7"/>
        <v>5571866.0000003325</v>
      </c>
      <c r="M55" s="126">
        <f t="shared" si="7"/>
        <v>1188594.0000002112</v>
      </c>
      <c r="N55" s="126">
        <f t="shared" si="7"/>
        <v>834626.9999992831</v>
      </c>
      <c r="O55" s="126">
        <f t="shared" si="7"/>
        <v>7518972.9999997355</v>
      </c>
    </row>
    <row r="56" spans="12:15" ht="15.75" thickBot="1">
      <c r="L56" s="273">
        <f>L54-L30</f>
        <v>1871901.6843483252</v>
      </c>
      <c r="M56" s="273">
        <f>M54-M30</f>
        <v>399315.2115131351</v>
      </c>
      <c r="N56" s="273">
        <f>N54-N30</f>
        <v>353205.1945249388</v>
      </c>
      <c r="O56" s="273">
        <f>O54-O30</f>
        <v>2552972.990538625</v>
      </c>
    </row>
    <row r="57" spans="1:15" ht="15.75" thickBot="1">
      <c r="A57" s="110"/>
      <c r="B57" s="111" t="s">
        <v>311</v>
      </c>
      <c r="C57" s="112"/>
      <c r="D57" s="112"/>
      <c r="E57" s="112"/>
      <c r="F57" s="111" t="s">
        <v>312</v>
      </c>
      <c r="G57" s="112"/>
      <c r="H57" s="112"/>
      <c r="I57" s="112"/>
      <c r="J57" s="113"/>
      <c r="L57" s="164">
        <f>L56/$O56</f>
        <v>0.7332242414179996</v>
      </c>
      <c r="M57" s="164">
        <f>M56/$O56</f>
        <v>0.15641184336575678</v>
      </c>
      <c r="N57" s="164">
        <f>N56/$O56</f>
        <v>0.13835054104917097</v>
      </c>
      <c r="O57" s="164">
        <f>O56/$O56</f>
        <v>1</v>
      </c>
    </row>
    <row r="58" spans="1:10" ht="30.75" thickBot="1">
      <c r="A58" s="123" t="s">
        <v>38</v>
      </c>
      <c r="B58" s="115" t="s">
        <v>314</v>
      </c>
      <c r="C58" s="116" t="s">
        <v>315</v>
      </c>
      <c r="D58" s="116" t="s">
        <v>316</v>
      </c>
      <c r="E58" s="117" t="s">
        <v>81</v>
      </c>
      <c r="F58" s="118" t="s">
        <v>314</v>
      </c>
      <c r="G58" s="119" t="s">
        <v>315</v>
      </c>
      <c r="H58" s="119" t="s">
        <v>316</v>
      </c>
      <c r="I58" s="119" t="s">
        <v>317</v>
      </c>
      <c r="J58" s="120" t="s">
        <v>81</v>
      </c>
    </row>
    <row r="59" spans="1:10" ht="15">
      <c r="A59" s="410" t="s">
        <v>752</v>
      </c>
      <c r="B59" s="411">
        <f>SUM(B11:B22)</f>
        <v>455949</v>
      </c>
      <c r="C59" s="411">
        <f aca="true" t="shared" si="8" ref="C59:J59">SUM(C11:C22)</f>
        <v>208642</v>
      </c>
      <c r="D59" s="411">
        <f t="shared" si="8"/>
        <v>127859</v>
      </c>
      <c r="E59" s="411">
        <f t="shared" si="8"/>
        <v>792450</v>
      </c>
      <c r="F59" s="411">
        <f t="shared" si="8"/>
        <v>246077.82525130565</v>
      </c>
      <c r="G59" s="411">
        <f t="shared" si="8"/>
        <v>177715.03484777815</v>
      </c>
      <c r="H59" s="411">
        <f t="shared" si="8"/>
        <v>122753.53850394764</v>
      </c>
      <c r="I59" s="411">
        <f t="shared" si="8"/>
        <v>423792.86009908374</v>
      </c>
      <c r="J59" s="411">
        <f t="shared" si="8"/>
        <v>546546.3986030314</v>
      </c>
    </row>
  </sheetData>
  <mergeCells count="1">
    <mergeCell ref="A8:J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160"/>
  <sheetViews>
    <sheetView zoomScale="75" zoomScaleNormal="75" workbookViewId="0" topLeftCell="A16">
      <selection activeCell="C32" sqref="C32"/>
    </sheetView>
  </sheetViews>
  <sheetFormatPr defaultColWidth="9.140625" defaultRowHeight="12.75"/>
  <cols>
    <col min="1" max="1" width="16.140625" style="114" customWidth="1"/>
    <col min="2" max="2" width="11.7109375" style="114" bestFit="1" customWidth="1"/>
    <col min="3" max="3" width="16.57421875" style="114" customWidth="1"/>
    <col min="4" max="4" width="14.7109375" style="114" customWidth="1"/>
    <col min="5" max="5" width="14.140625" style="114" customWidth="1"/>
    <col min="6" max="6" width="1.421875" style="114" customWidth="1"/>
    <col min="7" max="7" width="15.8515625" style="114" customWidth="1"/>
    <col min="8" max="8" width="16.00390625" style="114" customWidth="1"/>
    <col min="9" max="9" width="13.28125" style="114" bestFit="1" customWidth="1"/>
    <col min="10" max="10" width="13.57421875" style="164" customWidth="1"/>
    <col min="11" max="11" width="9.00390625" style="114" customWidth="1"/>
    <col min="12" max="12" width="1.8515625" style="114" customWidth="1"/>
    <col min="13" max="13" width="15.28125" style="114" customWidth="1"/>
    <col min="14" max="14" width="16.421875" style="114" customWidth="1"/>
    <col min="15" max="15" width="13.28125" style="114" bestFit="1" customWidth="1"/>
    <col min="16" max="16" width="13.8515625" style="164" customWidth="1"/>
    <col min="17" max="17" width="8.8515625" style="114" customWidth="1"/>
    <col min="18" max="16384" width="11.421875" style="114" customWidth="1"/>
  </cols>
  <sheetData>
    <row r="1" spans="1:17" ht="15.75">
      <c r="A1" s="129" t="s">
        <v>319</v>
      </c>
      <c r="B1" s="130"/>
      <c r="C1" s="130"/>
      <c r="D1" s="130"/>
      <c r="E1" s="131"/>
      <c r="F1" s="130"/>
      <c r="G1" s="130"/>
      <c r="H1" s="130"/>
      <c r="I1" s="130"/>
      <c r="J1" s="131"/>
      <c r="K1" s="130"/>
      <c r="L1" s="130"/>
      <c r="M1" s="130"/>
      <c r="N1" s="130"/>
      <c r="O1" s="130"/>
      <c r="P1" s="131"/>
      <c r="Q1" s="132"/>
    </row>
    <row r="2" spans="1:17" ht="15.75">
      <c r="A2" s="426" t="s">
        <v>320</v>
      </c>
      <c r="B2" s="424"/>
      <c r="C2" s="424"/>
      <c r="D2" s="424"/>
      <c r="E2" s="424"/>
      <c r="F2" s="133"/>
      <c r="G2" s="424" t="s">
        <v>321</v>
      </c>
      <c r="H2" s="424"/>
      <c r="I2" s="424"/>
      <c r="J2" s="424"/>
      <c r="K2" s="424"/>
      <c r="L2" s="133"/>
      <c r="M2" s="424" t="s">
        <v>322</v>
      </c>
      <c r="N2" s="424"/>
      <c r="O2" s="424"/>
      <c r="P2" s="424"/>
      <c r="Q2" s="425"/>
    </row>
    <row r="3" spans="1:17" ht="47.25">
      <c r="A3" s="134" t="s">
        <v>323</v>
      </c>
      <c r="B3" s="135" t="s">
        <v>81</v>
      </c>
      <c r="C3" s="135" t="s">
        <v>324</v>
      </c>
      <c r="D3" s="135" t="s">
        <v>325</v>
      </c>
      <c r="E3" s="136" t="s">
        <v>338</v>
      </c>
      <c r="F3" s="137"/>
      <c r="G3" s="135" t="s">
        <v>323</v>
      </c>
      <c r="H3" s="135" t="s">
        <v>81</v>
      </c>
      <c r="I3" s="135" t="s">
        <v>324</v>
      </c>
      <c r="J3" s="136" t="s">
        <v>325</v>
      </c>
      <c r="K3" s="135" t="s">
        <v>326</v>
      </c>
      <c r="L3" s="137"/>
      <c r="M3" s="135" t="s">
        <v>323</v>
      </c>
      <c r="N3" s="135" t="s">
        <v>81</v>
      </c>
      <c r="O3" s="135" t="s">
        <v>324</v>
      </c>
      <c r="P3" s="136" t="s">
        <v>325</v>
      </c>
      <c r="Q3" s="138" t="s">
        <v>326</v>
      </c>
    </row>
    <row r="4" spans="1:17" ht="15">
      <c r="A4" s="139" t="s">
        <v>314</v>
      </c>
      <c r="B4" s="140">
        <f>SUM(C35:C55)</f>
        <v>1462239.804411025</v>
      </c>
      <c r="C4" s="140">
        <f>SUM(D35:D55)</f>
        <v>372900.43050632114</v>
      </c>
      <c r="D4" s="141">
        <f>C4/B4</f>
        <v>0.2550200243362419</v>
      </c>
      <c r="E4" s="141">
        <f>B4/B$7</f>
        <v>0.667351501727655</v>
      </c>
      <c r="F4" s="142"/>
      <c r="G4" s="143" t="s">
        <v>314</v>
      </c>
      <c r="H4" s="140">
        <f>SUM(H35:H55)</f>
        <v>472075.7225465924</v>
      </c>
      <c r="I4" s="140">
        <f>SUM(I35:I55)</f>
        <v>124876.52677187913</v>
      </c>
      <c r="J4" s="141">
        <f>I4/H4</f>
        <v>0.2645264749016069</v>
      </c>
      <c r="K4" s="141">
        <f>H4/B4</f>
        <v>0.32284425654568993</v>
      </c>
      <c r="L4" s="142"/>
      <c r="M4" s="143" t="s">
        <v>314</v>
      </c>
      <c r="N4" s="140">
        <f>SUM(N35:N55)</f>
        <v>990164.0818651376</v>
      </c>
      <c r="O4" s="140">
        <f>SUM(O35:O55)</f>
        <v>248023.90373444205</v>
      </c>
      <c r="P4" s="141">
        <f>O4/N4</f>
        <v>0.2504876800491976</v>
      </c>
      <c r="Q4" s="144">
        <f>N4/B4</f>
        <v>0.6771557434547922</v>
      </c>
    </row>
    <row r="5" spans="1:17" ht="15">
      <c r="A5" s="139" t="s">
        <v>327</v>
      </c>
      <c r="B5" s="140">
        <f>SUM(C87:C107)</f>
        <v>252974.37733900003</v>
      </c>
      <c r="C5" s="140">
        <f>SUM(D87:D107)</f>
        <v>190306.59430475978</v>
      </c>
      <c r="D5" s="141">
        <f>C5/B5</f>
        <v>0.7522761645134446</v>
      </c>
      <c r="E5" s="141">
        <f>B5/B$7</f>
        <v>0.11545495486207216</v>
      </c>
      <c r="F5" s="142"/>
      <c r="G5" s="143" t="s">
        <v>327</v>
      </c>
      <c r="H5" s="140">
        <f>SUM(H87:H107)</f>
        <v>109416.06506400324</v>
      </c>
      <c r="I5" s="140">
        <f>SUM(I87:I107)</f>
        <v>86061.0115265662</v>
      </c>
      <c r="J5" s="141">
        <f>I5/H5</f>
        <v>0.7865482228430036</v>
      </c>
      <c r="K5" s="141">
        <f>H5/B5</f>
        <v>0.43251836891520246</v>
      </c>
      <c r="L5" s="142"/>
      <c r="M5" s="143" t="s">
        <v>327</v>
      </c>
      <c r="N5" s="140">
        <f>SUM(N87:N107)</f>
        <v>143558.31227499677</v>
      </c>
      <c r="O5" s="140">
        <f>SUM(O87:O107)</f>
        <v>104245.58277819362</v>
      </c>
      <c r="P5" s="141">
        <f>O5/N5</f>
        <v>0.7261549758157044</v>
      </c>
      <c r="Q5" s="144">
        <f>N5/B5</f>
        <v>0.5674816310847975</v>
      </c>
    </row>
    <row r="6" spans="1:17" ht="15">
      <c r="A6" s="139" t="s">
        <v>315</v>
      </c>
      <c r="B6" s="140">
        <f>SUM(C139:C159)</f>
        <v>475894.70258685737</v>
      </c>
      <c r="C6" s="140">
        <f>SUM(D139:D159)</f>
        <v>340798.21223063115</v>
      </c>
      <c r="D6" s="141">
        <f>C6/B6</f>
        <v>0.716121046059408</v>
      </c>
      <c r="E6" s="141">
        <f>B6/B$7</f>
        <v>0.21719354341027294</v>
      </c>
      <c r="F6" s="142"/>
      <c r="G6" s="143" t="s">
        <v>315</v>
      </c>
      <c r="H6" s="140">
        <f>SUM(H139:H159)</f>
        <v>158992.29820007316</v>
      </c>
      <c r="I6" s="140">
        <f>SUM(I139:I159)</f>
        <v>124224.16697851116</v>
      </c>
      <c r="J6" s="141">
        <f>I6/H6</f>
        <v>0.7813219154942311</v>
      </c>
      <c r="K6" s="141">
        <f>H6/B6</f>
        <v>0.33409133855835443</v>
      </c>
      <c r="L6" s="142"/>
      <c r="M6" s="143" t="s">
        <v>315</v>
      </c>
      <c r="N6" s="140">
        <f>SUM(N139:N159)</f>
        <v>316902.4043867058</v>
      </c>
      <c r="O6" s="140">
        <f>SUM(O139:O159)</f>
        <v>216574.04525212004</v>
      </c>
      <c r="P6" s="141">
        <f>O6/N6</f>
        <v>0.6834092839126639</v>
      </c>
      <c r="Q6" s="144">
        <f>N6/B6</f>
        <v>0.6659086614414808</v>
      </c>
    </row>
    <row r="7" spans="1:17" ht="15">
      <c r="A7" s="177" t="s">
        <v>81</v>
      </c>
      <c r="B7" s="166">
        <f>SUM(B4:B6)</f>
        <v>2191108.8843368823</v>
      </c>
      <c r="C7" s="166">
        <f>SUM(C4:C6)</f>
        <v>904005.237041712</v>
      </c>
      <c r="D7" s="167"/>
      <c r="E7" s="168"/>
      <c r="F7" s="147"/>
      <c r="G7" s="169"/>
      <c r="H7" s="170"/>
      <c r="I7" s="170"/>
      <c r="J7" s="167"/>
      <c r="K7" s="167"/>
      <c r="L7" s="147"/>
      <c r="M7" s="169"/>
      <c r="N7" s="170"/>
      <c r="O7" s="170"/>
      <c r="P7" s="167"/>
      <c r="Q7" s="171"/>
    </row>
    <row r="8" spans="1:17" ht="15">
      <c r="A8" s="165"/>
      <c r="B8" s="166"/>
      <c r="C8" s="166"/>
      <c r="D8" s="167"/>
      <c r="E8" s="168"/>
      <c r="F8" s="147"/>
      <c r="G8" s="169"/>
      <c r="H8" s="170"/>
      <c r="I8" s="170"/>
      <c r="J8" s="167"/>
      <c r="K8" s="167"/>
      <c r="L8" s="147"/>
      <c r="M8" s="169"/>
      <c r="N8" s="170"/>
      <c r="O8" s="170"/>
      <c r="P8" s="167"/>
      <c r="Q8" s="171"/>
    </row>
    <row r="9" spans="1:17" ht="15">
      <c r="A9" s="145"/>
      <c r="B9" s="146"/>
      <c r="C9" s="146"/>
      <c r="D9" s="146"/>
      <c r="E9" s="146"/>
      <c r="F9" s="147"/>
      <c r="G9" s="146"/>
      <c r="H9" s="146"/>
      <c r="I9" s="146"/>
      <c r="J9" s="146"/>
      <c r="K9" s="146"/>
      <c r="L9" s="147"/>
      <c r="M9" s="146"/>
      <c r="N9" s="146"/>
      <c r="O9" s="146"/>
      <c r="P9" s="146"/>
      <c r="Q9" s="148"/>
    </row>
    <row r="10" spans="1:17" ht="63">
      <c r="A10" s="134" t="s">
        <v>328</v>
      </c>
      <c r="B10" s="135" t="s">
        <v>38</v>
      </c>
      <c r="C10" s="135" t="s">
        <v>329</v>
      </c>
      <c r="D10" s="135" t="s">
        <v>330</v>
      </c>
      <c r="E10" s="136" t="s">
        <v>331</v>
      </c>
      <c r="F10" s="137"/>
      <c r="G10" s="135" t="s">
        <v>38</v>
      </c>
      <c r="H10" s="135" t="s">
        <v>329</v>
      </c>
      <c r="I10" s="135" t="s">
        <v>330</v>
      </c>
      <c r="J10" s="136" t="s">
        <v>331</v>
      </c>
      <c r="K10" s="135" t="s">
        <v>332</v>
      </c>
      <c r="L10" s="137"/>
      <c r="M10" s="135" t="s">
        <v>38</v>
      </c>
      <c r="N10" s="135" t="s">
        <v>329</v>
      </c>
      <c r="O10" s="135" t="s">
        <v>330</v>
      </c>
      <c r="P10" s="136" t="s">
        <v>331</v>
      </c>
      <c r="Q10" s="138" t="s">
        <v>333</v>
      </c>
    </row>
    <row r="11" spans="1:17" ht="15">
      <c r="A11" s="149" t="s">
        <v>334</v>
      </c>
      <c r="B11" s="125">
        <v>1981</v>
      </c>
      <c r="C11" s="140">
        <f>PNWStarts!$B5</f>
        <v>32566</v>
      </c>
      <c r="D11" s="126">
        <f aca="true" t="shared" si="0" ref="D11:D55">+I11+O11</f>
        <v>20540.543726490207</v>
      </c>
      <c r="E11" s="141">
        <f aca="true" t="shared" si="1" ref="E11:E55">D11/C11</f>
        <v>0.6307358510867226</v>
      </c>
      <c r="F11" s="142"/>
      <c r="G11" s="125">
        <v>1981</v>
      </c>
      <c r="H11" s="126">
        <f aca="true" t="shared" si="2" ref="H11:H55">K11*C11</f>
        <v>13478.06315902733</v>
      </c>
      <c r="I11" s="126">
        <f aca="true" t="shared" si="3" ref="I11:I55">H11*J11</f>
        <v>9717.683537658704</v>
      </c>
      <c r="J11" s="141">
        <v>0.721</v>
      </c>
      <c r="K11" s="141">
        <v>0.41386916290079623</v>
      </c>
      <c r="L11" s="142"/>
      <c r="M11" s="125">
        <v>1981</v>
      </c>
      <c r="N11" s="126">
        <f aca="true" t="shared" si="4" ref="N11:N55">Q11*C11</f>
        <v>19087.93684097267</v>
      </c>
      <c r="O11" s="126">
        <f aca="true" t="shared" si="5" ref="O11:O55">N11*P11</f>
        <v>10822.860188831502</v>
      </c>
      <c r="P11" s="141">
        <v>0.567</v>
      </c>
      <c r="Q11" s="144">
        <v>0.5861308370992038</v>
      </c>
    </row>
    <row r="12" spans="1:17" ht="15">
      <c r="A12" s="149" t="s">
        <v>334</v>
      </c>
      <c r="B12" s="125">
        <v>1982</v>
      </c>
      <c r="C12" s="140">
        <f>PNWStarts!$B6</f>
        <v>22291</v>
      </c>
      <c r="D12" s="126">
        <f t="shared" si="0"/>
        <v>14215.49558494784</v>
      </c>
      <c r="E12" s="141">
        <f t="shared" si="1"/>
        <v>0.6377235469448584</v>
      </c>
      <c r="F12" s="142"/>
      <c r="G12" s="125">
        <v>1982</v>
      </c>
      <c r="H12" s="126">
        <f t="shared" si="2"/>
        <v>9858.203055141581</v>
      </c>
      <c r="I12" s="126">
        <f t="shared" si="3"/>
        <v>6979.607763040239</v>
      </c>
      <c r="J12" s="141">
        <v>0.708</v>
      </c>
      <c r="K12" s="141">
        <v>0.44225037257824146</v>
      </c>
      <c r="L12" s="142"/>
      <c r="M12" s="125">
        <v>1982</v>
      </c>
      <c r="N12" s="126">
        <f t="shared" si="4"/>
        <v>12432.79694485842</v>
      </c>
      <c r="O12" s="126">
        <f t="shared" si="5"/>
        <v>7235.8878219076005</v>
      </c>
      <c r="P12" s="141">
        <v>0.582</v>
      </c>
      <c r="Q12" s="144">
        <v>0.5577496274217586</v>
      </c>
    </row>
    <row r="13" spans="1:17" ht="15">
      <c r="A13" s="149" t="s">
        <v>334</v>
      </c>
      <c r="B13" s="125">
        <v>1983</v>
      </c>
      <c r="C13" s="140">
        <f>PNWStarts!$B7</f>
        <v>34528</v>
      </c>
      <c r="D13" s="126">
        <f t="shared" si="0"/>
        <v>21844.3499247413</v>
      </c>
      <c r="E13" s="141">
        <f t="shared" si="1"/>
        <v>0.632656103010348</v>
      </c>
      <c r="F13" s="142"/>
      <c r="G13" s="125">
        <v>1983</v>
      </c>
      <c r="H13" s="126">
        <f t="shared" si="2"/>
        <v>13494.097836312323</v>
      </c>
      <c r="I13" s="126">
        <f t="shared" si="3"/>
        <v>9202.974724365005</v>
      </c>
      <c r="J13" s="141">
        <v>0.682</v>
      </c>
      <c r="K13" s="141">
        <v>0.39081608654750705</v>
      </c>
      <c r="L13" s="142"/>
      <c r="M13" s="125">
        <v>1983</v>
      </c>
      <c r="N13" s="126">
        <f t="shared" si="4"/>
        <v>21033.902163687675</v>
      </c>
      <c r="O13" s="126">
        <f t="shared" si="5"/>
        <v>12641.375200376293</v>
      </c>
      <c r="P13" s="141">
        <v>0.601</v>
      </c>
      <c r="Q13" s="144">
        <v>0.6091839134524929</v>
      </c>
    </row>
    <row r="14" spans="1:17" ht="15">
      <c r="A14" s="149" t="s">
        <v>334</v>
      </c>
      <c r="B14" s="125">
        <v>1984</v>
      </c>
      <c r="C14" s="140">
        <f>PNWStarts!$B8</f>
        <v>32063</v>
      </c>
      <c r="D14" s="126">
        <f t="shared" si="0"/>
        <v>19802.098572567782</v>
      </c>
      <c r="E14" s="141">
        <f t="shared" si="1"/>
        <v>0.6175996810207336</v>
      </c>
      <c r="F14" s="142"/>
      <c r="G14" s="125">
        <v>1984</v>
      </c>
      <c r="H14" s="126">
        <f t="shared" si="2"/>
        <v>11150.742069821017</v>
      </c>
      <c r="I14" s="126">
        <f t="shared" si="3"/>
        <v>8195.795421318448</v>
      </c>
      <c r="J14" s="141">
        <v>0.735</v>
      </c>
      <c r="K14" s="141">
        <v>0.3477760056707425</v>
      </c>
      <c r="L14" s="142"/>
      <c r="M14" s="125">
        <v>1984</v>
      </c>
      <c r="N14" s="126">
        <f t="shared" si="4"/>
        <v>20912.25793017898</v>
      </c>
      <c r="O14" s="126">
        <f t="shared" si="5"/>
        <v>11606.303151249336</v>
      </c>
      <c r="P14" s="141">
        <v>0.555</v>
      </c>
      <c r="Q14" s="144">
        <v>0.6522239943292575</v>
      </c>
    </row>
    <row r="15" spans="1:17" ht="15">
      <c r="A15" s="149" t="s">
        <v>334</v>
      </c>
      <c r="B15" s="125">
        <v>1985</v>
      </c>
      <c r="C15" s="140">
        <f>PNWStarts!$B9</f>
        <v>30862</v>
      </c>
      <c r="D15" s="126">
        <f t="shared" si="0"/>
        <v>18720.888045902866</v>
      </c>
      <c r="E15" s="141">
        <f t="shared" si="1"/>
        <v>0.6065999626045903</v>
      </c>
      <c r="F15" s="142"/>
      <c r="G15" s="125">
        <v>1985</v>
      </c>
      <c r="H15" s="126">
        <f t="shared" si="2"/>
        <v>15897.688028794464</v>
      </c>
      <c r="I15" s="126">
        <f t="shared" si="3"/>
        <v>11223.767748328892</v>
      </c>
      <c r="J15" s="141">
        <v>0.706</v>
      </c>
      <c r="K15" s="141">
        <v>0.5151217688028794</v>
      </c>
      <c r="L15" s="142"/>
      <c r="M15" s="125">
        <v>1985</v>
      </c>
      <c r="N15" s="126">
        <f t="shared" si="4"/>
        <v>14964.311971205534</v>
      </c>
      <c r="O15" s="126">
        <f t="shared" si="5"/>
        <v>7497.1202975739725</v>
      </c>
      <c r="P15" s="141">
        <v>0.501</v>
      </c>
      <c r="Q15" s="144">
        <v>0.48487823119712053</v>
      </c>
    </row>
    <row r="16" spans="1:17" ht="15">
      <c r="A16" s="149" t="s">
        <v>334</v>
      </c>
      <c r="B16" s="125">
        <v>1986</v>
      </c>
      <c r="C16" s="140">
        <f>PNWStarts!$B10</f>
        <v>33402</v>
      </c>
      <c r="D16" s="126">
        <f t="shared" si="0"/>
        <v>18543.300755820186</v>
      </c>
      <c r="E16" s="141">
        <f t="shared" si="1"/>
        <v>0.5551554025453621</v>
      </c>
      <c r="F16" s="142"/>
      <c r="G16" s="125">
        <v>1986</v>
      </c>
      <c r="H16" s="126">
        <f t="shared" si="2"/>
        <v>13295.950898778114</v>
      </c>
      <c r="I16" s="126">
        <f t="shared" si="3"/>
        <v>9214.093972853232</v>
      </c>
      <c r="J16" s="141">
        <v>0.693</v>
      </c>
      <c r="K16" s="141">
        <v>0.39805852639896155</v>
      </c>
      <c r="L16" s="142"/>
      <c r="M16" s="125">
        <v>1986</v>
      </c>
      <c r="N16" s="126">
        <f t="shared" si="4"/>
        <v>20106.049101221884</v>
      </c>
      <c r="O16" s="126">
        <f t="shared" si="5"/>
        <v>9329.206782966954</v>
      </c>
      <c r="P16" s="141">
        <v>0.464</v>
      </c>
      <c r="Q16" s="144">
        <v>0.6019414736010384</v>
      </c>
    </row>
    <row r="17" spans="1:17" ht="15">
      <c r="A17" s="149" t="s">
        <v>334</v>
      </c>
      <c r="B17" s="125">
        <v>1987</v>
      </c>
      <c r="C17" s="140">
        <f>PNWStarts!$B11</f>
        <v>33691</v>
      </c>
      <c r="D17" s="126">
        <f t="shared" si="0"/>
        <v>16364.792941534679</v>
      </c>
      <c r="E17" s="141">
        <f t="shared" si="1"/>
        <v>0.4857318851187165</v>
      </c>
      <c r="F17" s="142"/>
      <c r="G17" s="125">
        <v>1987</v>
      </c>
      <c r="H17" s="126">
        <f t="shared" si="2"/>
        <v>13054.436425915625</v>
      </c>
      <c r="I17" s="126">
        <f t="shared" si="3"/>
        <v>8172.077202623181</v>
      </c>
      <c r="J17" s="141">
        <v>0.626</v>
      </c>
      <c r="K17" s="141">
        <v>0.3874754808677577</v>
      </c>
      <c r="L17" s="142"/>
      <c r="M17" s="125">
        <v>1987</v>
      </c>
      <c r="N17" s="126">
        <f t="shared" si="4"/>
        <v>20636.563574084375</v>
      </c>
      <c r="O17" s="126">
        <f t="shared" si="5"/>
        <v>8192.715738911498</v>
      </c>
      <c r="P17" s="141">
        <v>0.397</v>
      </c>
      <c r="Q17" s="144">
        <v>0.6125245191322423</v>
      </c>
    </row>
    <row r="18" spans="1:17" ht="15">
      <c r="A18" s="149" t="s">
        <v>334</v>
      </c>
      <c r="B18" s="125">
        <v>1988</v>
      </c>
      <c r="C18" s="140">
        <f>PNWStarts!$B12</f>
        <v>37193</v>
      </c>
      <c r="D18" s="126">
        <f t="shared" si="0"/>
        <v>17847.417584706902</v>
      </c>
      <c r="E18" s="141">
        <f t="shared" si="1"/>
        <v>0.47985958607014495</v>
      </c>
      <c r="F18" s="142"/>
      <c r="G18" s="125">
        <v>1988</v>
      </c>
      <c r="H18" s="126">
        <f t="shared" si="2"/>
        <v>16142.0109059363</v>
      </c>
      <c r="I18" s="126">
        <f t="shared" si="3"/>
        <v>9911.194696244887</v>
      </c>
      <c r="J18" s="141">
        <v>0.614</v>
      </c>
      <c r="K18" s="141">
        <v>0.43400669227909283</v>
      </c>
      <c r="L18" s="142"/>
      <c r="M18" s="125">
        <v>1988</v>
      </c>
      <c r="N18" s="126">
        <f t="shared" si="4"/>
        <v>21050.9890940637</v>
      </c>
      <c r="O18" s="126">
        <f t="shared" si="5"/>
        <v>7936.222888462015</v>
      </c>
      <c r="P18" s="141">
        <v>0.377</v>
      </c>
      <c r="Q18" s="144">
        <v>0.5659933077209072</v>
      </c>
    </row>
    <row r="19" spans="1:17" ht="15">
      <c r="A19" s="149" t="s">
        <v>334</v>
      </c>
      <c r="B19" s="125">
        <v>1989</v>
      </c>
      <c r="C19" s="140">
        <f>PNWStarts!$B13</f>
        <v>45742</v>
      </c>
      <c r="D19" s="126">
        <f t="shared" si="0"/>
        <v>21650.983024037698</v>
      </c>
      <c r="E19" s="141">
        <f t="shared" si="1"/>
        <v>0.47332829836993784</v>
      </c>
      <c r="F19" s="142"/>
      <c r="G19" s="125">
        <v>1989</v>
      </c>
      <c r="H19" s="126">
        <f t="shared" si="2"/>
        <v>18806.268828359913</v>
      </c>
      <c r="I19" s="126">
        <f t="shared" si="3"/>
        <v>11415.405178814466</v>
      </c>
      <c r="J19" s="141">
        <v>0.607</v>
      </c>
      <c r="K19" s="141">
        <v>0.41113787828166487</v>
      </c>
      <c r="L19" s="142"/>
      <c r="M19" s="125">
        <v>1989</v>
      </c>
      <c r="N19" s="126">
        <f t="shared" si="4"/>
        <v>26935.731171640084</v>
      </c>
      <c r="O19" s="126">
        <f t="shared" si="5"/>
        <v>10235.577845223232</v>
      </c>
      <c r="P19" s="141">
        <v>0.38</v>
      </c>
      <c r="Q19" s="144">
        <v>0.5888621217183351</v>
      </c>
    </row>
    <row r="20" spans="1:17" ht="15">
      <c r="A20" s="149" t="s">
        <v>334</v>
      </c>
      <c r="B20" s="125">
        <v>1990</v>
      </c>
      <c r="C20" s="140">
        <f>PNWStarts!$B14</f>
        <v>52037</v>
      </c>
      <c r="D20" s="126">
        <f t="shared" si="0"/>
        <v>27295.337864963374</v>
      </c>
      <c r="E20" s="141">
        <f t="shared" si="1"/>
        <v>0.5245371152250009</v>
      </c>
      <c r="F20" s="142"/>
      <c r="G20" s="125">
        <v>1990</v>
      </c>
      <c r="H20" s="126">
        <f t="shared" si="2"/>
        <v>34004.98049511025</v>
      </c>
      <c r="I20" s="126">
        <f t="shared" si="3"/>
        <v>20334.97833607593</v>
      </c>
      <c r="J20" s="141">
        <v>0.598</v>
      </c>
      <c r="K20" s="141">
        <v>0.6534769586084949</v>
      </c>
      <c r="L20" s="142"/>
      <c r="M20" s="125">
        <v>1990</v>
      </c>
      <c r="N20" s="126">
        <f t="shared" si="4"/>
        <v>18032.019504889755</v>
      </c>
      <c r="O20" s="126">
        <f t="shared" si="5"/>
        <v>6960.359528887446</v>
      </c>
      <c r="P20" s="141">
        <v>0.386</v>
      </c>
      <c r="Q20" s="144">
        <v>0.3465230413915052</v>
      </c>
    </row>
    <row r="21" spans="1:17" ht="15">
      <c r="A21" s="149" t="s">
        <v>334</v>
      </c>
      <c r="B21" s="125">
        <v>1991</v>
      </c>
      <c r="C21" s="140">
        <f>PNWStarts!$B15</f>
        <v>45425</v>
      </c>
      <c r="D21" s="126">
        <f t="shared" si="0"/>
        <v>22140.425554380636</v>
      </c>
      <c r="E21" s="141">
        <f t="shared" si="1"/>
        <v>0.4874061762109111</v>
      </c>
      <c r="F21" s="142"/>
      <c r="G21" s="125">
        <v>1991</v>
      </c>
      <c r="H21" s="126">
        <f t="shared" si="2"/>
        <v>19146.34416771041</v>
      </c>
      <c r="I21" s="126">
        <f t="shared" si="3"/>
        <v>11602.684565632508</v>
      </c>
      <c r="J21" s="141">
        <v>0.606</v>
      </c>
      <c r="K21" s="141">
        <v>0.42149354249224896</v>
      </c>
      <c r="L21" s="142"/>
      <c r="M21" s="125">
        <v>1991</v>
      </c>
      <c r="N21" s="126">
        <f t="shared" si="4"/>
        <v>26278.655832289594</v>
      </c>
      <c r="O21" s="126">
        <f t="shared" si="5"/>
        <v>10537.740988748128</v>
      </c>
      <c r="P21" s="141">
        <v>0.401</v>
      </c>
      <c r="Q21" s="144">
        <v>0.5785064575077511</v>
      </c>
    </row>
    <row r="22" spans="1:17" ht="15">
      <c r="A22" s="149" t="s">
        <v>334</v>
      </c>
      <c r="B22" s="125">
        <v>1992</v>
      </c>
      <c r="C22" s="140">
        <f>PNWStarts!$B16</f>
        <v>56149</v>
      </c>
      <c r="D22" s="126">
        <f t="shared" si="0"/>
        <v>27112.19167121219</v>
      </c>
      <c r="E22" s="141">
        <f t="shared" si="1"/>
        <v>0.48286152329003523</v>
      </c>
      <c r="F22" s="142"/>
      <c r="G22" s="125">
        <v>1992</v>
      </c>
      <c r="H22" s="126">
        <f t="shared" si="2"/>
        <v>22515.317277615988</v>
      </c>
      <c r="I22" s="126">
        <f t="shared" si="3"/>
        <v>11707.964984360315</v>
      </c>
      <c r="J22" s="141">
        <v>0.52</v>
      </c>
      <c r="K22" s="141">
        <v>0.4009923111296014</v>
      </c>
      <c r="L22" s="142"/>
      <c r="M22" s="125">
        <v>1992</v>
      </c>
      <c r="N22" s="126">
        <f t="shared" si="4"/>
        <v>33633.68272238401</v>
      </c>
      <c r="O22" s="126">
        <f t="shared" si="5"/>
        <v>15404.226686851876</v>
      </c>
      <c r="P22" s="141">
        <v>0.458</v>
      </c>
      <c r="Q22" s="144">
        <v>0.5990076888703986</v>
      </c>
    </row>
    <row r="23" spans="1:17" ht="15">
      <c r="A23" s="149" t="s">
        <v>334</v>
      </c>
      <c r="B23" s="125">
        <v>1993</v>
      </c>
      <c r="C23" s="140">
        <f>PNWStarts!$B17</f>
        <v>62224</v>
      </c>
      <c r="D23" s="126">
        <f t="shared" si="0"/>
        <v>27025.258392747914</v>
      </c>
      <c r="E23" s="141">
        <f t="shared" si="1"/>
        <v>0.43432210068057203</v>
      </c>
      <c r="F23" s="142"/>
      <c r="G23" s="125">
        <v>1993</v>
      </c>
      <c r="H23" s="126">
        <f t="shared" si="2"/>
        <v>25290.447854958256</v>
      </c>
      <c r="I23" s="126">
        <f t="shared" si="3"/>
        <v>11734.767804700632</v>
      </c>
      <c r="J23" s="141">
        <v>0.464</v>
      </c>
      <c r="K23" s="141">
        <v>0.4064420136114402</v>
      </c>
      <c r="L23" s="142"/>
      <c r="M23" s="125">
        <v>1993</v>
      </c>
      <c r="N23" s="126">
        <f t="shared" si="4"/>
        <v>36933.552145041744</v>
      </c>
      <c r="O23" s="126">
        <f t="shared" si="5"/>
        <v>15290.490588047282</v>
      </c>
      <c r="P23" s="141">
        <v>0.414</v>
      </c>
      <c r="Q23" s="144">
        <v>0.5935579863885598</v>
      </c>
    </row>
    <row r="24" spans="1:17" ht="15">
      <c r="A24" s="149" t="s">
        <v>334</v>
      </c>
      <c r="B24" s="125">
        <v>1994</v>
      </c>
      <c r="C24" s="140">
        <f>PNWStarts!$B18</f>
        <v>65982</v>
      </c>
      <c r="D24" s="126">
        <f t="shared" si="0"/>
        <v>29424.679322724107</v>
      </c>
      <c r="E24" s="141">
        <f t="shared" si="1"/>
        <v>0.445950097340549</v>
      </c>
      <c r="F24" s="142"/>
      <c r="G24" s="125">
        <v>1994</v>
      </c>
      <c r="H24" s="126">
        <f t="shared" si="2"/>
        <v>25517.659647430744</v>
      </c>
      <c r="I24" s="126">
        <f t="shared" si="3"/>
        <v>12146.405992177033</v>
      </c>
      <c r="J24" s="141">
        <v>0.476</v>
      </c>
      <c r="K24" s="141">
        <v>0.3867366804193681</v>
      </c>
      <c r="L24" s="142"/>
      <c r="M24" s="125">
        <v>1994</v>
      </c>
      <c r="N24" s="126">
        <f t="shared" si="4"/>
        <v>40464.340352569256</v>
      </c>
      <c r="O24" s="126">
        <f t="shared" si="5"/>
        <v>17278.273330547072</v>
      </c>
      <c r="P24" s="141">
        <v>0.427</v>
      </c>
      <c r="Q24" s="144">
        <v>0.613263319580632</v>
      </c>
    </row>
    <row r="25" spans="1:17" ht="15">
      <c r="A25" s="149" t="s">
        <v>334</v>
      </c>
      <c r="B25" s="125">
        <v>1995</v>
      </c>
      <c r="C25" s="140">
        <f>PNWStarts!$B19</f>
        <v>58906</v>
      </c>
      <c r="D25" s="126">
        <f t="shared" si="0"/>
        <v>26456.690307387355</v>
      </c>
      <c r="E25" s="141">
        <f t="shared" si="1"/>
        <v>0.44913404928848255</v>
      </c>
      <c r="F25" s="142"/>
      <c r="G25" s="125">
        <v>1995</v>
      </c>
      <c r="H25" s="126">
        <f t="shared" si="2"/>
        <v>22542.206147747107</v>
      </c>
      <c r="I25" s="126">
        <f t="shared" si="3"/>
        <v>10820.258950918611</v>
      </c>
      <c r="J25" s="141">
        <v>0.48</v>
      </c>
      <c r="K25" s="141">
        <v>0.38268098576965176</v>
      </c>
      <c r="L25" s="142"/>
      <c r="M25" s="125">
        <v>1995</v>
      </c>
      <c r="N25" s="126">
        <f t="shared" si="4"/>
        <v>36363.79385225289</v>
      </c>
      <c r="O25" s="126">
        <f t="shared" si="5"/>
        <v>15636.431356468744</v>
      </c>
      <c r="P25" s="141">
        <v>0.43</v>
      </c>
      <c r="Q25" s="144">
        <v>0.6173190142303482</v>
      </c>
    </row>
    <row r="26" spans="1:17" ht="15">
      <c r="A26" s="149" t="s">
        <v>334</v>
      </c>
      <c r="B26" s="125">
        <v>1996</v>
      </c>
      <c r="C26" s="140">
        <f>PNWStarts!$B20</f>
        <v>61519</v>
      </c>
      <c r="D26" s="126">
        <f t="shared" si="0"/>
        <v>27907.082635031904</v>
      </c>
      <c r="E26" s="141">
        <f t="shared" si="1"/>
        <v>0.4536335544308572</v>
      </c>
      <c r="F26" s="142"/>
      <c r="G26" s="125">
        <v>1996</v>
      </c>
      <c r="H26" s="126">
        <f t="shared" si="2"/>
        <v>23881.617396498066</v>
      </c>
      <c r="I26" s="126">
        <f t="shared" si="3"/>
        <v>11534.821202508565</v>
      </c>
      <c r="J26" s="141">
        <v>0.483</v>
      </c>
      <c r="K26" s="141">
        <v>0.38819905064285937</v>
      </c>
      <c r="L26" s="142"/>
      <c r="M26" s="125">
        <v>1996</v>
      </c>
      <c r="N26" s="126">
        <f t="shared" si="4"/>
        <v>37637.38260350193</v>
      </c>
      <c r="O26" s="126">
        <f t="shared" si="5"/>
        <v>16372.261432523339</v>
      </c>
      <c r="P26" s="141">
        <v>0.435</v>
      </c>
      <c r="Q26" s="144">
        <v>0.6118009493571406</v>
      </c>
    </row>
    <row r="27" spans="1:17" ht="15">
      <c r="A27" s="149" t="s">
        <v>334</v>
      </c>
      <c r="B27" s="125">
        <v>1997</v>
      </c>
      <c r="C27" s="140">
        <f>PNWStarts!$B21</f>
        <v>61143</v>
      </c>
      <c r="D27" s="126">
        <f t="shared" si="0"/>
        <v>23485.33544045745</v>
      </c>
      <c r="E27" s="141">
        <f t="shared" si="1"/>
        <v>0.38410505602370587</v>
      </c>
      <c r="F27" s="142"/>
      <c r="G27" s="125">
        <v>1997</v>
      </c>
      <c r="H27" s="126">
        <f t="shared" si="2"/>
        <v>23194.027178442448</v>
      </c>
      <c r="I27" s="126">
        <f t="shared" si="3"/>
        <v>9671.9093334105</v>
      </c>
      <c r="J27" s="141">
        <v>0.417</v>
      </c>
      <c r="K27" s="141">
        <v>0.37934067969256413</v>
      </c>
      <c r="L27" s="142"/>
      <c r="M27" s="125">
        <v>1997</v>
      </c>
      <c r="N27" s="126">
        <f t="shared" si="4"/>
        <v>37948.97282155755</v>
      </c>
      <c r="O27" s="126">
        <f t="shared" si="5"/>
        <v>13813.42610704695</v>
      </c>
      <c r="P27" s="141">
        <v>0.364</v>
      </c>
      <c r="Q27" s="144">
        <v>0.6206593203074359</v>
      </c>
    </row>
    <row r="28" spans="1:17" ht="15">
      <c r="A28" s="149" t="s">
        <v>334</v>
      </c>
      <c r="B28" s="125">
        <v>1998</v>
      </c>
      <c r="C28" s="140">
        <f>PNWStarts!$B22</f>
        <v>63418</v>
      </c>
      <c r="D28" s="126">
        <f t="shared" si="0"/>
        <v>24504.933205296344</v>
      </c>
      <c r="E28" s="141">
        <f t="shared" si="1"/>
        <v>0.3864034375933701</v>
      </c>
      <c r="F28" s="142"/>
      <c r="G28" s="125">
        <v>1998</v>
      </c>
      <c r="H28" s="126">
        <f t="shared" si="2"/>
        <v>23938.6968596185</v>
      </c>
      <c r="I28" s="126">
        <f t="shared" si="3"/>
        <v>10173.946165337862</v>
      </c>
      <c r="J28" s="141">
        <v>0.425</v>
      </c>
      <c r="K28" s="141">
        <v>0.37747479989306665</v>
      </c>
      <c r="L28" s="142"/>
      <c r="M28" s="125">
        <v>1998</v>
      </c>
      <c r="N28" s="126">
        <f t="shared" si="4"/>
        <v>39479.3031403815</v>
      </c>
      <c r="O28" s="126">
        <f t="shared" si="5"/>
        <v>14330.987039958483</v>
      </c>
      <c r="P28" s="141">
        <v>0.363</v>
      </c>
      <c r="Q28" s="144">
        <v>0.6225252001069334</v>
      </c>
    </row>
    <row r="29" spans="1:17" ht="15">
      <c r="A29" s="149" t="s">
        <v>334</v>
      </c>
      <c r="B29" s="125">
        <v>1999</v>
      </c>
      <c r="C29" s="140">
        <f>PNWStarts!$B23</f>
        <v>62069</v>
      </c>
      <c r="D29" s="126">
        <f t="shared" si="0"/>
        <v>24161.326428783173</v>
      </c>
      <c r="E29" s="141">
        <f t="shared" si="1"/>
        <v>0.3892655984272853</v>
      </c>
      <c r="F29" s="142"/>
      <c r="G29" s="125">
        <v>1999</v>
      </c>
      <c r="H29" s="126">
        <f t="shared" si="2"/>
        <v>23291.490786825394</v>
      </c>
      <c r="I29" s="126">
        <f t="shared" si="3"/>
        <v>9968.758056761268</v>
      </c>
      <c r="J29" s="141">
        <v>0.428</v>
      </c>
      <c r="K29" s="141">
        <v>0.3752515875368605</v>
      </c>
      <c r="L29" s="142"/>
      <c r="M29" s="125">
        <v>1999</v>
      </c>
      <c r="N29" s="126">
        <f t="shared" si="4"/>
        <v>38777.509213174606</v>
      </c>
      <c r="O29" s="126">
        <f t="shared" si="5"/>
        <v>14192.568372021906</v>
      </c>
      <c r="P29" s="141">
        <v>0.366</v>
      </c>
      <c r="Q29" s="144">
        <v>0.6247484124631395</v>
      </c>
    </row>
    <row r="30" spans="1:17" ht="15">
      <c r="A30" s="149" t="s">
        <v>334</v>
      </c>
      <c r="B30" s="125">
        <v>2000</v>
      </c>
      <c r="C30" s="140">
        <f>PNWStarts!$B24</f>
        <v>57102</v>
      </c>
      <c r="D30" s="126">
        <f t="shared" si="0"/>
        <v>22334.27962647035</v>
      </c>
      <c r="E30" s="141">
        <f t="shared" si="1"/>
        <v>0.3911295510922621</v>
      </c>
      <c r="F30" s="142"/>
      <c r="G30" s="125">
        <v>2000</v>
      </c>
      <c r="H30" s="126">
        <f t="shared" si="2"/>
        <v>20791.94533087941</v>
      </c>
      <c r="I30" s="126">
        <f t="shared" si="3"/>
        <v>9190.0398362487</v>
      </c>
      <c r="J30" s="141">
        <v>0.442</v>
      </c>
      <c r="K30" s="141">
        <v>0.3641193886532768</v>
      </c>
      <c r="L30" s="142"/>
      <c r="M30" s="125">
        <v>2000</v>
      </c>
      <c r="N30" s="126">
        <f t="shared" si="4"/>
        <v>36310.05466912059</v>
      </c>
      <c r="O30" s="126">
        <f t="shared" si="5"/>
        <v>13144.239790221653</v>
      </c>
      <c r="P30" s="141">
        <v>0.362</v>
      </c>
      <c r="Q30" s="144">
        <v>0.6358806113467232</v>
      </c>
    </row>
    <row r="31" spans="1:17" ht="15">
      <c r="A31" s="149" t="s">
        <v>334</v>
      </c>
      <c r="B31" s="125">
        <v>2001</v>
      </c>
      <c r="C31" s="140">
        <f>PNWStarts!$B25</f>
        <v>58350</v>
      </c>
      <c r="D31" s="126">
        <f t="shared" si="0"/>
        <v>23001.55150119279</v>
      </c>
      <c r="E31" s="141">
        <f t="shared" si="1"/>
        <v>0.3941996829681712</v>
      </c>
      <c r="F31" s="142"/>
      <c r="G31" s="125">
        <v>2001</v>
      </c>
      <c r="H31" s="126">
        <f t="shared" si="2"/>
        <v>22305.71520497206</v>
      </c>
      <c r="I31" s="126">
        <f t="shared" si="3"/>
        <v>9881.431835802623</v>
      </c>
      <c r="J31" s="141">
        <v>0.443</v>
      </c>
      <c r="K31" s="141">
        <v>0.3822744679515349</v>
      </c>
      <c r="L31" s="142"/>
      <c r="M31" s="125">
        <v>2001</v>
      </c>
      <c r="N31" s="126">
        <f t="shared" si="4"/>
        <v>36044.28479502793</v>
      </c>
      <c r="O31" s="126">
        <f t="shared" si="5"/>
        <v>13120.119665390166</v>
      </c>
      <c r="P31" s="141">
        <v>0.364</v>
      </c>
      <c r="Q31" s="144">
        <v>0.617725532048465</v>
      </c>
    </row>
    <row r="32" spans="1:17" ht="15">
      <c r="A32" s="150" t="s">
        <v>335</v>
      </c>
      <c r="B32" s="127">
        <v>2002</v>
      </c>
      <c r="C32" s="151">
        <f>C31*(1+'Summary for 5th Plan'!E$8)</f>
        <v>59079.375</v>
      </c>
      <c r="D32" s="128">
        <f t="shared" si="0"/>
        <v>23296.41146857373</v>
      </c>
      <c r="E32" s="152">
        <f t="shared" si="1"/>
        <v>0.39432393231265106</v>
      </c>
      <c r="F32" s="127"/>
      <c r="G32" s="127">
        <v>2002</v>
      </c>
      <c r="H32" s="128">
        <f t="shared" si="2"/>
        <v>22612.975926672036</v>
      </c>
      <c r="I32" s="128">
        <f t="shared" si="3"/>
        <v>9949.709407735696</v>
      </c>
      <c r="J32" s="152">
        <v>0.44</v>
      </c>
      <c r="K32" s="152">
        <v>0.3827558420628525</v>
      </c>
      <c r="L32" s="127"/>
      <c r="M32" s="127">
        <v>2002</v>
      </c>
      <c r="N32" s="128">
        <f t="shared" si="4"/>
        <v>36466.399073327964</v>
      </c>
      <c r="O32" s="128">
        <f t="shared" si="5"/>
        <v>13346.702060838035</v>
      </c>
      <c r="P32" s="152">
        <v>0.366</v>
      </c>
      <c r="Q32" s="153">
        <v>0.6172441579371475</v>
      </c>
    </row>
    <row r="33" spans="1:17" ht="15">
      <c r="A33" s="150" t="s">
        <v>335</v>
      </c>
      <c r="B33" s="127">
        <v>2003</v>
      </c>
      <c r="C33" s="151">
        <f>C32*(1+'Summary for 5th Plan'!E$8)</f>
        <v>59817.8671875</v>
      </c>
      <c r="D33" s="128">
        <f t="shared" si="0"/>
        <v>21833.588819656412</v>
      </c>
      <c r="E33" s="152">
        <f t="shared" si="1"/>
        <v>0.3650011250186955</v>
      </c>
      <c r="F33" s="142"/>
      <c r="G33" s="127">
        <v>2003</v>
      </c>
      <c r="H33" s="128">
        <f t="shared" si="2"/>
        <v>21845.832523284753</v>
      </c>
      <c r="I33" s="128">
        <f t="shared" si="3"/>
        <v>8677.429476216194</v>
      </c>
      <c r="J33" s="152">
        <f aca="true" t="shared" si="6" ref="J33:K55">FORECAST($B33,J$21:J$32,$B$21:$B$32)</f>
        <v>0.3972121212120072</v>
      </c>
      <c r="K33" s="152">
        <f t="shared" si="6"/>
        <v>0.3652058080708338</v>
      </c>
      <c r="L33" s="142"/>
      <c r="M33" s="127">
        <v>2003</v>
      </c>
      <c r="N33" s="128">
        <f t="shared" si="4"/>
        <v>37972.03466422513</v>
      </c>
      <c r="O33" s="128">
        <f t="shared" si="5"/>
        <v>13156.159343440217</v>
      </c>
      <c r="P33" s="152">
        <f aca="true" t="shared" si="7" ref="P33:Q55">FORECAST($B33,P$21:P$32,$B$21:$B$32)</f>
        <v>0.346469696969784</v>
      </c>
      <c r="Q33" s="153">
        <f t="shared" si="7"/>
        <v>0.6347941919293314</v>
      </c>
    </row>
    <row r="34" spans="1:17" ht="15">
      <c r="A34" s="150" t="s">
        <v>335</v>
      </c>
      <c r="B34" s="127">
        <v>2004</v>
      </c>
      <c r="C34" s="151">
        <f>C33*(1+'Summary for 5th Plan'!E$8)</f>
        <v>60565.590527343746</v>
      </c>
      <c r="D34" s="128">
        <f t="shared" si="0"/>
        <v>21561.623125730373</v>
      </c>
      <c r="E34" s="152">
        <f t="shared" si="1"/>
        <v>0.3560045058257275</v>
      </c>
      <c r="F34" s="142"/>
      <c r="G34" s="127">
        <v>2004</v>
      </c>
      <c r="H34" s="128">
        <f t="shared" si="2"/>
        <v>21912.9112551304</v>
      </c>
      <c r="I34" s="128">
        <f t="shared" si="3"/>
        <v>8463.185174915612</v>
      </c>
      <c r="J34" s="152">
        <f t="shared" si="6"/>
        <v>0.3862191142189815</v>
      </c>
      <c r="K34" s="152">
        <f t="shared" si="6"/>
        <v>0.36180463303230415</v>
      </c>
      <c r="L34" s="142"/>
      <c r="M34" s="127">
        <v>2004</v>
      </c>
      <c r="N34" s="128">
        <f t="shared" si="4"/>
        <v>38652.67927222491</v>
      </c>
      <c r="O34" s="128">
        <f t="shared" si="5"/>
        <v>13098.43795081476</v>
      </c>
      <c r="P34" s="152">
        <f t="shared" si="7"/>
        <v>0.3388752913753912</v>
      </c>
      <c r="Q34" s="153">
        <f t="shared" si="7"/>
        <v>0.6381953669678868</v>
      </c>
    </row>
    <row r="35" spans="1:17" ht="15">
      <c r="A35" s="150" t="s">
        <v>335</v>
      </c>
      <c r="B35" s="127">
        <v>2005</v>
      </c>
      <c r="C35" s="151">
        <f>C34*(1+'Summary for 5th Plan'!E$8)</f>
        <v>61322.66040893554</v>
      </c>
      <c r="D35" s="128">
        <f t="shared" si="0"/>
        <v>21280.864477685784</v>
      </c>
      <c r="E35" s="152">
        <f t="shared" si="1"/>
        <v>0.3470310051092447</v>
      </c>
      <c r="F35" s="142"/>
      <c r="G35" s="127">
        <v>2005</v>
      </c>
      <c r="H35" s="128">
        <f t="shared" si="2"/>
        <v>21978.253543940373</v>
      </c>
      <c r="I35" s="128">
        <f t="shared" si="3"/>
        <v>8246.814520917811</v>
      </c>
      <c r="J35" s="152">
        <f t="shared" si="6"/>
        <v>0.37522610722595573</v>
      </c>
      <c r="K35" s="152">
        <f t="shared" si="6"/>
        <v>0.3584034579937736</v>
      </c>
      <c r="L35" s="142"/>
      <c r="M35" s="127">
        <v>2005</v>
      </c>
      <c r="N35" s="128">
        <f t="shared" si="4"/>
        <v>39344.4068650084</v>
      </c>
      <c r="O35" s="128">
        <f t="shared" si="5"/>
        <v>13034.049956767974</v>
      </c>
      <c r="P35" s="152">
        <f t="shared" si="7"/>
        <v>0.33128088578099835</v>
      </c>
      <c r="Q35" s="153">
        <f t="shared" si="7"/>
        <v>0.6415965420064422</v>
      </c>
    </row>
    <row r="36" spans="1:17" ht="15">
      <c r="A36" s="150" t="s">
        <v>335</v>
      </c>
      <c r="B36" s="127">
        <v>2006</v>
      </c>
      <c r="C36" s="151">
        <f>C35*(1+'Summary for 5th Plan'!E$8)</f>
        <v>62089.19366404723</v>
      </c>
      <c r="D36" s="128">
        <f t="shared" si="0"/>
        <v>20991.153267390437</v>
      </c>
      <c r="E36" s="152">
        <f t="shared" si="1"/>
        <v>0.3380806228692477</v>
      </c>
      <c r="F36" s="142"/>
      <c r="G36" s="127">
        <v>2006</v>
      </c>
      <c r="H36" s="128">
        <f t="shared" si="2"/>
        <v>22041.805497587033</v>
      </c>
      <c r="I36" s="128">
        <f t="shared" si="3"/>
        <v>8028.355151117365</v>
      </c>
      <c r="J36" s="152">
        <f t="shared" si="6"/>
        <v>0.36423310023293</v>
      </c>
      <c r="K36" s="152">
        <f t="shared" si="6"/>
        <v>0.35500228295524394</v>
      </c>
      <c r="L36" s="142"/>
      <c r="M36" s="127">
        <v>2006</v>
      </c>
      <c r="N36" s="128">
        <f t="shared" si="4"/>
        <v>40047.3881664752</v>
      </c>
      <c r="O36" s="128">
        <f t="shared" si="5"/>
        <v>12962.798116273074</v>
      </c>
      <c r="P36" s="152">
        <f t="shared" si="7"/>
        <v>0.3236864801866055</v>
      </c>
      <c r="Q36" s="153">
        <f t="shared" si="7"/>
        <v>0.6449977170449976</v>
      </c>
    </row>
    <row r="37" spans="1:17" ht="15">
      <c r="A37" s="150" t="s">
        <v>335</v>
      </c>
      <c r="B37" s="127">
        <v>2007</v>
      </c>
      <c r="C37" s="151">
        <f>C36*(1+'Summary for 5th Plan'!E$8)</f>
        <v>62865.308584847815</v>
      </c>
      <c r="D37" s="128">
        <f t="shared" si="0"/>
        <v>20692.32749192149</v>
      </c>
      <c r="E37" s="152">
        <f t="shared" si="1"/>
        <v>0.3291533591057387</v>
      </c>
      <c r="F37" s="142"/>
      <c r="G37" s="127">
        <v>2007</v>
      </c>
      <c r="H37" s="128">
        <f t="shared" si="2"/>
        <v>22103.512147958623</v>
      </c>
      <c r="I37" s="128">
        <f t="shared" si="3"/>
        <v>7807.8466920743385</v>
      </c>
      <c r="J37" s="152">
        <f t="shared" si="6"/>
        <v>0.3532400932399078</v>
      </c>
      <c r="K37" s="152">
        <f t="shared" si="6"/>
        <v>0.3516011079167143</v>
      </c>
      <c r="L37" s="142"/>
      <c r="M37" s="127">
        <v>2007</v>
      </c>
      <c r="N37" s="128">
        <f t="shared" si="4"/>
        <v>40761.796436906</v>
      </c>
      <c r="O37" s="128">
        <f t="shared" si="5"/>
        <v>12884.480799847152</v>
      </c>
      <c r="P37" s="152">
        <f t="shared" si="7"/>
        <v>0.31609207459221444</v>
      </c>
      <c r="Q37" s="153">
        <f t="shared" si="7"/>
        <v>0.6483988920835531</v>
      </c>
    </row>
    <row r="38" spans="1:17" ht="15">
      <c r="A38" s="150" t="s">
        <v>335</v>
      </c>
      <c r="B38" s="127">
        <v>2008</v>
      </c>
      <c r="C38" s="151">
        <f>C37*(1+'Summary for 5th Plan'!E$8)</f>
        <v>63651.12494215841</v>
      </c>
      <c r="D38" s="128">
        <f t="shared" si="0"/>
        <v>20384.222721402868</v>
      </c>
      <c r="E38" s="152">
        <f t="shared" si="1"/>
        <v>0.32024921381871246</v>
      </c>
      <c r="F38" s="142"/>
      <c r="G38" s="127">
        <v>2008</v>
      </c>
      <c r="H38" s="128">
        <f t="shared" si="2"/>
        <v>22163.3174324805</v>
      </c>
      <c r="I38" s="128">
        <f t="shared" si="3"/>
        <v>7585.330812831178</v>
      </c>
      <c r="J38" s="152">
        <f t="shared" si="6"/>
        <v>0.34224708624688205</v>
      </c>
      <c r="K38" s="152">
        <f t="shared" si="6"/>
        <v>0.3481999328781846</v>
      </c>
      <c r="L38" s="142"/>
      <c r="M38" s="127">
        <v>2008</v>
      </c>
      <c r="N38" s="128">
        <f t="shared" si="4"/>
        <v>41487.807509696504</v>
      </c>
      <c r="O38" s="128">
        <f t="shared" si="5"/>
        <v>12798.89190857169</v>
      </c>
      <c r="P38" s="152">
        <f t="shared" si="7"/>
        <v>0.3084976689978216</v>
      </c>
      <c r="Q38" s="153">
        <f t="shared" si="7"/>
        <v>0.6518000671221076</v>
      </c>
    </row>
    <row r="39" spans="1:17" ht="15">
      <c r="A39" s="150" t="s">
        <v>335</v>
      </c>
      <c r="B39" s="127">
        <v>2009</v>
      </c>
      <c r="C39" s="151">
        <f>C38*(1+'Summary for 5th Plan'!E$8)</f>
        <v>64446.76400393539</v>
      </c>
      <c r="D39" s="128">
        <f t="shared" si="0"/>
        <v>20066.67206644888</v>
      </c>
      <c r="E39" s="152">
        <f t="shared" si="1"/>
        <v>0.311368187008172</v>
      </c>
      <c r="F39" s="142"/>
      <c r="G39" s="127">
        <v>2009</v>
      </c>
      <c r="H39" s="128">
        <f t="shared" si="2"/>
        <v>22221.16417534231</v>
      </c>
      <c r="I39" s="128">
        <f t="shared" si="3"/>
        <v>7360.851278851794</v>
      </c>
      <c r="J39" s="152">
        <f t="shared" si="6"/>
        <v>0.3312540792538563</v>
      </c>
      <c r="K39" s="152">
        <f t="shared" si="6"/>
        <v>0.34479875783965497</v>
      </c>
      <c r="L39" s="142"/>
      <c r="M39" s="127">
        <v>2009</v>
      </c>
      <c r="N39" s="128">
        <f t="shared" si="4"/>
        <v>42225.599828613565</v>
      </c>
      <c r="O39" s="128">
        <f t="shared" si="5"/>
        <v>12705.820787597084</v>
      </c>
      <c r="P39" s="152">
        <f t="shared" si="7"/>
        <v>0.30090326340342877</v>
      </c>
      <c r="Q39" s="153">
        <f t="shared" si="7"/>
        <v>0.655201242160663</v>
      </c>
    </row>
    <row r="40" spans="1:17" ht="15">
      <c r="A40" s="150" t="s">
        <v>335</v>
      </c>
      <c r="B40" s="127">
        <v>2010</v>
      </c>
      <c r="C40" s="151">
        <f>C39*(1+'Summary for 5th Plan'!E$8)</f>
        <v>65252.34855398458</v>
      </c>
      <c r="D40" s="128">
        <f t="shared" si="0"/>
        <v>19739.50614520655</v>
      </c>
      <c r="E40" s="152">
        <f t="shared" si="1"/>
        <v>0.3025102786741179</v>
      </c>
      <c r="F40" s="142"/>
      <c r="G40" s="127">
        <v>2010</v>
      </c>
      <c r="H40" s="128">
        <f t="shared" si="2"/>
        <v>22276.994068426782</v>
      </c>
      <c r="I40" s="128">
        <f t="shared" si="3"/>
        <v>7134.454007102602</v>
      </c>
      <c r="J40" s="152">
        <f t="shared" si="6"/>
        <v>0.3202610722608341</v>
      </c>
      <c r="K40" s="152">
        <f t="shared" si="6"/>
        <v>0.3413975828011244</v>
      </c>
      <c r="L40" s="142"/>
      <c r="M40" s="127">
        <v>2010</v>
      </c>
      <c r="N40" s="128">
        <f t="shared" si="4"/>
        <v>42975.35448558017</v>
      </c>
      <c r="O40" s="128">
        <f t="shared" si="5"/>
        <v>12605.052138103947</v>
      </c>
      <c r="P40" s="152">
        <f t="shared" si="7"/>
        <v>0.2933088578090359</v>
      </c>
      <c r="Q40" s="153">
        <f t="shared" si="7"/>
        <v>0.6586024171992184</v>
      </c>
    </row>
    <row r="41" spans="1:17" ht="15">
      <c r="A41" s="150" t="s">
        <v>335</v>
      </c>
      <c r="B41" s="127">
        <v>2011</v>
      </c>
      <c r="C41" s="151">
        <f>C40*(1+'Summary for 5th Plan'!E$8)</f>
        <v>66068.00291090939</v>
      </c>
      <c r="D41" s="128">
        <f t="shared" si="0"/>
        <v>19402.553049994538</v>
      </c>
      <c r="E41" s="152">
        <f t="shared" si="1"/>
        <v>0.29367548881654965</v>
      </c>
      <c r="F41" s="142"/>
      <c r="G41" s="127">
        <v>2011</v>
      </c>
      <c r="H41" s="128">
        <f t="shared" si="2"/>
        <v>22330.747651936028</v>
      </c>
      <c r="I41" s="128">
        <f t="shared" si="3"/>
        <v>6906.18712229791</v>
      </c>
      <c r="J41" s="152">
        <f t="shared" si="6"/>
        <v>0.30926806526780837</v>
      </c>
      <c r="K41" s="152">
        <f t="shared" si="6"/>
        <v>0.33799640776259476</v>
      </c>
      <c r="L41" s="142"/>
      <c r="M41" s="127">
        <v>2011</v>
      </c>
      <c r="N41" s="128">
        <f t="shared" si="4"/>
        <v>43737.25525899771</v>
      </c>
      <c r="O41" s="128">
        <f t="shared" si="5"/>
        <v>12496.365927696626</v>
      </c>
      <c r="P41" s="152">
        <f t="shared" si="7"/>
        <v>0.28571445221464487</v>
      </c>
      <c r="Q41" s="153">
        <f t="shared" si="7"/>
        <v>0.6620035922377738</v>
      </c>
    </row>
    <row r="42" spans="1:17" ht="15">
      <c r="A42" s="150" t="s">
        <v>335</v>
      </c>
      <c r="B42" s="127">
        <v>2012</v>
      </c>
      <c r="C42" s="151">
        <f>C41*(1+'Summary for 5th Plan'!E$8)</f>
        <v>66893.85294729576</v>
      </c>
      <c r="D42" s="128">
        <f t="shared" si="0"/>
        <v>19055.63831353334</v>
      </c>
      <c r="E42" s="152">
        <f t="shared" si="1"/>
        <v>0.28486381743546557</v>
      </c>
      <c r="F42" s="142"/>
      <c r="G42" s="127">
        <v>2012</v>
      </c>
      <c r="H42" s="128">
        <f t="shared" si="2"/>
        <v>22382.364294709812</v>
      </c>
      <c r="I42" s="128">
        <f t="shared" si="3"/>
        <v>6676.101014331983</v>
      </c>
      <c r="J42" s="152">
        <f t="shared" si="6"/>
        <v>0.2982750582747826</v>
      </c>
      <c r="K42" s="152">
        <f t="shared" si="6"/>
        <v>0.3345952327240651</v>
      </c>
      <c r="L42" s="142"/>
      <c r="M42" s="127">
        <v>2012</v>
      </c>
      <c r="N42" s="128">
        <f t="shared" si="4"/>
        <v>44511.48865261232</v>
      </c>
      <c r="O42" s="128">
        <f t="shared" si="5"/>
        <v>12379.537299201358</v>
      </c>
      <c r="P42" s="152">
        <f t="shared" si="7"/>
        <v>0.278120046620252</v>
      </c>
      <c r="Q42" s="153">
        <f t="shared" si="7"/>
        <v>0.6654047672763292</v>
      </c>
    </row>
    <row r="43" spans="1:17" ht="15">
      <c r="A43" s="150" t="s">
        <v>335</v>
      </c>
      <c r="B43" s="127">
        <v>2013</v>
      </c>
      <c r="C43" s="151">
        <f>C42*(1+'Summary for 5th Plan'!E$8)</f>
        <v>67730.02610913695</v>
      </c>
      <c r="D43" s="128">
        <f t="shared" si="0"/>
        <v>18698.58487476252</v>
      </c>
      <c r="E43" s="152">
        <f t="shared" si="1"/>
        <v>0.2760752645308671</v>
      </c>
      <c r="F43" s="142"/>
      <c r="G43" s="127">
        <v>2013</v>
      </c>
      <c r="H43" s="128">
        <f t="shared" si="2"/>
        <v>22431.782174232325</v>
      </c>
      <c r="I43" s="128">
        <f t="shared" si="3"/>
        <v>6444.248396919011</v>
      </c>
      <c r="J43" s="152">
        <f t="shared" si="6"/>
        <v>0.2872820512817569</v>
      </c>
      <c r="K43" s="152">
        <f t="shared" si="6"/>
        <v>0.33119405768553545</v>
      </c>
      <c r="L43" s="142"/>
      <c r="M43" s="127">
        <v>2013</v>
      </c>
      <c r="N43" s="128">
        <f t="shared" si="4"/>
        <v>45298.243934933074</v>
      </c>
      <c r="O43" s="128">
        <f t="shared" si="5"/>
        <v>12254.336477843508</v>
      </c>
      <c r="P43" s="152">
        <f t="shared" si="7"/>
        <v>0.2705256410258592</v>
      </c>
      <c r="Q43" s="153">
        <f t="shared" si="7"/>
        <v>0.6688059423148847</v>
      </c>
    </row>
    <row r="44" spans="1:17" ht="15">
      <c r="A44" s="150" t="s">
        <v>335</v>
      </c>
      <c r="B44" s="127">
        <v>2014</v>
      </c>
      <c r="C44" s="151">
        <f>C43*(1+'Summary for 5th Plan'!E$8)</f>
        <v>68576.65143550116</v>
      </c>
      <c r="D44" s="128">
        <f t="shared" si="0"/>
        <v>18331.213044239666</v>
      </c>
      <c r="E44" s="152">
        <f t="shared" si="1"/>
        <v>0.267309830102755</v>
      </c>
      <c r="F44" s="142"/>
      <c r="G44" s="127">
        <v>2014</v>
      </c>
      <c r="H44" s="128">
        <f t="shared" si="2"/>
        <v>22478.938256321853</v>
      </c>
      <c r="I44" s="128">
        <f t="shared" si="3"/>
        <v>6210.684367464641</v>
      </c>
      <c r="J44" s="152">
        <f t="shared" si="6"/>
        <v>0.2762890442887347</v>
      </c>
      <c r="K44" s="152">
        <f t="shared" si="6"/>
        <v>0.3277928826470058</v>
      </c>
      <c r="L44" s="142"/>
      <c r="M44" s="127">
        <v>2014</v>
      </c>
      <c r="N44" s="128">
        <f t="shared" si="4"/>
        <v>46097.71317920982</v>
      </c>
      <c r="O44" s="128">
        <f t="shared" si="5"/>
        <v>12120.528676775028</v>
      </c>
      <c r="P44" s="152">
        <f t="shared" si="7"/>
        <v>0.26293123543146635</v>
      </c>
      <c r="Q44" s="153">
        <f t="shared" si="7"/>
        <v>0.6722071173534392</v>
      </c>
    </row>
    <row r="45" spans="1:17" ht="15">
      <c r="A45" s="150" t="s">
        <v>335</v>
      </c>
      <c r="B45" s="127">
        <v>2015</v>
      </c>
      <c r="C45" s="151">
        <f>C44*(1+'Summary for 5th Plan'!E$8)</f>
        <v>69433.85957844493</v>
      </c>
      <c r="D45" s="128">
        <f t="shared" si="0"/>
        <v>17953.340469116945</v>
      </c>
      <c r="E45" s="152">
        <f t="shared" si="1"/>
        <v>0.25856751415112733</v>
      </c>
      <c r="F45" s="142"/>
      <c r="G45" s="127">
        <v>2015</v>
      </c>
      <c r="H45" s="128">
        <f t="shared" si="2"/>
        <v>22523.768274498834</v>
      </c>
      <c r="I45" s="128">
        <f t="shared" si="3"/>
        <v>5975.466468191348</v>
      </c>
      <c r="J45" s="152">
        <f t="shared" si="6"/>
        <v>0.26529603729570894</v>
      </c>
      <c r="K45" s="152">
        <f t="shared" si="6"/>
        <v>0.32439170760847524</v>
      </c>
      <c r="L45" s="142"/>
      <c r="M45" s="127">
        <v>2015</v>
      </c>
      <c r="N45" s="128">
        <f t="shared" si="4"/>
        <v>46910.09130397872</v>
      </c>
      <c r="O45" s="128">
        <f t="shared" si="5"/>
        <v>11977.874000925596</v>
      </c>
      <c r="P45" s="152">
        <f t="shared" si="7"/>
        <v>0.2553368298370735</v>
      </c>
      <c r="Q45" s="153">
        <f t="shared" si="7"/>
        <v>0.6756082923919946</v>
      </c>
    </row>
    <row r="46" spans="1:17" ht="15">
      <c r="A46" s="150" t="s">
        <v>335</v>
      </c>
      <c r="B46" s="127">
        <v>2016</v>
      </c>
      <c r="C46" s="151">
        <f>C45*(1+'Summary for 5th Plan'!E$8)</f>
        <v>70301.78282317548</v>
      </c>
      <c r="D46" s="128">
        <f t="shared" si="0"/>
        <v>17564.782097691175</v>
      </c>
      <c r="E46" s="152">
        <f t="shared" si="1"/>
        <v>0.24984831667598648</v>
      </c>
      <c r="F46" s="142"/>
      <c r="G46" s="127">
        <v>2016</v>
      </c>
      <c r="H46" s="128">
        <f t="shared" si="2"/>
        <v>22566.206709027752</v>
      </c>
      <c r="I46" s="128">
        <f t="shared" si="3"/>
        <v>5738.654748542497</v>
      </c>
      <c r="J46" s="152">
        <f t="shared" si="6"/>
        <v>0.2543030303026832</v>
      </c>
      <c r="K46" s="152">
        <f t="shared" si="6"/>
        <v>0.3209905325699456</v>
      </c>
      <c r="L46" s="142"/>
      <c r="M46" s="127">
        <v>2016</v>
      </c>
      <c r="N46" s="128">
        <f t="shared" si="4"/>
        <v>47735.57611418257</v>
      </c>
      <c r="O46" s="128">
        <f t="shared" si="5"/>
        <v>11826.127349148677</v>
      </c>
      <c r="P46" s="152">
        <f t="shared" si="7"/>
        <v>0.24774242424268245</v>
      </c>
      <c r="Q46" s="153">
        <f t="shared" si="7"/>
        <v>0.67900946743055</v>
      </c>
    </row>
    <row r="47" spans="1:17" ht="15">
      <c r="A47" s="150" t="s">
        <v>335</v>
      </c>
      <c r="B47" s="127">
        <v>2017</v>
      </c>
      <c r="C47" s="151">
        <f>C46*(1+'Summary for 5th Plan'!E$8)</f>
        <v>71180.55510846517</v>
      </c>
      <c r="D47" s="128">
        <f t="shared" si="0"/>
        <v>17165.350143520875</v>
      </c>
      <c r="E47" s="152">
        <f t="shared" si="1"/>
        <v>0.24115223767732996</v>
      </c>
      <c r="F47" s="142"/>
      <c r="G47" s="127">
        <v>2017</v>
      </c>
      <c r="H47" s="128">
        <f t="shared" si="2"/>
        <v>22606.186765626997</v>
      </c>
      <c r="I47" s="128">
        <f t="shared" si="3"/>
        <v>5500.311828887175</v>
      </c>
      <c r="J47" s="152">
        <f t="shared" si="6"/>
        <v>0.24331002330965745</v>
      </c>
      <c r="K47" s="152">
        <f t="shared" si="6"/>
        <v>0.31758935753141593</v>
      </c>
      <c r="L47" s="142"/>
      <c r="M47" s="127">
        <v>2017</v>
      </c>
      <c r="N47" s="128">
        <f t="shared" si="4"/>
        <v>48574.36834287528</v>
      </c>
      <c r="O47" s="128">
        <f t="shared" si="5"/>
        <v>11665.0383146337</v>
      </c>
      <c r="P47" s="152">
        <f t="shared" si="7"/>
        <v>0.2401480186482896</v>
      </c>
      <c r="Q47" s="153">
        <f t="shared" si="7"/>
        <v>0.6824106424691054</v>
      </c>
    </row>
    <row r="48" spans="1:17" ht="15">
      <c r="A48" s="150" t="s">
        <v>335</v>
      </c>
      <c r="B48" s="127">
        <v>2018</v>
      </c>
      <c r="C48" s="151">
        <f>C47*(1+'Summary for 5th Plan'!E$8)</f>
        <v>72070.31204732099</v>
      </c>
      <c r="D48" s="128">
        <f t="shared" si="0"/>
        <v>16754.854049108006</v>
      </c>
      <c r="E48" s="152">
        <f t="shared" si="1"/>
        <v>0.23247927715516006</v>
      </c>
      <c r="F48" s="142"/>
      <c r="G48" s="127">
        <v>2018</v>
      </c>
      <c r="H48" s="128">
        <f t="shared" si="2"/>
        <v>22643.640353842944</v>
      </c>
      <c r="I48" s="128">
        <f t="shared" si="3"/>
        <v>5260.502965551752</v>
      </c>
      <c r="J48" s="152">
        <f t="shared" si="6"/>
        <v>0.23231701631663526</v>
      </c>
      <c r="K48" s="152">
        <f t="shared" si="6"/>
        <v>0.31418818249288627</v>
      </c>
      <c r="L48" s="142"/>
      <c r="M48" s="127">
        <v>2018</v>
      </c>
      <c r="N48" s="128">
        <f t="shared" si="4"/>
        <v>49426.67169351747</v>
      </c>
      <c r="O48" s="128">
        <f t="shared" si="5"/>
        <v>11494.351083556254</v>
      </c>
      <c r="P48" s="152">
        <f t="shared" si="7"/>
        <v>0.23255361305389677</v>
      </c>
      <c r="Q48" s="153">
        <f t="shared" si="7"/>
        <v>0.6858118175076608</v>
      </c>
    </row>
    <row r="49" spans="1:17" ht="15">
      <c r="A49" s="150" t="s">
        <v>335</v>
      </c>
      <c r="B49" s="127">
        <v>2019</v>
      </c>
      <c r="C49" s="151">
        <f>C48*(1+'Summary for 5th Plan'!E$8)</f>
        <v>72971.19094791249</v>
      </c>
      <c r="D49" s="128">
        <f t="shared" si="0"/>
        <v>16333.100449136853</v>
      </c>
      <c r="E49" s="152">
        <f t="shared" si="1"/>
        <v>0.22382943510947453</v>
      </c>
      <c r="F49" s="142"/>
      <c r="G49" s="127">
        <v>2019</v>
      </c>
      <c r="H49" s="128">
        <f t="shared" si="2"/>
        <v>22678.49806508216</v>
      </c>
      <c r="I49" s="128">
        <f t="shared" si="3"/>
        <v>5019.296117201704</v>
      </c>
      <c r="J49" s="152">
        <f t="shared" si="6"/>
        <v>0.22132400932360952</v>
      </c>
      <c r="K49" s="152">
        <f t="shared" si="6"/>
        <v>0.3107870074543566</v>
      </c>
      <c r="L49" s="142"/>
      <c r="M49" s="127">
        <v>2019</v>
      </c>
      <c r="N49" s="128">
        <f t="shared" si="4"/>
        <v>50292.692882872136</v>
      </c>
      <c r="O49" s="128">
        <f t="shared" si="5"/>
        <v>11313.80433193515</v>
      </c>
      <c r="P49" s="152">
        <f t="shared" si="7"/>
        <v>0.22495920745950393</v>
      </c>
      <c r="Q49" s="153">
        <f t="shared" si="7"/>
        <v>0.6892129925462163</v>
      </c>
    </row>
    <row r="50" spans="1:17" ht="15">
      <c r="A50" s="150" t="s">
        <v>335</v>
      </c>
      <c r="B50" s="127">
        <v>2020</v>
      </c>
      <c r="C50" s="151">
        <f>C49*(1+'Summary for 5th Plan'!E$8)</f>
        <v>73883.3308347614</v>
      </c>
      <c r="D50" s="128">
        <f t="shared" si="0"/>
        <v>15899.893133267886</v>
      </c>
      <c r="E50" s="152">
        <f t="shared" si="1"/>
        <v>0.21520271154027534</v>
      </c>
      <c r="F50" s="142"/>
      <c r="G50" s="127">
        <v>2020</v>
      </c>
      <c r="H50" s="128">
        <f t="shared" si="2"/>
        <v>22710.689150297</v>
      </c>
      <c r="I50" s="128">
        <f t="shared" si="3"/>
        <v>4776.762012600282</v>
      </c>
      <c r="J50" s="152">
        <f t="shared" si="6"/>
        <v>0.21033100233058377</v>
      </c>
      <c r="K50" s="152">
        <f t="shared" si="6"/>
        <v>0.30738583241582607</v>
      </c>
      <c r="L50" s="142"/>
      <c r="M50" s="127">
        <v>2020</v>
      </c>
      <c r="N50" s="128">
        <f t="shared" si="4"/>
        <v>51172.64168450849</v>
      </c>
      <c r="O50" s="128">
        <f t="shared" si="5"/>
        <v>11123.131120667604</v>
      </c>
      <c r="P50" s="152">
        <f t="shared" si="7"/>
        <v>0.21736480186511287</v>
      </c>
      <c r="Q50" s="153">
        <f t="shared" si="7"/>
        <v>0.6926141675847708</v>
      </c>
    </row>
    <row r="51" spans="1:17" ht="15">
      <c r="A51" s="150" t="s">
        <v>335</v>
      </c>
      <c r="B51" s="127">
        <v>2021</v>
      </c>
      <c r="C51" s="151">
        <f>C50*(1+'Summary for 5th Plan'!E$8)</f>
        <v>74806.8724701959</v>
      </c>
      <c r="D51" s="128">
        <f t="shared" si="0"/>
        <v>15455.033008479188</v>
      </c>
      <c r="E51" s="152">
        <f t="shared" si="1"/>
        <v>0.20659910644756185</v>
      </c>
      <c r="F51" s="142"/>
      <c r="G51" s="127">
        <v>2021</v>
      </c>
      <c r="H51" s="128">
        <f t="shared" si="2"/>
        <v>22740.141497319608</v>
      </c>
      <c r="I51" s="128">
        <f t="shared" si="3"/>
        <v>4532.974219768186</v>
      </c>
      <c r="J51" s="152">
        <f t="shared" si="6"/>
        <v>0.19933799533756158</v>
      </c>
      <c r="K51" s="152">
        <f t="shared" si="6"/>
        <v>0.3039846573772964</v>
      </c>
      <c r="L51" s="142"/>
      <c r="M51" s="127">
        <v>2021</v>
      </c>
      <c r="N51" s="128">
        <f t="shared" si="4"/>
        <v>52066.730972922865</v>
      </c>
      <c r="O51" s="128">
        <f t="shared" si="5"/>
        <v>10922.058788711001</v>
      </c>
      <c r="P51" s="152">
        <f t="shared" si="7"/>
        <v>0.20977039627072003</v>
      </c>
      <c r="Q51" s="153">
        <f t="shared" si="7"/>
        <v>0.6960153426233262</v>
      </c>
    </row>
    <row r="52" spans="1:17" ht="15">
      <c r="A52" s="150" t="s">
        <v>335</v>
      </c>
      <c r="B52" s="127">
        <v>2022</v>
      </c>
      <c r="C52" s="151">
        <f>C51*(1+'Summary for 5th Plan'!E$8)</f>
        <v>75741.95837607335</v>
      </c>
      <c r="D52" s="128">
        <f t="shared" si="0"/>
        <v>14998.318060952302</v>
      </c>
      <c r="E52" s="152">
        <f t="shared" si="1"/>
        <v>0.19801861983133281</v>
      </c>
      <c r="F52" s="142"/>
      <c r="G52" s="127">
        <v>2022</v>
      </c>
      <c r="H52" s="128">
        <f t="shared" si="2"/>
        <v>22766.78160783805</v>
      </c>
      <c r="I52" s="128">
        <f t="shared" si="3"/>
        <v>4288.00921657085</v>
      </c>
      <c r="J52" s="152">
        <f t="shared" si="6"/>
        <v>0.18834498834453584</v>
      </c>
      <c r="K52" s="152">
        <f t="shared" si="6"/>
        <v>0.30058348233876675</v>
      </c>
      <c r="L52" s="142"/>
      <c r="M52" s="127">
        <v>2022</v>
      </c>
      <c r="N52" s="128">
        <f t="shared" si="4"/>
        <v>52975.17676828441</v>
      </c>
      <c r="O52" s="128">
        <f t="shared" si="5"/>
        <v>10710.308844381452</v>
      </c>
      <c r="P52" s="152">
        <f t="shared" si="7"/>
        <v>0.2021759906763272</v>
      </c>
      <c r="Q52" s="153">
        <f t="shared" si="7"/>
        <v>0.6994165176618816</v>
      </c>
    </row>
    <row r="53" spans="1:17" ht="15">
      <c r="A53" s="150" t="s">
        <v>335</v>
      </c>
      <c r="B53" s="127">
        <v>2023</v>
      </c>
      <c r="C53" s="151">
        <f>C52*(1+'Summary for 5th Plan'!E$8)</f>
        <v>76688.73285577426</v>
      </c>
      <c r="D53" s="128">
        <f t="shared" si="0"/>
        <v>14529.5433174969</v>
      </c>
      <c r="E53" s="152">
        <f t="shared" si="1"/>
        <v>0.18946125169158928</v>
      </c>
      <c r="F53" s="142"/>
      <c r="G53" s="127">
        <v>2023</v>
      </c>
      <c r="H53" s="128">
        <f t="shared" si="2"/>
        <v>22790.534574010493</v>
      </c>
      <c r="I53" s="128">
        <f t="shared" si="3"/>
        <v>4041.946462760855</v>
      </c>
      <c r="J53" s="152">
        <f t="shared" si="6"/>
        <v>0.1773519813515101</v>
      </c>
      <c r="K53" s="152">
        <f t="shared" si="6"/>
        <v>0.2971823073002371</v>
      </c>
      <c r="L53" s="142"/>
      <c r="M53" s="127">
        <v>2023</v>
      </c>
      <c r="N53" s="128">
        <f t="shared" si="4"/>
        <v>53898.198281815465</v>
      </c>
      <c r="O53" s="128">
        <f t="shared" si="5"/>
        <v>10487.596854736044</v>
      </c>
      <c r="P53" s="152">
        <f t="shared" si="7"/>
        <v>0.19458158508193435</v>
      </c>
      <c r="Q53" s="153">
        <f t="shared" si="7"/>
        <v>0.702817692700437</v>
      </c>
    </row>
    <row r="54" spans="1:17" ht="15">
      <c r="A54" s="150" t="s">
        <v>335</v>
      </c>
      <c r="B54" s="127">
        <v>2024</v>
      </c>
      <c r="C54" s="151">
        <f>C53*(1+'Summary for 5th Plan'!E$8)</f>
        <v>77647.34201647143</v>
      </c>
      <c r="D54" s="128">
        <f t="shared" si="0"/>
        <v>14048.500806508751</v>
      </c>
      <c r="E54" s="152">
        <f t="shared" si="1"/>
        <v>0.18092700202833245</v>
      </c>
      <c r="F54" s="142"/>
      <c r="G54" s="127">
        <v>2024</v>
      </c>
      <c r="H54" s="128">
        <f t="shared" si="2"/>
        <v>22811.324054711025</v>
      </c>
      <c r="I54" s="128">
        <f t="shared" si="3"/>
        <v>3794.8684735007487</v>
      </c>
      <c r="J54" s="152">
        <f t="shared" si="6"/>
        <v>0.16635897435848435</v>
      </c>
      <c r="K54" s="152">
        <f t="shared" si="6"/>
        <v>0.29378113226170743</v>
      </c>
      <c r="L54" s="142"/>
      <c r="M54" s="127">
        <v>2024</v>
      </c>
      <c r="N54" s="128">
        <f t="shared" si="4"/>
        <v>54836.01796181475</v>
      </c>
      <c r="O54" s="128">
        <f t="shared" si="5"/>
        <v>10253.632333008003</v>
      </c>
      <c r="P54" s="152">
        <f t="shared" si="7"/>
        <v>0.1869871794875433</v>
      </c>
      <c r="Q54" s="153">
        <f t="shared" si="7"/>
        <v>0.7062188677389925</v>
      </c>
    </row>
    <row r="55" spans="1:17" ht="15">
      <c r="A55" s="150" t="s">
        <v>335</v>
      </c>
      <c r="B55" s="127">
        <v>2025</v>
      </c>
      <c r="C55" s="151">
        <f>C54*(1+'Summary for 5th Plan'!E$8)</f>
        <v>78617.93379167732</v>
      </c>
      <c r="D55" s="128">
        <f t="shared" si="0"/>
        <v>13554.979518456224</v>
      </c>
      <c r="E55" s="152">
        <f t="shared" si="1"/>
        <v>0.1724158708415609</v>
      </c>
      <c r="F55" s="142"/>
      <c r="G55" s="127">
        <v>2025</v>
      </c>
      <c r="H55" s="128">
        <f t="shared" si="2"/>
        <v>22829.07225140188</v>
      </c>
      <c r="I55" s="128">
        <f t="shared" si="3"/>
        <v>3546.8608943950826</v>
      </c>
      <c r="J55" s="152">
        <f t="shared" si="6"/>
        <v>0.15536596736546215</v>
      </c>
      <c r="K55" s="152">
        <f t="shared" si="6"/>
        <v>0.2903799572231778</v>
      </c>
      <c r="L55" s="142"/>
      <c r="M55" s="127">
        <v>2025</v>
      </c>
      <c r="N55" s="128">
        <f t="shared" si="4"/>
        <v>55788.86154033249</v>
      </c>
      <c r="O55" s="128">
        <f t="shared" si="5"/>
        <v>10008.118624061142</v>
      </c>
      <c r="P55" s="152">
        <f t="shared" si="7"/>
        <v>0.17939277389315045</v>
      </c>
      <c r="Q55" s="153">
        <f t="shared" si="7"/>
        <v>0.7096200427775479</v>
      </c>
    </row>
    <row r="56" spans="1:17" ht="15">
      <c r="A56" s="188" t="s">
        <v>342</v>
      </c>
      <c r="B56" s="173"/>
      <c r="C56" s="174">
        <f>SUM(C32:C55)</f>
        <v>1641702.6371258686</v>
      </c>
      <c r="D56" s="174">
        <f>SUM(D32:D55)</f>
        <v>439592.0539202816</v>
      </c>
      <c r="E56" s="175"/>
      <c r="F56" s="142"/>
      <c r="G56" s="173"/>
      <c r="H56" s="174">
        <f>SUM(H32:H55)</f>
        <v>538447.4422516796</v>
      </c>
      <c r="I56" s="174">
        <f>SUM(I32:I55)</f>
        <v>151966.8508307466</v>
      </c>
      <c r="J56" s="175"/>
      <c r="K56" s="175"/>
      <c r="L56" s="142"/>
      <c r="M56" s="173"/>
      <c r="N56" s="174">
        <f>SUM(N32:N55)</f>
        <v>1103255.1948749155</v>
      </c>
      <c r="O56" s="174">
        <f>SUM(O32:O55)</f>
        <v>287625.2030895351</v>
      </c>
      <c r="P56" s="175"/>
      <c r="Q56" s="176"/>
    </row>
    <row r="57" spans="1:17" ht="15">
      <c r="A57" s="172"/>
      <c r="B57" s="173"/>
      <c r="C57" s="175"/>
      <c r="D57" s="157"/>
      <c r="E57" s="175"/>
      <c r="F57" s="142"/>
      <c r="G57" s="173"/>
      <c r="H57" s="157"/>
      <c r="I57" s="157"/>
      <c r="J57" s="175"/>
      <c r="K57" s="175"/>
      <c r="L57" s="142"/>
      <c r="M57" s="173"/>
      <c r="N57" s="157"/>
      <c r="O57" s="157"/>
      <c r="P57" s="175"/>
      <c r="Q57" s="176"/>
    </row>
    <row r="58" spans="1:17" ht="15">
      <c r="A58" s="172"/>
      <c r="B58" s="173"/>
      <c r="C58" s="174"/>
      <c r="D58" s="157"/>
      <c r="E58" s="175"/>
      <c r="F58" s="142"/>
      <c r="G58" s="173"/>
      <c r="H58" s="157"/>
      <c r="I58" s="157"/>
      <c r="J58" s="175"/>
      <c r="K58" s="175"/>
      <c r="L58" s="142"/>
      <c r="M58" s="173"/>
      <c r="N58" s="157"/>
      <c r="O58" s="157"/>
      <c r="P58" s="175"/>
      <c r="Q58" s="176"/>
    </row>
    <row r="59" spans="1:17" ht="15">
      <c r="A59" s="172"/>
      <c r="B59" s="173"/>
      <c r="C59" s="174"/>
      <c r="D59" s="157"/>
      <c r="E59" s="175"/>
      <c r="F59" s="142"/>
      <c r="G59" s="173"/>
      <c r="H59" s="157"/>
      <c r="I59" s="157"/>
      <c r="J59" s="175"/>
      <c r="K59" s="175"/>
      <c r="L59" s="142"/>
      <c r="M59" s="173"/>
      <c r="N59" s="157"/>
      <c r="O59" s="157"/>
      <c r="P59" s="175"/>
      <c r="Q59" s="176"/>
    </row>
    <row r="60" spans="1:17" ht="15">
      <c r="A60" s="172"/>
      <c r="B60" s="173"/>
      <c r="C60" s="174"/>
      <c r="D60" s="157"/>
      <c r="E60" s="175"/>
      <c r="F60" s="142"/>
      <c r="G60" s="173"/>
      <c r="H60" s="157"/>
      <c r="I60" s="157"/>
      <c r="J60" s="175"/>
      <c r="K60" s="175"/>
      <c r="L60" s="142"/>
      <c r="M60" s="173"/>
      <c r="N60" s="157"/>
      <c r="O60" s="157"/>
      <c r="P60" s="175"/>
      <c r="Q60" s="176"/>
    </row>
    <row r="61" spans="1:17" ht="15">
      <c r="A61" s="154"/>
      <c r="B61" s="142"/>
      <c r="C61" s="142"/>
      <c r="D61" s="142"/>
      <c r="E61" s="142"/>
      <c r="F61" s="142"/>
      <c r="G61" s="142"/>
      <c r="H61" s="142"/>
      <c r="I61" s="142"/>
      <c r="J61" s="155"/>
      <c r="K61" s="142"/>
      <c r="L61" s="142"/>
      <c r="M61" s="142"/>
      <c r="N61" s="142"/>
      <c r="O61" s="142"/>
      <c r="P61" s="155"/>
      <c r="Q61" s="156"/>
    </row>
    <row r="62" spans="1:17" ht="63">
      <c r="A62" s="134" t="s">
        <v>328</v>
      </c>
      <c r="B62" s="135" t="s">
        <v>38</v>
      </c>
      <c r="C62" s="135" t="s">
        <v>336</v>
      </c>
      <c r="D62" s="135" t="s">
        <v>330</v>
      </c>
      <c r="E62" s="136" t="s">
        <v>331</v>
      </c>
      <c r="F62" s="137"/>
      <c r="G62" s="135" t="s">
        <v>38</v>
      </c>
      <c r="H62" s="135" t="s">
        <v>336</v>
      </c>
      <c r="I62" s="135" t="s">
        <v>330</v>
      </c>
      <c r="J62" s="136" t="s">
        <v>331</v>
      </c>
      <c r="K62" s="135" t="s">
        <v>332</v>
      </c>
      <c r="L62" s="137"/>
      <c r="M62" s="135" t="s">
        <v>38</v>
      </c>
      <c r="N62" s="135" t="s">
        <v>336</v>
      </c>
      <c r="O62" s="135" t="s">
        <v>330</v>
      </c>
      <c r="P62" s="136" t="s">
        <v>331</v>
      </c>
      <c r="Q62" s="138" t="s">
        <v>333</v>
      </c>
    </row>
    <row r="63" spans="1:17" ht="15">
      <c r="A63" s="149" t="s">
        <v>334</v>
      </c>
      <c r="B63" s="125">
        <v>1981</v>
      </c>
      <c r="C63" s="140">
        <f>PNWStarts!D5</f>
        <v>12261</v>
      </c>
      <c r="D63" s="126">
        <f aca="true" t="shared" si="8" ref="D63:D84">E63*C63</f>
        <v>11757.232826086956</v>
      </c>
      <c r="E63" s="141">
        <v>0.9589130434782609</v>
      </c>
      <c r="F63" s="142"/>
      <c r="G63" s="125">
        <v>1980</v>
      </c>
      <c r="H63" s="157">
        <f aca="true" t="shared" si="9" ref="H63:H107">K63*C63</f>
        <v>4201.613695652174</v>
      </c>
      <c r="I63" s="126">
        <f aca="true" t="shared" si="10" ref="I63:I107">H63*J63</f>
        <v>4189.008854565218</v>
      </c>
      <c r="J63" s="141">
        <v>0.997</v>
      </c>
      <c r="K63" s="141">
        <v>0.34268115942028987</v>
      </c>
      <c r="L63" s="142"/>
      <c r="M63" s="125">
        <v>1980</v>
      </c>
      <c r="N63" s="157">
        <f>Q63*C63</f>
        <v>8059.386304347826</v>
      </c>
      <c r="O63" s="126">
        <f aca="true" t="shared" si="11" ref="O63:O107">N63*P63</f>
        <v>7567.763739782608</v>
      </c>
      <c r="P63" s="141">
        <v>0.939</v>
      </c>
      <c r="Q63" s="144">
        <v>0.6573188405797101</v>
      </c>
    </row>
    <row r="64" spans="1:17" ht="15">
      <c r="A64" s="149" t="s">
        <v>334</v>
      </c>
      <c r="B64" s="125">
        <v>1982</v>
      </c>
      <c r="C64" s="140">
        <f>PNWStarts!D6</f>
        <v>8758</v>
      </c>
      <c r="D64" s="126">
        <f t="shared" si="8"/>
        <v>8493.814456459875</v>
      </c>
      <c r="E64" s="141">
        <v>0.9698349459305634</v>
      </c>
      <c r="F64" s="142"/>
      <c r="G64" s="125">
        <v>1981</v>
      </c>
      <c r="H64" s="157">
        <f t="shared" si="9"/>
        <v>4565.9237336368815</v>
      </c>
      <c r="I64" s="126">
        <f t="shared" si="10"/>
        <v>4552.225962435971</v>
      </c>
      <c r="J64" s="141">
        <v>0.997</v>
      </c>
      <c r="K64" s="141">
        <v>0.5213431986340353</v>
      </c>
      <c r="L64" s="142"/>
      <c r="M64" s="125">
        <v>1981</v>
      </c>
      <c r="N64" s="126">
        <v>6728</v>
      </c>
      <c r="O64" s="126">
        <f t="shared" si="11"/>
        <v>6324.32</v>
      </c>
      <c r="P64" s="141">
        <v>0.94</v>
      </c>
      <c r="Q64" s="144">
        <v>0.4786568013659647</v>
      </c>
    </row>
    <row r="65" spans="1:17" ht="15">
      <c r="A65" s="149" t="s">
        <v>334</v>
      </c>
      <c r="B65" s="125">
        <v>1983</v>
      </c>
      <c r="C65" s="140">
        <f>PNWStarts!D7</f>
        <v>12114</v>
      </c>
      <c r="D65" s="126">
        <f t="shared" si="8"/>
        <v>11695.196900456984</v>
      </c>
      <c r="E65" s="141">
        <v>0.9654281740512617</v>
      </c>
      <c r="F65" s="142"/>
      <c r="G65" s="125">
        <v>1982</v>
      </c>
      <c r="H65" s="157">
        <f t="shared" si="9"/>
        <v>5073.775481819988</v>
      </c>
      <c r="I65" s="126">
        <f t="shared" si="10"/>
        <v>5058.554155374528</v>
      </c>
      <c r="J65" s="141">
        <v>0.997</v>
      </c>
      <c r="K65" s="141">
        <v>0.41883568448241604</v>
      </c>
      <c r="L65" s="142"/>
      <c r="M65" s="125">
        <v>1982</v>
      </c>
      <c r="N65" s="126">
        <v>2925</v>
      </c>
      <c r="O65" s="126">
        <f t="shared" si="11"/>
        <v>2758.2749999999996</v>
      </c>
      <c r="P65" s="141">
        <v>0.943</v>
      </c>
      <c r="Q65" s="144">
        <v>0.581164315517584</v>
      </c>
    </row>
    <row r="66" spans="1:17" ht="15">
      <c r="A66" s="149" t="s">
        <v>334</v>
      </c>
      <c r="B66" s="125">
        <v>1984</v>
      </c>
      <c r="C66" s="140">
        <f>PNWStarts!D8</f>
        <v>11892</v>
      </c>
      <c r="D66" s="126">
        <f t="shared" si="8"/>
        <v>11415.67413441955</v>
      </c>
      <c r="E66" s="141">
        <v>0.9599456890699253</v>
      </c>
      <c r="F66" s="142"/>
      <c r="G66" s="125">
        <v>1983</v>
      </c>
      <c r="H66" s="157">
        <f t="shared" si="9"/>
        <v>4319.226069246435</v>
      </c>
      <c r="I66" s="126">
        <f t="shared" si="10"/>
        <v>4306.268391038696</v>
      </c>
      <c r="J66" s="141">
        <v>0.997</v>
      </c>
      <c r="K66" s="141">
        <v>0.36320434487440595</v>
      </c>
      <c r="L66" s="142"/>
      <c r="M66" s="125">
        <v>1983</v>
      </c>
      <c r="N66" s="126">
        <v>1876</v>
      </c>
      <c r="O66" s="126">
        <f t="shared" si="11"/>
        <v>1761.5639999999999</v>
      </c>
      <c r="P66" s="141">
        <v>0.939</v>
      </c>
      <c r="Q66" s="144">
        <v>0.636795655125594</v>
      </c>
    </row>
    <row r="67" spans="1:17" ht="15">
      <c r="A67" s="149" t="s">
        <v>334</v>
      </c>
      <c r="B67" s="125">
        <v>1985</v>
      </c>
      <c r="C67" s="140">
        <f>PNWStarts!D9</f>
        <v>10090</v>
      </c>
      <c r="D67" s="126">
        <f t="shared" si="8"/>
        <v>9740.708563799351</v>
      </c>
      <c r="E67" s="141">
        <v>0.9653824146481023</v>
      </c>
      <c r="F67" s="142"/>
      <c r="G67" s="125">
        <v>1984</v>
      </c>
      <c r="H67" s="157">
        <f t="shared" si="9"/>
        <v>5094.074003433148</v>
      </c>
      <c r="I67" s="126">
        <f t="shared" si="10"/>
        <v>5073.697707419416</v>
      </c>
      <c r="J67" s="141">
        <v>0.996</v>
      </c>
      <c r="K67" s="141">
        <v>0.5048636276940682</v>
      </c>
      <c r="L67" s="142"/>
      <c r="M67" s="125">
        <v>1984</v>
      </c>
      <c r="N67" s="126">
        <v>5192</v>
      </c>
      <c r="O67" s="126">
        <f t="shared" si="11"/>
        <v>4849.328</v>
      </c>
      <c r="P67" s="141">
        <v>0.934</v>
      </c>
      <c r="Q67" s="144">
        <v>0.4951363723059317</v>
      </c>
    </row>
    <row r="68" spans="1:17" ht="15">
      <c r="A68" s="149" t="s">
        <v>334</v>
      </c>
      <c r="B68" s="125">
        <v>1986</v>
      </c>
      <c r="C68" s="140">
        <f>PNWStarts!D10</f>
        <v>8352</v>
      </c>
      <c r="D68" s="126">
        <f t="shared" si="8"/>
        <v>8018.776615384615</v>
      </c>
      <c r="E68" s="141">
        <v>0.9601025641025641</v>
      </c>
      <c r="F68" s="142"/>
      <c r="G68" s="125">
        <v>1985</v>
      </c>
      <c r="H68" s="157">
        <f t="shared" si="9"/>
        <v>3787.0966153846157</v>
      </c>
      <c r="I68" s="126">
        <f t="shared" si="10"/>
        <v>3771.9482289230773</v>
      </c>
      <c r="J68" s="141">
        <v>0.996</v>
      </c>
      <c r="K68" s="141">
        <v>0.45343589743589746</v>
      </c>
      <c r="L68" s="142"/>
      <c r="M68" s="125">
        <v>1985</v>
      </c>
      <c r="N68" s="126">
        <v>5329</v>
      </c>
      <c r="O68" s="126">
        <f t="shared" si="11"/>
        <v>4955.97</v>
      </c>
      <c r="P68" s="141">
        <v>0.93</v>
      </c>
      <c r="Q68" s="144">
        <v>0.5465641025641026</v>
      </c>
    </row>
    <row r="69" spans="1:17" ht="15">
      <c r="A69" s="149" t="s">
        <v>334</v>
      </c>
      <c r="B69" s="125">
        <v>1987</v>
      </c>
      <c r="C69" s="140">
        <f>PNWStarts!D11</f>
        <v>7902</v>
      </c>
      <c r="D69" s="126">
        <f t="shared" si="8"/>
        <v>7533.926644437709</v>
      </c>
      <c r="E69" s="141">
        <v>0.9534202283520259</v>
      </c>
      <c r="F69" s="142"/>
      <c r="G69" s="125">
        <v>1986</v>
      </c>
      <c r="H69" s="157">
        <f t="shared" si="9"/>
        <v>3437.2143073658685</v>
      </c>
      <c r="I69" s="126">
        <f t="shared" si="10"/>
        <v>3423.4654501364053</v>
      </c>
      <c r="J69" s="141">
        <v>0.996</v>
      </c>
      <c r="K69" s="141">
        <v>0.4349802970597151</v>
      </c>
      <c r="L69" s="142"/>
      <c r="M69" s="125">
        <v>1986</v>
      </c>
      <c r="N69" s="126">
        <v>5592</v>
      </c>
      <c r="O69" s="126">
        <f t="shared" si="11"/>
        <v>5150.232</v>
      </c>
      <c r="P69" s="141">
        <v>0.921</v>
      </c>
      <c r="Q69" s="144">
        <v>0.5650197029402849</v>
      </c>
    </row>
    <row r="70" spans="1:17" ht="15">
      <c r="A70" s="149" t="s">
        <v>334</v>
      </c>
      <c r="B70" s="125">
        <v>1988</v>
      </c>
      <c r="C70" s="140">
        <f>PNWStarts!D12</f>
        <v>9049</v>
      </c>
      <c r="D70" s="126">
        <f t="shared" si="8"/>
        <v>8649.0703991615</v>
      </c>
      <c r="E70" s="141">
        <v>0.9558040003493755</v>
      </c>
      <c r="F70" s="142"/>
      <c r="G70" s="125">
        <v>1987</v>
      </c>
      <c r="H70" s="157">
        <f t="shared" si="9"/>
        <v>4430.84059743209</v>
      </c>
      <c r="I70" s="126">
        <f t="shared" si="10"/>
        <v>4413.117235042362</v>
      </c>
      <c r="J70" s="141">
        <v>0.996</v>
      </c>
      <c r="K70" s="141">
        <v>0.48964975106996245</v>
      </c>
      <c r="L70" s="142"/>
      <c r="M70" s="125">
        <v>1987</v>
      </c>
      <c r="N70" s="126">
        <v>5843</v>
      </c>
      <c r="O70" s="126">
        <f t="shared" si="11"/>
        <v>5363.874</v>
      </c>
      <c r="P70" s="141">
        <v>0.918</v>
      </c>
      <c r="Q70" s="144">
        <v>0.5103502489300376</v>
      </c>
    </row>
    <row r="71" spans="1:17" ht="15">
      <c r="A71" s="149" t="s">
        <v>334</v>
      </c>
      <c r="B71" s="125">
        <v>1989</v>
      </c>
      <c r="C71" s="140">
        <f>PNWStarts!D13</f>
        <v>9967</v>
      </c>
      <c r="D71" s="126">
        <f t="shared" si="8"/>
        <v>9519.258717230849</v>
      </c>
      <c r="E71" s="141">
        <v>0.9550776278951387</v>
      </c>
      <c r="F71" s="142"/>
      <c r="G71" s="125">
        <v>1988</v>
      </c>
      <c r="H71" s="157">
        <f t="shared" si="9"/>
        <v>4750.116441842708</v>
      </c>
      <c r="I71" s="126">
        <f t="shared" si="10"/>
        <v>4726.365859633494</v>
      </c>
      <c r="J71" s="141">
        <v>0.995</v>
      </c>
      <c r="K71" s="141">
        <v>0.4765843726138967</v>
      </c>
      <c r="L71" s="142"/>
      <c r="M71" s="125">
        <v>1988</v>
      </c>
      <c r="N71" s="126">
        <v>8226</v>
      </c>
      <c r="O71" s="126">
        <f t="shared" si="11"/>
        <v>7551.468000000001</v>
      </c>
      <c r="P71" s="141">
        <v>0.918</v>
      </c>
      <c r="Q71" s="144">
        <v>0.5234156273861034</v>
      </c>
    </row>
    <row r="72" spans="1:17" ht="15">
      <c r="A72" s="149" t="s">
        <v>334</v>
      </c>
      <c r="B72" s="125">
        <v>1990</v>
      </c>
      <c r="C72" s="140">
        <f>PNWStarts!D14</f>
        <v>11875</v>
      </c>
      <c r="D72" s="126">
        <f t="shared" si="8"/>
        <v>11479.575163398693</v>
      </c>
      <c r="E72" s="141">
        <v>0.9667010663914689</v>
      </c>
      <c r="F72" s="142"/>
      <c r="G72" s="125">
        <v>1989</v>
      </c>
      <c r="H72" s="157">
        <f t="shared" si="9"/>
        <v>7423.2026143790845</v>
      </c>
      <c r="I72" s="126">
        <f t="shared" si="10"/>
        <v>7386.086601307189</v>
      </c>
      <c r="J72" s="141">
        <v>0.995</v>
      </c>
      <c r="K72" s="141">
        <v>0.6251117991056071</v>
      </c>
      <c r="L72" s="142"/>
      <c r="M72" s="125">
        <v>1989</v>
      </c>
      <c r="N72" s="126">
        <v>5449</v>
      </c>
      <c r="O72" s="126">
        <f t="shared" si="11"/>
        <v>5007.631</v>
      </c>
      <c r="P72" s="141">
        <v>0.919</v>
      </c>
      <c r="Q72" s="144">
        <v>0.37488820089439284</v>
      </c>
    </row>
    <row r="73" spans="1:17" ht="15">
      <c r="A73" s="149" t="s">
        <v>334</v>
      </c>
      <c r="B73" s="125">
        <v>1991</v>
      </c>
      <c r="C73" s="140">
        <f>PNWStarts!D15</f>
        <v>11815</v>
      </c>
      <c r="D73" s="126">
        <f t="shared" si="8"/>
        <v>11320.16478785032</v>
      </c>
      <c r="E73" s="141">
        <v>0.9581180522937216</v>
      </c>
      <c r="F73" s="142"/>
      <c r="G73" s="125">
        <v>1990</v>
      </c>
      <c r="H73" s="157">
        <f t="shared" si="9"/>
        <v>6049.013621418506</v>
      </c>
      <c r="I73" s="126">
        <f t="shared" si="10"/>
        <v>6018.768553311414</v>
      </c>
      <c r="J73" s="141">
        <v>0.995</v>
      </c>
      <c r="K73" s="141">
        <v>0.5119774542038515</v>
      </c>
      <c r="L73" s="142"/>
      <c r="M73" s="125">
        <v>1990</v>
      </c>
      <c r="N73" s="126">
        <v>6234</v>
      </c>
      <c r="O73" s="126">
        <f t="shared" si="11"/>
        <v>5729.046</v>
      </c>
      <c r="P73" s="141">
        <v>0.919</v>
      </c>
      <c r="Q73" s="144">
        <v>0.4880225457961484</v>
      </c>
    </row>
    <row r="74" spans="1:17" ht="15">
      <c r="A74" s="149" t="s">
        <v>334</v>
      </c>
      <c r="B74" s="125">
        <v>1992</v>
      </c>
      <c r="C74" s="140">
        <f>PNWStarts!D16</f>
        <v>13784</v>
      </c>
      <c r="D74" s="126">
        <f t="shared" si="8"/>
        <v>13130.13929526124</v>
      </c>
      <c r="E74" s="141">
        <v>0.9525637910085055</v>
      </c>
      <c r="F74" s="142"/>
      <c r="G74" s="125">
        <v>1991</v>
      </c>
      <c r="H74" s="157">
        <f t="shared" si="9"/>
        <v>6203.637424058324</v>
      </c>
      <c r="I74" s="126">
        <f t="shared" si="10"/>
        <v>6172.619236938032</v>
      </c>
      <c r="J74" s="141">
        <v>0.995</v>
      </c>
      <c r="K74" s="141">
        <v>0.4500607533414338</v>
      </c>
      <c r="L74" s="142"/>
      <c r="M74" s="125">
        <v>1991</v>
      </c>
      <c r="N74" s="126">
        <v>11315</v>
      </c>
      <c r="O74" s="126">
        <f t="shared" si="11"/>
        <v>10387.17</v>
      </c>
      <c r="P74" s="141">
        <v>0.918</v>
      </c>
      <c r="Q74" s="144">
        <v>0.5499392466585662</v>
      </c>
    </row>
    <row r="75" spans="1:17" ht="15">
      <c r="A75" s="149" t="s">
        <v>334</v>
      </c>
      <c r="B75" s="125">
        <v>1993</v>
      </c>
      <c r="C75" s="140">
        <f>PNWStarts!D17</f>
        <v>17535</v>
      </c>
      <c r="D75" s="126">
        <f t="shared" si="8"/>
        <v>16703.206075334143</v>
      </c>
      <c r="E75" s="141">
        <v>0.9525637910085055</v>
      </c>
      <c r="F75" s="142"/>
      <c r="G75" s="125">
        <v>1992</v>
      </c>
      <c r="H75" s="157">
        <f t="shared" si="9"/>
        <v>8004.5994052493215</v>
      </c>
      <c r="I75" s="126">
        <f t="shared" si="10"/>
        <v>7956.5718088178255</v>
      </c>
      <c r="J75" s="141">
        <v>0.994</v>
      </c>
      <c r="K75" s="141">
        <v>0.45649269491014094</v>
      </c>
      <c r="L75" s="142"/>
      <c r="M75" s="125">
        <v>1992</v>
      </c>
      <c r="N75" s="126">
        <v>12611</v>
      </c>
      <c r="O75" s="126">
        <f t="shared" si="11"/>
        <v>11387.733</v>
      </c>
      <c r="P75" s="141">
        <v>0.903</v>
      </c>
      <c r="Q75" s="144">
        <v>0.5435073050898591</v>
      </c>
    </row>
    <row r="76" spans="1:17" ht="15">
      <c r="A76" s="149" t="s">
        <v>334</v>
      </c>
      <c r="B76" s="125">
        <v>1994</v>
      </c>
      <c r="C76" s="140">
        <f>PNWStarts!D18</f>
        <v>20512</v>
      </c>
      <c r="D76" s="126">
        <f t="shared" si="8"/>
        <v>19356.663330617946</v>
      </c>
      <c r="E76" s="141">
        <v>0.9436750843709997</v>
      </c>
      <c r="F76" s="142"/>
      <c r="G76" s="125">
        <v>1993</v>
      </c>
      <c r="H76" s="157">
        <f t="shared" si="9"/>
        <v>9032.632142441522</v>
      </c>
      <c r="I76" s="126">
        <f t="shared" si="10"/>
        <v>8978.436349586873</v>
      </c>
      <c r="J76" s="141">
        <v>0.994</v>
      </c>
      <c r="K76" s="141">
        <v>0.44035843128127544</v>
      </c>
      <c r="L76" s="142"/>
      <c r="M76" s="125">
        <v>1993</v>
      </c>
      <c r="N76" s="126">
        <v>9618</v>
      </c>
      <c r="O76" s="126">
        <f t="shared" si="11"/>
        <v>8694.672</v>
      </c>
      <c r="P76" s="141">
        <v>0.904</v>
      </c>
      <c r="Q76" s="144">
        <v>0.5596415687187245</v>
      </c>
    </row>
    <row r="77" spans="1:17" ht="15">
      <c r="A77" s="149" t="s">
        <v>334</v>
      </c>
      <c r="B77" s="125">
        <v>1995</v>
      </c>
      <c r="C77" s="140">
        <f>PNWStarts!D19</f>
        <v>19641</v>
      </c>
      <c r="D77" s="126">
        <f t="shared" si="8"/>
        <v>18530.30297020124</v>
      </c>
      <c r="E77" s="141">
        <v>0.9434500773993808</v>
      </c>
      <c r="F77" s="142"/>
      <c r="G77" s="125">
        <v>1994</v>
      </c>
      <c r="H77" s="157">
        <f t="shared" si="9"/>
        <v>8572.98485874613</v>
      </c>
      <c r="I77" s="126">
        <f t="shared" si="10"/>
        <v>8521.546949593652</v>
      </c>
      <c r="J77" s="141">
        <v>0.994</v>
      </c>
      <c r="K77" s="141">
        <v>0.43648413312693496</v>
      </c>
      <c r="L77" s="142"/>
      <c r="M77" s="125">
        <v>1994</v>
      </c>
      <c r="N77" s="126">
        <v>11649</v>
      </c>
      <c r="O77" s="126">
        <f t="shared" si="11"/>
        <v>10530.696</v>
      </c>
      <c r="P77" s="141">
        <v>0.904</v>
      </c>
      <c r="Q77" s="144">
        <v>0.563515866873065</v>
      </c>
    </row>
    <row r="78" spans="1:17" ht="15">
      <c r="A78" s="149" t="s">
        <v>334</v>
      </c>
      <c r="B78" s="125">
        <v>1996</v>
      </c>
      <c r="C78" s="140">
        <f>PNWStarts!D20</f>
        <v>17125</v>
      </c>
      <c r="D78" s="126">
        <f t="shared" si="8"/>
        <v>16166.799949225693</v>
      </c>
      <c r="E78" s="141">
        <v>0.9440467123635441</v>
      </c>
      <c r="F78" s="142"/>
      <c r="G78" s="125">
        <v>1995</v>
      </c>
      <c r="H78" s="157">
        <f t="shared" si="9"/>
        <v>7549.086062452398</v>
      </c>
      <c r="I78" s="126">
        <f t="shared" si="10"/>
        <v>7503.791546077684</v>
      </c>
      <c r="J78" s="141">
        <v>0.994</v>
      </c>
      <c r="K78" s="141">
        <v>0.4408225437928408</v>
      </c>
      <c r="L78" s="142"/>
      <c r="M78" s="125">
        <v>1995</v>
      </c>
      <c r="N78" s="126">
        <v>11013</v>
      </c>
      <c r="O78" s="126">
        <f t="shared" si="11"/>
        <v>9955.752</v>
      </c>
      <c r="P78" s="141">
        <v>0.904</v>
      </c>
      <c r="Q78" s="144">
        <v>0.5591774562071592</v>
      </c>
    </row>
    <row r="79" spans="1:17" ht="15">
      <c r="A79" s="149" t="s">
        <v>334</v>
      </c>
      <c r="B79" s="125">
        <v>1997</v>
      </c>
      <c r="C79" s="140">
        <f>PNWStarts!D21</f>
        <v>17301</v>
      </c>
      <c r="D79" s="126">
        <f t="shared" si="8"/>
        <v>16089.93</v>
      </c>
      <c r="E79" s="141">
        <v>0.93</v>
      </c>
      <c r="F79" s="142"/>
      <c r="G79" s="125">
        <v>1996</v>
      </c>
      <c r="H79" s="157">
        <f t="shared" si="9"/>
        <v>7447.122230595328</v>
      </c>
      <c r="I79" s="126">
        <f t="shared" si="10"/>
        <v>7298.179785983421</v>
      </c>
      <c r="J79" s="141">
        <v>0.98</v>
      </c>
      <c r="K79" s="141">
        <v>0.43044461190655614</v>
      </c>
      <c r="L79" s="142"/>
      <c r="M79" s="125">
        <v>1996</v>
      </c>
      <c r="N79" s="126">
        <v>11337</v>
      </c>
      <c r="O79" s="126">
        <f t="shared" si="11"/>
        <v>10248.648000000001</v>
      </c>
      <c r="P79" s="141">
        <v>0.904</v>
      </c>
      <c r="Q79" s="144">
        <v>0.5695553880934439</v>
      </c>
    </row>
    <row r="80" spans="1:17" ht="15">
      <c r="A80" s="149" t="s">
        <v>334</v>
      </c>
      <c r="B80" s="125">
        <v>1998</v>
      </c>
      <c r="C80" s="140">
        <f>PNWStarts!D22</f>
        <v>17996</v>
      </c>
      <c r="D80" s="126">
        <f t="shared" si="8"/>
        <v>16556.32</v>
      </c>
      <c r="E80" s="141">
        <v>0.92</v>
      </c>
      <c r="F80" s="142"/>
      <c r="G80" s="125">
        <v>1997</v>
      </c>
      <c r="H80" s="157">
        <f t="shared" si="9"/>
        <v>7730.584647089129</v>
      </c>
      <c r="I80" s="126">
        <f t="shared" si="10"/>
        <v>7421.361261205564</v>
      </c>
      <c r="J80" s="141">
        <v>0.96</v>
      </c>
      <c r="K80" s="141">
        <v>0.42957238536836684</v>
      </c>
      <c r="L80" s="142"/>
      <c r="M80" s="125">
        <v>1997</v>
      </c>
      <c r="N80" s="126">
        <v>11072</v>
      </c>
      <c r="O80" s="126">
        <f t="shared" si="11"/>
        <v>10009.088</v>
      </c>
      <c r="P80" s="141">
        <v>0.904</v>
      </c>
      <c r="Q80" s="144">
        <v>0.5704276146316332</v>
      </c>
    </row>
    <row r="81" spans="1:17" ht="15">
      <c r="A81" s="149" t="s">
        <v>334</v>
      </c>
      <c r="B81" s="125">
        <v>1999</v>
      </c>
      <c r="C81" s="140">
        <f>PNWStarts!D23</f>
        <v>14620</v>
      </c>
      <c r="D81" s="126">
        <f t="shared" si="8"/>
        <v>13158</v>
      </c>
      <c r="E81" s="141">
        <v>0.9</v>
      </c>
      <c r="F81" s="142"/>
      <c r="G81" s="125">
        <v>1998</v>
      </c>
      <c r="H81" s="157">
        <f t="shared" si="9"/>
        <v>6236.011868221813</v>
      </c>
      <c r="I81" s="126">
        <f t="shared" si="10"/>
        <v>5855.615144260281</v>
      </c>
      <c r="J81" s="141">
        <v>0.939</v>
      </c>
      <c r="K81" s="141">
        <v>0.42653979946797627</v>
      </c>
      <c r="L81" s="142"/>
      <c r="M81" s="125">
        <v>1998</v>
      </c>
      <c r="N81" s="126">
        <v>11210</v>
      </c>
      <c r="O81" s="126">
        <f t="shared" si="11"/>
        <v>10133.84</v>
      </c>
      <c r="P81" s="141">
        <v>0.904</v>
      </c>
      <c r="Q81" s="144">
        <v>0.5734602005320237</v>
      </c>
    </row>
    <row r="82" spans="1:17" ht="15">
      <c r="A82" s="149" t="s">
        <v>334</v>
      </c>
      <c r="B82" s="125">
        <v>2000</v>
      </c>
      <c r="C82" s="140">
        <f>PNWStarts!D24</f>
        <v>9564</v>
      </c>
      <c r="D82" s="126">
        <f t="shared" si="8"/>
        <v>8416.32</v>
      </c>
      <c r="E82" s="141">
        <v>0.88</v>
      </c>
      <c r="F82" s="142"/>
      <c r="G82" s="125">
        <v>1999</v>
      </c>
      <c r="H82" s="157">
        <f t="shared" si="9"/>
        <v>3963.2520064205455</v>
      </c>
      <c r="I82" s="126">
        <f t="shared" si="10"/>
        <v>3646.191845906902</v>
      </c>
      <c r="J82" s="141">
        <v>0.92</v>
      </c>
      <c r="K82" s="141">
        <v>0.4143927233814874</v>
      </c>
      <c r="L82" s="142"/>
      <c r="M82" s="125">
        <v>1999</v>
      </c>
      <c r="N82" s="126">
        <v>10945</v>
      </c>
      <c r="O82" s="126">
        <f t="shared" si="11"/>
        <v>9631.6</v>
      </c>
      <c r="P82" s="141">
        <v>0.88</v>
      </c>
      <c r="Q82" s="144">
        <v>0.5856072766185125</v>
      </c>
    </row>
    <row r="83" spans="1:17" ht="15">
      <c r="A83" s="150" t="s">
        <v>334</v>
      </c>
      <c r="B83" s="127">
        <v>2001</v>
      </c>
      <c r="C83" s="151">
        <f>PNWStarts!D25</f>
        <v>7283</v>
      </c>
      <c r="D83" s="128">
        <f t="shared" si="8"/>
        <v>6263.38</v>
      </c>
      <c r="E83" s="152">
        <v>0.86</v>
      </c>
      <c r="F83" s="142"/>
      <c r="G83" s="127">
        <v>2000</v>
      </c>
      <c r="H83" s="128">
        <f t="shared" si="9"/>
        <v>3127.1098895557016</v>
      </c>
      <c r="I83" s="128">
        <f t="shared" si="10"/>
        <v>2814.3989006001316</v>
      </c>
      <c r="J83" s="152">
        <v>0.9</v>
      </c>
      <c r="K83" s="152">
        <v>0.4293711231025266</v>
      </c>
      <c r="L83" s="142"/>
      <c r="M83" s="127">
        <v>2000</v>
      </c>
      <c r="N83" s="128">
        <v>11315</v>
      </c>
      <c r="O83" s="128">
        <f t="shared" si="11"/>
        <v>9730.9</v>
      </c>
      <c r="P83" s="152">
        <v>0.86</v>
      </c>
      <c r="Q83" s="153">
        <v>0.5706288768974734</v>
      </c>
    </row>
    <row r="84" spans="1:17" ht="15">
      <c r="A84" s="150" t="s">
        <v>335</v>
      </c>
      <c r="B84" s="127">
        <v>2002</v>
      </c>
      <c r="C84" s="151">
        <f>C83*(1+'Summary for 5th Plan'!E$10)</f>
        <v>7537.905</v>
      </c>
      <c r="D84" s="128">
        <f t="shared" si="8"/>
        <v>6331.8402</v>
      </c>
      <c r="E84" s="152">
        <v>0.84</v>
      </c>
      <c r="F84" s="127"/>
      <c r="G84" s="127">
        <v>2001</v>
      </c>
      <c r="H84" s="128">
        <f t="shared" si="9"/>
        <v>3241.3225136894307</v>
      </c>
      <c r="I84" s="128">
        <f t="shared" si="10"/>
        <v>2852.363812046699</v>
      </c>
      <c r="J84" s="152">
        <v>0.88</v>
      </c>
      <c r="K84" s="152">
        <v>0.4300030994937494</v>
      </c>
      <c r="L84" s="127"/>
      <c r="M84" s="127">
        <v>2001</v>
      </c>
      <c r="N84" s="128">
        <v>11034</v>
      </c>
      <c r="O84" s="128">
        <f t="shared" si="11"/>
        <v>9268.56</v>
      </c>
      <c r="P84" s="152">
        <v>0.84</v>
      </c>
      <c r="Q84" s="153">
        <v>0.5699969005062506</v>
      </c>
    </row>
    <row r="85" spans="1:18" ht="15">
      <c r="A85" s="150" t="s">
        <v>335</v>
      </c>
      <c r="B85" s="127">
        <v>2003</v>
      </c>
      <c r="C85" s="151">
        <f>C84*(1+'Summary for 5th Plan'!E$10)</f>
        <v>7801.731674999999</v>
      </c>
      <c r="D85" s="151">
        <f aca="true" t="shared" si="12" ref="D85:D107">I85+O85</f>
        <v>6686.521293615302</v>
      </c>
      <c r="E85" s="152">
        <f aca="true" t="shared" si="13" ref="E85:E107">D85/C85</f>
        <v>0.8570560450113536</v>
      </c>
      <c r="F85" s="142"/>
      <c r="G85" s="127">
        <v>2002</v>
      </c>
      <c r="H85" s="128">
        <f t="shared" si="9"/>
        <v>3452.574732008057</v>
      </c>
      <c r="I85" s="128">
        <f t="shared" si="10"/>
        <v>2969.214269526929</v>
      </c>
      <c r="J85" s="152">
        <v>0.86</v>
      </c>
      <c r="K85" s="152">
        <f aca="true" t="shared" si="14" ref="K85:K107">FORECAST($B85,K$63:K$84,$B$63:$B$84)</f>
        <v>0.4425395381222281</v>
      </c>
      <c r="L85" s="142"/>
      <c r="M85" s="127">
        <v>2002</v>
      </c>
      <c r="N85" s="128">
        <f aca="true" t="shared" si="15" ref="N85:N107">C85*Q85</f>
        <v>4349.156942991943</v>
      </c>
      <c r="O85" s="128">
        <f t="shared" si="11"/>
        <v>3717.3070240883735</v>
      </c>
      <c r="P85" s="152">
        <v>0.8547189887176394</v>
      </c>
      <c r="Q85" s="153">
        <f aca="true" t="shared" si="16" ref="Q85:Q107">FORECAST($B85,Q$63:Q$84,$B$63:$B$84)</f>
        <v>0.5574604618777719</v>
      </c>
      <c r="R85" s="158"/>
    </row>
    <row r="86" spans="1:18" ht="15">
      <c r="A86" s="150" t="s">
        <v>335</v>
      </c>
      <c r="B86" s="127">
        <v>2004</v>
      </c>
      <c r="C86" s="151">
        <f>C85*(1+'Summary for 5th Plan'!E$10)</f>
        <v>8074.792283624998</v>
      </c>
      <c r="D86" s="151">
        <f t="shared" si="12"/>
        <v>6805.593576799536</v>
      </c>
      <c r="E86" s="152">
        <f t="shared" si="13"/>
        <v>0.8428196463456663</v>
      </c>
      <c r="F86" s="142"/>
      <c r="G86" s="127">
        <v>2003</v>
      </c>
      <c r="H86" s="128">
        <f t="shared" si="9"/>
        <v>3567.3080051947522</v>
      </c>
      <c r="I86" s="128">
        <f t="shared" si="10"/>
        <v>2996.538724363592</v>
      </c>
      <c r="J86" s="152">
        <v>0.84</v>
      </c>
      <c r="K86" s="152">
        <f t="shared" si="14"/>
        <v>0.4417832533511672</v>
      </c>
      <c r="L86" s="142"/>
      <c r="M86" s="127">
        <v>2003</v>
      </c>
      <c r="N86" s="128">
        <f t="shared" si="15"/>
        <v>4507.4842784302455</v>
      </c>
      <c r="O86" s="128">
        <f t="shared" si="11"/>
        <v>3809.054852435944</v>
      </c>
      <c r="P86" s="152">
        <v>0.845051167602179</v>
      </c>
      <c r="Q86" s="153">
        <f t="shared" si="16"/>
        <v>0.5582167466488328</v>
      </c>
      <c r="R86" s="158"/>
    </row>
    <row r="87" spans="1:18" ht="15">
      <c r="A87" s="150" t="s">
        <v>335</v>
      </c>
      <c r="B87" s="127">
        <v>2005</v>
      </c>
      <c r="C87" s="151">
        <f>C86*(1+'Summary for 5th Plan'!E$10)</f>
        <v>8357.410013551873</v>
      </c>
      <c r="D87" s="151">
        <f t="shared" si="12"/>
        <v>6924.940541988084</v>
      </c>
      <c r="E87" s="152">
        <f t="shared" si="13"/>
        <v>0.8285988758190657</v>
      </c>
      <c r="F87" s="142"/>
      <c r="G87" s="127">
        <v>2004</v>
      </c>
      <c r="H87" s="128">
        <f t="shared" si="9"/>
        <v>3685.8432034578072</v>
      </c>
      <c r="I87" s="128">
        <f t="shared" si="10"/>
        <v>3022.391426835402</v>
      </c>
      <c r="J87" s="152">
        <v>0.82</v>
      </c>
      <c r="K87" s="152">
        <f t="shared" si="14"/>
        <v>0.44102696858010626</v>
      </c>
      <c r="L87" s="142"/>
      <c r="M87" s="127">
        <v>2004</v>
      </c>
      <c r="N87" s="128">
        <f t="shared" si="15"/>
        <v>4671.566810094066</v>
      </c>
      <c r="O87" s="128">
        <f t="shared" si="11"/>
        <v>3902.5491151526826</v>
      </c>
      <c r="P87" s="152">
        <v>0.8353833464867222</v>
      </c>
      <c r="Q87" s="153">
        <f t="shared" si="16"/>
        <v>0.5589730314198937</v>
      </c>
      <c r="R87" s="158"/>
    </row>
    <row r="88" spans="1:18" ht="15">
      <c r="A88" s="150" t="s">
        <v>335</v>
      </c>
      <c r="B88" s="127">
        <v>2006</v>
      </c>
      <c r="C88" s="151">
        <f>C87*(1+'Summary for 5th Plan'!E$10)</f>
        <v>8649.919364026187</v>
      </c>
      <c r="D88" s="151">
        <f t="shared" si="12"/>
        <v>7044.440124751124</v>
      </c>
      <c r="E88" s="152">
        <f t="shared" si="13"/>
        <v>0.8143937334315475</v>
      </c>
      <c r="F88" s="142"/>
      <c r="G88" s="127">
        <v>2005</v>
      </c>
      <c r="H88" s="128">
        <f t="shared" si="9"/>
        <v>3808.305913292912</v>
      </c>
      <c r="I88" s="128">
        <f t="shared" si="10"/>
        <v>3046.64473063433</v>
      </c>
      <c r="J88" s="152">
        <v>0.8</v>
      </c>
      <c r="K88" s="152">
        <f t="shared" si="14"/>
        <v>0.4402706838090453</v>
      </c>
      <c r="L88" s="142"/>
      <c r="M88" s="127">
        <v>2005</v>
      </c>
      <c r="N88" s="128">
        <f t="shared" si="15"/>
        <v>4841.613450733275</v>
      </c>
      <c r="O88" s="128">
        <f t="shared" si="11"/>
        <v>3997.7953941167943</v>
      </c>
      <c r="P88" s="152">
        <v>0.8257155253712618</v>
      </c>
      <c r="Q88" s="153">
        <f t="shared" si="16"/>
        <v>0.5597293161909547</v>
      </c>
      <c r="R88" s="158"/>
    </row>
    <row r="89" spans="1:18" ht="15">
      <c r="A89" s="150" t="s">
        <v>335</v>
      </c>
      <c r="B89" s="127">
        <v>2007</v>
      </c>
      <c r="C89" s="151">
        <f>C88*(1+'Summary for 5th Plan'!E$10)</f>
        <v>8952.666541767103</v>
      </c>
      <c r="D89" s="151">
        <f t="shared" si="12"/>
        <v>7242.658056759377</v>
      </c>
      <c r="E89" s="152">
        <f t="shared" si="13"/>
        <v>0.8089945071638736</v>
      </c>
      <c r="F89" s="142"/>
      <c r="G89" s="127">
        <v>2006</v>
      </c>
      <c r="H89" s="128">
        <f t="shared" si="9"/>
        <v>3934.8258548922404</v>
      </c>
      <c r="I89" s="128">
        <f t="shared" si="10"/>
        <v>3147.8606839137924</v>
      </c>
      <c r="J89" s="152">
        <v>0.8</v>
      </c>
      <c r="K89" s="152">
        <f t="shared" si="14"/>
        <v>0.4395143990379846</v>
      </c>
      <c r="L89" s="142"/>
      <c r="M89" s="127">
        <v>2006</v>
      </c>
      <c r="N89" s="128">
        <f t="shared" si="15"/>
        <v>5017.8406868748625</v>
      </c>
      <c r="O89" s="128">
        <f t="shared" si="11"/>
        <v>4094.7973728455854</v>
      </c>
      <c r="P89" s="152">
        <v>0.8160477042558014</v>
      </c>
      <c r="Q89" s="153">
        <f t="shared" si="16"/>
        <v>0.5604856009620154</v>
      </c>
      <c r="R89" s="158"/>
    </row>
    <row r="90" spans="1:18" ht="15">
      <c r="A90" s="150" t="s">
        <v>335</v>
      </c>
      <c r="B90" s="127">
        <v>2008</v>
      </c>
      <c r="C90" s="151">
        <f>C89*(1+'Summary for 5th Plan'!E$10)</f>
        <v>9266.00987072895</v>
      </c>
      <c r="D90" s="151">
        <f t="shared" si="12"/>
        <v>7445.986305660259</v>
      </c>
      <c r="E90" s="152">
        <f t="shared" si="13"/>
        <v>0.8035806576444418</v>
      </c>
      <c r="F90" s="142"/>
      <c r="G90" s="127">
        <v>2007</v>
      </c>
      <c r="H90" s="128">
        <f t="shared" si="9"/>
        <v>4065.5370176597357</v>
      </c>
      <c r="I90" s="128">
        <f t="shared" si="10"/>
        <v>3252.4296141277887</v>
      </c>
      <c r="J90" s="152">
        <v>0.8</v>
      </c>
      <c r="K90" s="152">
        <f t="shared" si="14"/>
        <v>0.4387581142669237</v>
      </c>
      <c r="L90" s="142"/>
      <c r="M90" s="127">
        <v>2007</v>
      </c>
      <c r="N90" s="128">
        <f t="shared" si="15"/>
        <v>5200.4728530692155</v>
      </c>
      <c r="O90" s="128">
        <f t="shared" si="11"/>
        <v>4193.55669153247</v>
      </c>
      <c r="P90" s="152">
        <v>0.806379883140341</v>
      </c>
      <c r="Q90" s="153">
        <f t="shared" si="16"/>
        <v>0.5612418857330763</v>
      </c>
      <c r="R90" s="158"/>
    </row>
    <row r="91" spans="1:18" ht="15">
      <c r="A91" s="150" t="s">
        <v>335</v>
      </c>
      <c r="B91" s="127">
        <v>2009</v>
      </c>
      <c r="C91" s="151">
        <f>C90*(1+'Summary for 5th Plan'!E$10)</f>
        <v>9590.320216204464</v>
      </c>
      <c r="D91" s="151">
        <f t="shared" si="12"/>
        <v>7654.535034197729</v>
      </c>
      <c r="E91" s="152">
        <f t="shared" si="13"/>
        <v>0.7981521848732539</v>
      </c>
      <c r="F91" s="142"/>
      <c r="G91" s="127">
        <v>2008</v>
      </c>
      <c r="H91" s="128">
        <f t="shared" si="9"/>
        <v>4200.577800148713</v>
      </c>
      <c r="I91" s="128">
        <f t="shared" si="10"/>
        <v>3360.462240118971</v>
      </c>
      <c r="J91" s="152">
        <v>0.8</v>
      </c>
      <c r="K91" s="152">
        <f t="shared" si="14"/>
        <v>0.43800182949586275</v>
      </c>
      <c r="L91" s="142"/>
      <c r="M91" s="127">
        <v>2008</v>
      </c>
      <c r="N91" s="128">
        <f t="shared" si="15"/>
        <v>5389.74241605575</v>
      </c>
      <c r="O91" s="128">
        <f t="shared" si="11"/>
        <v>4294.072794078758</v>
      </c>
      <c r="P91" s="152">
        <v>0.7967120620248842</v>
      </c>
      <c r="Q91" s="153">
        <f t="shared" si="16"/>
        <v>0.5619981705041373</v>
      </c>
      <c r="R91" s="158"/>
    </row>
    <row r="92" spans="1:18" ht="15">
      <c r="A92" s="150" t="s">
        <v>335</v>
      </c>
      <c r="B92" s="127">
        <v>2010</v>
      </c>
      <c r="C92" s="151">
        <f>C91*(1+'Summary for 5th Plan'!E$10)</f>
        <v>9925.981423771618</v>
      </c>
      <c r="D92" s="151">
        <f t="shared" si="12"/>
        <v>7868.4156903830635</v>
      </c>
      <c r="E92" s="152">
        <f t="shared" si="13"/>
        <v>0.7927090888503061</v>
      </c>
      <c r="F92" s="142"/>
      <c r="G92" s="127">
        <v>2009</v>
      </c>
      <c r="H92" s="128">
        <f t="shared" si="9"/>
        <v>4340.091154565285</v>
      </c>
      <c r="I92" s="128">
        <f t="shared" si="10"/>
        <v>3472.0729236522284</v>
      </c>
      <c r="J92" s="152">
        <v>0.8</v>
      </c>
      <c r="K92" s="152">
        <f t="shared" si="14"/>
        <v>0.4372455447248018</v>
      </c>
      <c r="L92" s="142"/>
      <c r="M92" s="127">
        <v>2009</v>
      </c>
      <c r="N92" s="128">
        <f t="shared" si="15"/>
        <v>5585.890269206333</v>
      </c>
      <c r="O92" s="128">
        <f t="shared" si="11"/>
        <v>4396.342766730835</v>
      </c>
      <c r="P92" s="152">
        <v>0.7870442409094238</v>
      </c>
      <c r="Q92" s="153">
        <f t="shared" si="16"/>
        <v>0.5627544552751982</v>
      </c>
      <c r="R92" s="158"/>
    </row>
    <row r="93" spans="1:18" ht="15">
      <c r="A93" s="150" t="s">
        <v>335</v>
      </c>
      <c r="B93" s="127">
        <v>2011</v>
      </c>
      <c r="C93" s="151">
        <f>C92*(1+'Summary for 5th Plan'!E$10)</f>
        <v>10273.390773603624</v>
      </c>
      <c r="D93" s="151">
        <f t="shared" si="12"/>
        <v>8042.898709344932</v>
      </c>
      <c r="E93" s="152">
        <f t="shared" si="13"/>
        <v>0.7828864769760631</v>
      </c>
      <c r="F93" s="142"/>
      <c r="G93" s="127">
        <v>2010</v>
      </c>
      <c r="H93" s="128">
        <f t="shared" si="9"/>
        <v>4484.224735985835</v>
      </c>
      <c r="I93" s="128">
        <f t="shared" si="10"/>
        <v>3542.5375414288096</v>
      </c>
      <c r="J93" s="152">
        <v>0.79</v>
      </c>
      <c r="K93" s="152">
        <f t="shared" si="14"/>
        <v>0.4364892599537409</v>
      </c>
      <c r="L93" s="142"/>
      <c r="M93" s="127">
        <v>2010</v>
      </c>
      <c r="N93" s="128">
        <f t="shared" si="15"/>
        <v>5789.166037617789</v>
      </c>
      <c r="O93" s="128">
        <f t="shared" si="11"/>
        <v>4500.361167916122</v>
      </c>
      <c r="P93" s="152">
        <v>0.7773764197939634</v>
      </c>
      <c r="Q93" s="153">
        <f t="shared" si="16"/>
        <v>0.5635107400462591</v>
      </c>
      <c r="R93" s="158"/>
    </row>
    <row r="94" spans="1:18" ht="15">
      <c r="A94" s="150" t="s">
        <v>335</v>
      </c>
      <c r="B94" s="127">
        <v>2012</v>
      </c>
      <c r="C94" s="151">
        <f>C93*(1+'Summary for 5th Plan'!E$10)</f>
        <v>10632.95945067975</v>
      </c>
      <c r="D94" s="151">
        <f t="shared" si="12"/>
        <v>8266.293383440945</v>
      </c>
      <c r="E94" s="152">
        <f t="shared" si="13"/>
        <v>0.777421697297312</v>
      </c>
      <c r="F94" s="142"/>
      <c r="G94" s="127">
        <v>2011</v>
      </c>
      <c r="H94" s="128">
        <f t="shared" si="9"/>
        <v>4633.131056441482</v>
      </c>
      <c r="I94" s="128">
        <f t="shared" si="10"/>
        <v>3660.1735345887705</v>
      </c>
      <c r="J94" s="152">
        <v>0.79</v>
      </c>
      <c r="K94" s="152">
        <f t="shared" si="14"/>
        <v>0.43573297518267995</v>
      </c>
      <c r="L94" s="142"/>
      <c r="M94" s="127">
        <v>2011</v>
      </c>
      <c r="N94" s="128">
        <f t="shared" si="15"/>
        <v>5999.828394238268</v>
      </c>
      <c r="O94" s="128">
        <f t="shared" si="11"/>
        <v>4606.119848852175</v>
      </c>
      <c r="P94" s="152">
        <v>0.7677085986785066</v>
      </c>
      <c r="Q94" s="153">
        <f t="shared" si="16"/>
        <v>0.56426702481732</v>
      </c>
      <c r="R94" s="158"/>
    </row>
    <row r="95" spans="1:18" ht="15">
      <c r="A95" s="150" t="s">
        <v>335</v>
      </c>
      <c r="B95" s="127">
        <v>2013</v>
      </c>
      <c r="C95" s="151">
        <f>C94*(1+'Summary for 5th Plan'!E$10)</f>
        <v>11005.11303145354</v>
      </c>
      <c r="D95" s="151">
        <f t="shared" si="12"/>
        <v>8495.312203266229</v>
      </c>
      <c r="E95" s="152">
        <f t="shared" si="13"/>
        <v>0.7719422943668012</v>
      </c>
      <c r="F95" s="142"/>
      <c r="G95" s="127">
        <v>2012</v>
      </c>
      <c r="H95" s="128">
        <f t="shared" si="9"/>
        <v>4786.967644027441</v>
      </c>
      <c r="I95" s="128">
        <f t="shared" si="10"/>
        <v>3781.704438781678</v>
      </c>
      <c r="J95" s="152">
        <v>0.79</v>
      </c>
      <c r="K95" s="152">
        <f t="shared" si="14"/>
        <v>0.434976690411619</v>
      </c>
      <c r="L95" s="142"/>
      <c r="M95" s="127">
        <v>2012</v>
      </c>
      <c r="N95" s="128">
        <f t="shared" si="15"/>
        <v>6218.1453874261</v>
      </c>
      <c r="O95" s="128">
        <f t="shared" si="11"/>
        <v>4713.60776448455</v>
      </c>
      <c r="P95" s="152">
        <v>0.7580407775630462</v>
      </c>
      <c r="Q95" s="153">
        <f t="shared" si="16"/>
        <v>0.565023309588381</v>
      </c>
      <c r="R95" s="158"/>
    </row>
    <row r="96" spans="1:18" ht="15">
      <c r="A96" s="150" t="s">
        <v>335</v>
      </c>
      <c r="B96" s="127">
        <v>2014</v>
      </c>
      <c r="C96" s="151">
        <f>C95*(1+'Summary for 5th Plan'!E$10)</f>
        <v>11390.291987554414</v>
      </c>
      <c r="D96" s="151">
        <f t="shared" si="12"/>
        <v>8730.069567977236</v>
      </c>
      <c r="E96" s="152">
        <f t="shared" si="13"/>
        <v>0.7664482681845324</v>
      </c>
      <c r="F96" s="142"/>
      <c r="G96" s="127">
        <v>2013</v>
      </c>
      <c r="H96" s="128">
        <f t="shared" si="9"/>
        <v>4945.897207200276</v>
      </c>
      <c r="I96" s="128">
        <f t="shared" si="10"/>
        <v>3907.2587936882182</v>
      </c>
      <c r="J96" s="152">
        <v>0.79</v>
      </c>
      <c r="K96" s="152">
        <f t="shared" si="14"/>
        <v>0.4342204056405581</v>
      </c>
      <c r="L96" s="142"/>
      <c r="M96" s="127">
        <v>2013</v>
      </c>
      <c r="N96" s="128">
        <f t="shared" si="15"/>
        <v>6444.394780354138</v>
      </c>
      <c r="O96" s="128">
        <f t="shared" si="11"/>
        <v>4822.810774289017</v>
      </c>
      <c r="P96" s="152">
        <v>0.7483729564475858</v>
      </c>
      <c r="Q96" s="153">
        <f t="shared" si="16"/>
        <v>0.5657795943594419</v>
      </c>
      <c r="R96" s="158"/>
    </row>
    <row r="97" spans="1:18" ht="15">
      <c r="A97" s="150" t="s">
        <v>335</v>
      </c>
      <c r="B97" s="127">
        <v>2015</v>
      </c>
      <c r="C97" s="151">
        <f>C96*(1+'Summary for 5th Plan'!E$10)</f>
        <v>11788.952207118817</v>
      </c>
      <c r="D97" s="151">
        <f t="shared" si="12"/>
        <v>8970.680797952948</v>
      </c>
      <c r="E97" s="152">
        <f t="shared" si="13"/>
        <v>0.7609396187505076</v>
      </c>
      <c r="F97" s="142"/>
      <c r="G97" s="127">
        <v>2014</v>
      </c>
      <c r="H97" s="128">
        <f t="shared" si="9"/>
        <v>5110.087804431276</v>
      </c>
      <c r="I97" s="128">
        <f t="shared" si="10"/>
        <v>4036.969365500708</v>
      </c>
      <c r="J97" s="152">
        <v>0.79</v>
      </c>
      <c r="K97" s="152">
        <f t="shared" si="14"/>
        <v>0.43346412086949715</v>
      </c>
      <c r="L97" s="142"/>
      <c r="M97" s="127">
        <v>2014</v>
      </c>
      <c r="N97" s="128">
        <f t="shared" si="15"/>
        <v>6678.864402687541</v>
      </c>
      <c r="O97" s="128">
        <f t="shared" si="11"/>
        <v>4933.711432452239</v>
      </c>
      <c r="P97" s="152">
        <v>0.738705135332129</v>
      </c>
      <c r="Q97" s="153">
        <f t="shared" si="16"/>
        <v>0.5665358791305029</v>
      </c>
      <c r="R97" s="158"/>
    </row>
    <row r="98" spans="1:18" ht="15">
      <c r="A98" s="150" t="s">
        <v>335</v>
      </c>
      <c r="B98" s="127">
        <v>2016</v>
      </c>
      <c r="C98" s="151">
        <f>C97*(1+'Summary for 5th Plan'!E$10)</f>
        <v>12201.565534367974</v>
      </c>
      <c r="D98" s="151">
        <f t="shared" si="12"/>
        <v>9217.262052241513</v>
      </c>
      <c r="E98" s="152">
        <f t="shared" si="13"/>
        <v>0.7554163460647229</v>
      </c>
      <c r="F98" s="142"/>
      <c r="G98" s="127">
        <v>2015</v>
      </c>
      <c r="H98" s="128">
        <f t="shared" si="9"/>
        <v>5279.7130193896255</v>
      </c>
      <c r="I98" s="128">
        <f t="shared" si="10"/>
        <v>4170.973285317805</v>
      </c>
      <c r="J98" s="152">
        <v>0.79</v>
      </c>
      <c r="K98" s="152">
        <f t="shared" si="14"/>
        <v>0.4327078360984362</v>
      </c>
      <c r="L98" s="142"/>
      <c r="M98" s="127">
        <v>2015</v>
      </c>
      <c r="N98" s="128">
        <f t="shared" si="15"/>
        <v>6921.852514978348</v>
      </c>
      <c r="O98" s="128">
        <f t="shared" si="11"/>
        <v>5046.288766923708</v>
      </c>
      <c r="P98" s="152">
        <v>0.7290373142166686</v>
      </c>
      <c r="Q98" s="153">
        <f t="shared" si="16"/>
        <v>0.5672921639015638</v>
      </c>
      <c r="R98" s="158"/>
    </row>
    <row r="99" spans="1:18" ht="15">
      <c r="A99" s="150" t="s">
        <v>335</v>
      </c>
      <c r="B99" s="127">
        <v>2017</v>
      </c>
      <c r="C99" s="151">
        <f>C98*(1+'Summary for 5th Plan'!E$10)</f>
        <v>12628.620328070852</v>
      </c>
      <c r="D99" s="151">
        <f t="shared" si="12"/>
        <v>9415.380717440026</v>
      </c>
      <c r="E99" s="152">
        <f t="shared" si="13"/>
        <v>0.7455589346139064</v>
      </c>
      <c r="F99" s="142"/>
      <c r="G99" s="127">
        <v>2016</v>
      </c>
      <c r="H99" s="128">
        <f t="shared" si="9"/>
        <v>5454.952141834631</v>
      </c>
      <c r="I99" s="128">
        <f t="shared" si="10"/>
        <v>4254.862670631012</v>
      </c>
      <c r="J99" s="152">
        <v>0.78</v>
      </c>
      <c r="K99" s="152">
        <f t="shared" si="14"/>
        <v>0.4319515513273753</v>
      </c>
      <c r="L99" s="142"/>
      <c r="M99" s="127">
        <v>2016</v>
      </c>
      <c r="N99" s="128">
        <f t="shared" si="15"/>
        <v>7173.668186236221</v>
      </c>
      <c r="O99" s="128">
        <f t="shared" si="11"/>
        <v>5160.518046809014</v>
      </c>
      <c r="P99" s="152">
        <v>0.7193694931012082</v>
      </c>
      <c r="Q99" s="153">
        <f t="shared" si="16"/>
        <v>0.5680484486726247</v>
      </c>
      <c r="R99" s="158"/>
    </row>
    <row r="100" spans="1:18" ht="15">
      <c r="A100" s="150" t="s">
        <v>335</v>
      </c>
      <c r="B100" s="127">
        <v>2018</v>
      </c>
      <c r="C100" s="151">
        <f>C99*(1+'Summary for 5th Plan'!E$10)</f>
        <v>13070.622039553331</v>
      </c>
      <c r="D100" s="151">
        <f t="shared" si="12"/>
        <v>9672.44301398368</v>
      </c>
      <c r="E100" s="152">
        <f t="shared" si="13"/>
        <v>0.7400139782723165</v>
      </c>
      <c r="F100" s="142"/>
      <c r="G100" s="127">
        <v>2017</v>
      </c>
      <c r="H100" s="128">
        <f t="shared" si="9"/>
        <v>5635.990354402035</v>
      </c>
      <c r="I100" s="128">
        <f t="shared" si="10"/>
        <v>4396.072476433587</v>
      </c>
      <c r="J100" s="152">
        <v>0.78</v>
      </c>
      <c r="K100" s="152">
        <f t="shared" si="14"/>
        <v>0.43119526655631435</v>
      </c>
      <c r="L100" s="142"/>
      <c r="M100" s="127">
        <v>2017</v>
      </c>
      <c r="N100" s="128">
        <f t="shared" si="15"/>
        <v>7434.631685151296</v>
      </c>
      <c r="O100" s="128">
        <f t="shared" si="11"/>
        <v>5276.370537550092</v>
      </c>
      <c r="P100" s="152">
        <v>0.7097016719857479</v>
      </c>
      <c r="Q100" s="153">
        <f t="shared" si="16"/>
        <v>0.5688047334436857</v>
      </c>
      <c r="R100" s="158"/>
    </row>
    <row r="101" spans="1:18" ht="15">
      <c r="A101" s="150" t="s">
        <v>335</v>
      </c>
      <c r="B101" s="127">
        <v>2019</v>
      </c>
      <c r="C101" s="151">
        <f>C100*(1+'Summary for 5th Plan'!E$10)</f>
        <v>13528.093810937697</v>
      </c>
      <c r="D101" s="151">
        <f t="shared" si="12"/>
        <v>9935.768005184951</v>
      </c>
      <c r="E101" s="152">
        <f t="shared" si="13"/>
        <v>0.7344543986789707</v>
      </c>
      <c r="F101" s="142"/>
      <c r="G101" s="127">
        <v>2018</v>
      </c>
      <c r="H101" s="128">
        <f t="shared" si="9"/>
        <v>5823.0189254754105</v>
      </c>
      <c r="I101" s="128">
        <f t="shared" si="10"/>
        <v>4541.95476187082</v>
      </c>
      <c r="J101" s="152">
        <v>0.78</v>
      </c>
      <c r="K101" s="152">
        <f t="shared" si="14"/>
        <v>0.4304389817852534</v>
      </c>
      <c r="L101" s="142"/>
      <c r="M101" s="127">
        <v>2018</v>
      </c>
      <c r="N101" s="128">
        <f t="shared" si="15"/>
        <v>7705.074885462286</v>
      </c>
      <c r="O101" s="128">
        <f t="shared" si="11"/>
        <v>5393.813243314131</v>
      </c>
      <c r="P101" s="152">
        <v>0.700033850870291</v>
      </c>
      <c r="Q101" s="153">
        <f t="shared" si="16"/>
        <v>0.5695610182147466</v>
      </c>
      <c r="R101" s="158"/>
    </row>
    <row r="102" spans="1:18" ht="15">
      <c r="A102" s="150" t="s">
        <v>335</v>
      </c>
      <c r="B102" s="127">
        <v>2020</v>
      </c>
      <c r="C102" s="151">
        <f>C101*(1+'Summary for 5th Plan'!E$10)</f>
        <v>14001.577094320515</v>
      </c>
      <c r="D102" s="151">
        <f t="shared" si="12"/>
        <v>10205.472254491295</v>
      </c>
      <c r="E102" s="152">
        <f t="shared" si="13"/>
        <v>0.728880195833865</v>
      </c>
      <c r="F102" s="142"/>
      <c r="G102" s="127">
        <v>2019</v>
      </c>
      <c r="H102" s="128">
        <f t="shared" si="9"/>
        <v>6016.2354083397795</v>
      </c>
      <c r="I102" s="128">
        <f t="shared" si="10"/>
        <v>4692.663618505028</v>
      </c>
      <c r="J102" s="152">
        <v>0.78</v>
      </c>
      <c r="K102" s="152">
        <f t="shared" si="14"/>
        <v>0.4296826970141925</v>
      </c>
      <c r="L102" s="142"/>
      <c r="M102" s="127">
        <v>2019</v>
      </c>
      <c r="N102" s="128">
        <f t="shared" si="15"/>
        <v>7985.341685980736</v>
      </c>
      <c r="O102" s="128">
        <f t="shared" si="11"/>
        <v>5512.808635986266</v>
      </c>
      <c r="P102" s="152">
        <v>0.6903660297548306</v>
      </c>
      <c r="Q102" s="153">
        <f t="shared" si="16"/>
        <v>0.5703173029858075</v>
      </c>
      <c r="R102" s="158"/>
    </row>
    <row r="103" spans="1:18" ht="15">
      <c r="A103" s="150" t="s">
        <v>335</v>
      </c>
      <c r="B103" s="127">
        <v>2021</v>
      </c>
      <c r="C103" s="151">
        <f>C102*(1+'Summary for 5th Plan'!E$10)</f>
        <v>14491.632292621733</v>
      </c>
      <c r="D103" s="151">
        <f t="shared" si="12"/>
        <v>10481.672570655333</v>
      </c>
      <c r="E103" s="152">
        <f t="shared" si="13"/>
        <v>0.7232913697370013</v>
      </c>
      <c r="F103" s="142"/>
      <c r="G103" s="127">
        <v>2020</v>
      </c>
      <c r="H103" s="128">
        <f t="shared" si="9"/>
        <v>6215.843846820947</v>
      </c>
      <c r="I103" s="128">
        <f t="shared" si="10"/>
        <v>4848.358200520339</v>
      </c>
      <c r="J103" s="152">
        <v>0.78</v>
      </c>
      <c r="K103" s="152">
        <f t="shared" si="14"/>
        <v>0.42892641224313155</v>
      </c>
      <c r="L103" s="142"/>
      <c r="M103" s="127">
        <v>2020</v>
      </c>
      <c r="N103" s="128">
        <f t="shared" si="15"/>
        <v>8275.788445800787</v>
      </c>
      <c r="O103" s="128">
        <f t="shared" si="11"/>
        <v>5633.314370134994</v>
      </c>
      <c r="P103" s="152">
        <v>0.6806982086393703</v>
      </c>
      <c r="Q103" s="153">
        <f t="shared" si="16"/>
        <v>0.5710735877568685</v>
      </c>
      <c r="R103" s="158"/>
    </row>
    <row r="104" spans="1:17" ht="15">
      <c r="A104" s="150" t="s">
        <v>335</v>
      </c>
      <c r="B104" s="127">
        <v>2022</v>
      </c>
      <c r="C104" s="151">
        <f>C103*(1+'Summary for 5th Plan'!E$10)</f>
        <v>14998.839422863492</v>
      </c>
      <c r="D104" s="151">
        <f t="shared" si="12"/>
        <v>10746.9711782128</v>
      </c>
      <c r="E104" s="152">
        <f t="shared" si="13"/>
        <v>0.7165201836770548</v>
      </c>
      <c r="F104" s="142"/>
      <c r="G104" s="127">
        <v>2021</v>
      </c>
      <c r="H104" s="128">
        <f t="shared" si="9"/>
        <v>6422.05498762058</v>
      </c>
      <c r="I104" s="128">
        <f t="shared" si="10"/>
        <v>4991.688194922527</v>
      </c>
      <c r="J104" s="152">
        <f>FORECAST($B104,J$93:J$103,$B$93:$B$103)</f>
        <v>0.7772727272726119</v>
      </c>
      <c r="K104" s="152">
        <f t="shared" si="14"/>
        <v>0.4281701274720706</v>
      </c>
      <c r="L104" s="142"/>
      <c r="M104" s="127">
        <v>2021</v>
      </c>
      <c r="N104" s="128">
        <f t="shared" si="15"/>
        <v>8576.784435242913</v>
      </c>
      <c r="O104" s="128">
        <f t="shared" si="11"/>
        <v>5755.2829832902735</v>
      </c>
      <c r="P104" s="152">
        <f>FORECAST($B104,P$93:P$103,$B$93:$B$103)</f>
        <v>0.6710303875239312</v>
      </c>
      <c r="Q104" s="153">
        <f t="shared" si="16"/>
        <v>0.5718298725279294</v>
      </c>
    </row>
    <row r="105" spans="1:17" ht="15">
      <c r="A105" s="150" t="s">
        <v>335</v>
      </c>
      <c r="B105" s="127">
        <v>2023</v>
      </c>
      <c r="C105" s="151">
        <f>C104*(1+'Summary for 5th Plan'!E$10)</f>
        <v>15523.798802663712</v>
      </c>
      <c r="D105" s="151">
        <f t="shared" si="12"/>
        <v>11026.885514823578</v>
      </c>
      <c r="E105" s="152">
        <f t="shared" si="13"/>
        <v>0.7103213366132706</v>
      </c>
      <c r="F105" s="142"/>
      <c r="G105" s="127">
        <v>2022</v>
      </c>
      <c r="H105" s="128">
        <f t="shared" si="9"/>
        <v>6635.08649956383</v>
      </c>
      <c r="I105" s="128">
        <f t="shared" si="10"/>
        <v>5148.223933978861</v>
      </c>
      <c r="J105" s="152">
        <f>FORECAST($B105,J$93:J$103,$B$93:$B$103)</f>
        <v>0.7759090909089563</v>
      </c>
      <c r="K105" s="152">
        <f t="shared" si="14"/>
        <v>0.4274138427010097</v>
      </c>
      <c r="L105" s="142"/>
      <c r="M105" s="127">
        <v>2022</v>
      </c>
      <c r="N105" s="128">
        <f t="shared" si="15"/>
        <v>8888.712303099881</v>
      </c>
      <c r="O105" s="128">
        <f t="shared" si="11"/>
        <v>5878.661580844718</v>
      </c>
      <c r="P105" s="152">
        <f>FORECAST($B105,P$93:P$103,$B$93:$B$103)</f>
        <v>0.6613625664084744</v>
      </c>
      <c r="Q105" s="153">
        <f t="shared" si="16"/>
        <v>0.5725861572989903</v>
      </c>
    </row>
    <row r="106" spans="1:17" ht="15">
      <c r="A106" s="150" t="s">
        <v>335</v>
      </c>
      <c r="B106" s="127">
        <v>2024</v>
      </c>
      <c r="C106" s="151">
        <f>C105*(1+'Summary for 5th Plan'!E$10)</f>
        <v>16067.131760756942</v>
      </c>
      <c r="D106" s="151">
        <f t="shared" si="12"/>
        <v>11313.027001573944</v>
      </c>
      <c r="E106" s="152">
        <f t="shared" si="13"/>
        <v>0.7041099288925589</v>
      </c>
      <c r="F106" s="142"/>
      <c r="G106" s="127">
        <v>2023</v>
      </c>
      <c r="H106" s="128">
        <f t="shared" si="9"/>
        <v>6855.163199983278</v>
      </c>
      <c r="I106" s="128">
        <f t="shared" si="10"/>
        <v>5309.635496713267</v>
      </c>
      <c r="J106" s="152">
        <f>FORECAST($B106,J$93:J$103,$B$93:$B$103)</f>
        <v>0.7745454545453008</v>
      </c>
      <c r="K106" s="152">
        <f t="shared" si="14"/>
        <v>0.42665755792994897</v>
      </c>
      <c r="L106" s="142"/>
      <c r="M106" s="127">
        <v>2023</v>
      </c>
      <c r="N106" s="128">
        <f t="shared" si="15"/>
        <v>9211.968560773665</v>
      </c>
      <c r="O106" s="128">
        <f t="shared" si="11"/>
        <v>6003.391504860679</v>
      </c>
      <c r="P106" s="152">
        <f>FORECAST($B106,P$93:P$103,$B$93:$B$103)</f>
        <v>0.6516947452930175</v>
      </c>
      <c r="Q106" s="153">
        <f t="shared" si="16"/>
        <v>0.573342442070051</v>
      </c>
    </row>
    <row r="107" spans="1:17" ht="15">
      <c r="A107" s="150" t="s">
        <v>335</v>
      </c>
      <c r="B107" s="127">
        <v>2025</v>
      </c>
      <c r="C107" s="151">
        <f>C106*(1+'Summary for 5th Plan'!E$10)</f>
        <v>16629.481372383434</v>
      </c>
      <c r="D107" s="151">
        <f t="shared" si="12"/>
        <v>11605.481580430771</v>
      </c>
      <c r="E107" s="152">
        <f t="shared" si="13"/>
        <v>0.6978859605149192</v>
      </c>
      <c r="F107" s="142"/>
      <c r="G107" s="127">
        <v>2024</v>
      </c>
      <c r="H107" s="128">
        <f t="shared" si="9"/>
        <v>7082.517288470117</v>
      </c>
      <c r="I107" s="128">
        <f t="shared" si="10"/>
        <v>5476.073594402261</v>
      </c>
      <c r="J107" s="152">
        <f>FORECAST($B107,J$93:J$103,$B$93:$B$103)</f>
        <v>0.7731818181816452</v>
      </c>
      <c r="K107" s="152">
        <f t="shared" si="14"/>
        <v>0.42590127315888804</v>
      </c>
      <c r="L107" s="142"/>
      <c r="M107" s="127">
        <v>2024</v>
      </c>
      <c r="N107" s="128">
        <f t="shared" si="15"/>
        <v>9546.964083913317</v>
      </c>
      <c r="O107" s="128">
        <f t="shared" si="11"/>
        <v>6129.40798602851</v>
      </c>
      <c r="P107" s="152">
        <f>FORECAST($B107,P$93:P$103,$B$93:$B$103)</f>
        <v>0.6420269241775607</v>
      </c>
      <c r="Q107" s="153">
        <f t="shared" si="16"/>
        <v>0.574098726841112</v>
      </c>
    </row>
    <row r="108" spans="1:17" ht="15">
      <c r="A108" s="188" t="s">
        <v>342</v>
      </c>
      <c r="B108" s="173"/>
      <c r="C108" s="174">
        <f>SUM(C83:C107)</f>
        <v>283671.806297625</v>
      </c>
      <c r="D108" s="174">
        <f>SUM(D83:D107)</f>
        <v>216393.9293751746</v>
      </c>
      <c r="E108" s="175"/>
      <c r="F108" s="142"/>
      <c r="G108" s="173"/>
      <c r="H108" s="174">
        <f>SUM(H83:H107)</f>
        <v>122804.38020445117</v>
      </c>
      <c r="I108" s="174">
        <f>SUM(I83:I107)</f>
        <v>97693.52723310355</v>
      </c>
      <c r="J108" s="175"/>
      <c r="K108" s="175"/>
      <c r="L108" s="142"/>
      <c r="M108" s="173"/>
      <c r="N108" s="174">
        <f>SUM(N83:N107)</f>
        <v>174763.95349641898</v>
      </c>
      <c r="O108" s="174">
        <f>SUM(O83:O107)</f>
        <v>130771.40465471792</v>
      </c>
      <c r="P108" s="175"/>
      <c r="Q108" s="176"/>
    </row>
    <row r="109" spans="1:17" ht="15">
      <c r="A109" s="294"/>
      <c r="B109" s="295"/>
      <c r="C109" s="296"/>
      <c r="D109" s="296"/>
      <c r="E109" s="297"/>
      <c r="F109" s="295"/>
      <c r="G109" s="295"/>
      <c r="H109" s="298"/>
      <c r="I109" s="298"/>
      <c r="J109" s="297"/>
      <c r="K109" s="297"/>
      <c r="L109" s="295"/>
      <c r="M109" s="295"/>
      <c r="N109" s="298"/>
      <c r="O109" s="298"/>
      <c r="P109" s="297"/>
      <c r="Q109" s="299"/>
    </row>
    <row r="110" spans="1:17" ht="15">
      <c r="A110" s="294"/>
      <c r="B110" s="295"/>
      <c r="C110" s="296"/>
      <c r="D110" s="296"/>
      <c r="E110" s="297"/>
      <c r="F110" s="295"/>
      <c r="G110" s="295"/>
      <c r="H110" s="298"/>
      <c r="I110" s="298"/>
      <c r="J110" s="297"/>
      <c r="K110" s="297"/>
      <c r="L110" s="295"/>
      <c r="M110" s="295"/>
      <c r="N110" s="298"/>
      <c r="O110" s="298"/>
      <c r="P110" s="297"/>
      <c r="Q110" s="299"/>
    </row>
    <row r="111" spans="1:17" ht="15">
      <c r="A111" s="294"/>
      <c r="B111" s="295"/>
      <c r="C111" s="296"/>
      <c r="D111" s="296"/>
      <c r="E111" s="297"/>
      <c r="F111" s="295"/>
      <c r="G111" s="295"/>
      <c r="H111" s="298"/>
      <c r="I111" s="298"/>
      <c r="J111" s="297"/>
      <c r="K111" s="297"/>
      <c r="L111" s="295"/>
      <c r="M111" s="295"/>
      <c r="N111" s="298"/>
      <c r="O111" s="298"/>
      <c r="P111" s="297"/>
      <c r="Q111" s="299"/>
    </row>
    <row r="112" spans="1:17" ht="15">
      <c r="A112" s="294"/>
      <c r="B112" s="295"/>
      <c r="C112" s="296"/>
      <c r="D112" s="296"/>
      <c r="E112" s="297"/>
      <c r="F112" s="295"/>
      <c r="G112" s="295"/>
      <c r="H112" s="298"/>
      <c r="I112" s="298"/>
      <c r="J112" s="297"/>
      <c r="K112" s="297"/>
      <c r="L112" s="295"/>
      <c r="M112" s="295"/>
      <c r="N112" s="298"/>
      <c r="O112" s="298"/>
      <c r="P112" s="297"/>
      <c r="Q112" s="299"/>
    </row>
    <row r="113" spans="1:17" ht="15">
      <c r="A113" s="159"/>
      <c r="B113" s="147"/>
      <c r="C113" s="147"/>
      <c r="D113" s="147"/>
      <c r="E113" s="147"/>
      <c r="F113" s="147"/>
      <c r="G113" s="147"/>
      <c r="H113" s="147"/>
      <c r="I113" s="147"/>
      <c r="J113" s="147"/>
      <c r="K113" s="147"/>
      <c r="L113" s="147"/>
      <c r="M113" s="147"/>
      <c r="N113" s="147"/>
      <c r="O113" s="147"/>
      <c r="P113" s="160"/>
      <c r="Q113" s="161"/>
    </row>
    <row r="114" spans="1:17" ht="63">
      <c r="A114" s="134" t="s">
        <v>328</v>
      </c>
      <c r="B114" s="135" t="s">
        <v>38</v>
      </c>
      <c r="C114" s="135" t="s">
        <v>337</v>
      </c>
      <c r="D114" s="135" t="s">
        <v>330</v>
      </c>
      <c r="E114" s="136" t="s">
        <v>331</v>
      </c>
      <c r="F114" s="137"/>
      <c r="G114" s="135" t="s">
        <v>38</v>
      </c>
      <c r="H114" s="135" t="s">
        <v>337</v>
      </c>
      <c r="I114" s="135" t="s">
        <v>330</v>
      </c>
      <c r="J114" s="136" t="s">
        <v>331</v>
      </c>
      <c r="K114" s="135" t="s">
        <v>332</v>
      </c>
      <c r="L114" s="137"/>
      <c r="M114" s="135" t="s">
        <v>38</v>
      </c>
      <c r="N114" s="135" t="s">
        <v>337</v>
      </c>
      <c r="O114" s="135" t="s">
        <v>330</v>
      </c>
      <c r="P114" s="136" t="s">
        <v>331</v>
      </c>
      <c r="Q114" s="138" t="s">
        <v>333</v>
      </c>
    </row>
    <row r="115" spans="1:17" ht="15">
      <c r="A115" s="149" t="s">
        <v>334</v>
      </c>
      <c r="B115" s="125">
        <v>1981</v>
      </c>
      <c r="C115" s="140">
        <f>PNWStarts!$C5</f>
        <v>10560</v>
      </c>
      <c r="D115" s="126">
        <f aca="true" t="shared" si="17" ref="D115:D159">+I115+O115</f>
        <v>9258.044850766335</v>
      </c>
      <c r="E115" s="141">
        <f aca="true" t="shared" si="18" ref="E115:E159">D115/C115</f>
        <v>0.8767087926862059</v>
      </c>
      <c r="F115" s="142"/>
      <c r="G115" s="125">
        <v>1980</v>
      </c>
      <c r="H115" s="157">
        <f aca="true" t="shared" si="19" ref="H115:H135">K115*C115</f>
        <v>3408.787308416241</v>
      </c>
      <c r="I115" s="126">
        <f aca="true" t="shared" si="20" ref="I115:I132">H115*J115</f>
        <v>2979.2801075557945</v>
      </c>
      <c r="J115" s="141">
        <v>0.874</v>
      </c>
      <c r="K115" s="141">
        <v>0.3228018284485077</v>
      </c>
      <c r="L115" s="142"/>
      <c r="M115" s="125">
        <v>1980</v>
      </c>
      <c r="N115" s="157">
        <f aca="true" t="shared" si="21" ref="N115:N135">Q115*C115</f>
        <v>7151.212691583759</v>
      </c>
      <c r="O115" s="126">
        <f aca="true" t="shared" si="22" ref="O115:O132">N115*P115</f>
        <v>6278.7647432105405</v>
      </c>
      <c r="P115" s="141">
        <v>0.878</v>
      </c>
      <c r="Q115" s="144">
        <v>0.6771981715514923</v>
      </c>
    </row>
    <row r="116" spans="1:17" ht="15">
      <c r="A116" s="149" t="s">
        <v>334</v>
      </c>
      <c r="B116" s="125">
        <v>1982</v>
      </c>
      <c r="C116" s="140">
        <f>PNWStarts!$C6</f>
        <v>7405</v>
      </c>
      <c r="D116" s="126">
        <f t="shared" si="17"/>
        <v>6499.024246814839</v>
      </c>
      <c r="E116" s="141">
        <f t="shared" si="18"/>
        <v>0.8776535107109843</v>
      </c>
      <c r="F116" s="142"/>
      <c r="G116" s="125">
        <v>1981</v>
      </c>
      <c r="H116" s="157">
        <f t="shared" si="19"/>
        <v>3097.594148145171</v>
      </c>
      <c r="I116" s="126">
        <f t="shared" si="20"/>
        <v>2704.1996913307344</v>
      </c>
      <c r="J116" s="141">
        <v>0.873</v>
      </c>
      <c r="K116" s="141">
        <v>0.41831116112696437</v>
      </c>
      <c r="L116" s="142"/>
      <c r="M116" s="125">
        <v>1981</v>
      </c>
      <c r="N116" s="157">
        <f t="shared" si="21"/>
        <v>4307.405851854829</v>
      </c>
      <c r="O116" s="126">
        <f t="shared" si="22"/>
        <v>3794.8245554841046</v>
      </c>
      <c r="P116" s="141">
        <v>0.881</v>
      </c>
      <c r="Q116" s="144">
        <v>0.5816888388730357</v>
      </c>
    </row>
    <row r="117" spans="1:17" ht="15">
      <c r="A117" s="149" t="s">
        <v>334</v>
      </c>
      <c r="B117" s="125">
        <v>1983</v>
      </c>
      <c r="C117" s="140">
        <f>PNWStarts!$C7</f>
        <v>8743</v>
      </c>
      <c r="D117" s="126">
        <f t="shared" si="17"/>
        <v>7697.982547816624</v>
      </c>
      <c r="E117" s="141">
        <f t="shared" si="18"/>
        <v>0.880473813086655</v>
      </c>
      <c r="F117" s="142"/>
      <c r="G117" s="125">
        <v>1982</v>
      </c>
      <c r="H117" s="157">
        <f t="shared" si="19"/>
        <v>3356.3795401986126</v>
      </c>
      <c r="I117" s="126">
        <f t="shared" si="20"/>
        <v>2920.050199972793</v>
      </c>
      <c r="J117" s="141">
        <v>0.87</v>
      </c>
      <c r="K117" s="141">
        <v>0.3838933478438308</v>
      </c>
      <c r="L117" s="142"/>
      <c r="M117" s="125">
        <v>1982</v>
      </c>
      <c r="N117" s="157">
        <f t="shared" si="21"/>
        <v>5386.620459801387</v>
      </c>
      <c r="O117" s="126">
        <f t="shared" si="22"/>
        <v>4777.932347843831</v>
      </c>
      <c r="P117" s="141">
        <v>0.887</v>
      </c>
      <c r="Q117" s="144">
        <v>0.6161066521561692</v>
      </c>
    </row>
    <row r="118" spans="1:17" ht="15">
      <c r="A118" s="149" t="s">
        <v>334</v>
      </c>
      <c r="B118" s="125">
        <v>1984</v>
      </c>
      <c r="C118" s="140">
        <f>PNWStarts!$C8</f>
        <v>13491</v>
      </c>
      <c r="D118" s="126">
        <f t="shared" si="17"/>
        <v>11771.619985459758</v>
      </c>
      <c r="E118" s="141">
        <f t="shared" si="18"/>
        <v>0.8725535531435593</v>
      </c>
      <c r="F118" s="142"/>
      <c r="G118" s="125">
        <v>1983</v>
      </c>
      <c r="H118" s="157">
        <f t="shared" si="19"/>
        <v>4898.534302682777</v>
      </c>
      <c r="I118" s="126">
        <f t="shared" si="20"/>
        <v>4227.435103215236</v>
      </c>
      <c r="J118" s="141">
        <v>0.863</v>
      </c>
      <c r="K118" s="141">
        <v>0.3630964570960475</v>
      </c>
      <c r="L118" s="142"/>
      <c r="M118" s="125">
        <v>1983</v>
      </c>
      <c r="N118" s="157">
        <f t="shared" si="21"/>
        <v>8592.465697317222</v>
      </c>
      <c r="O118" s="126">
        <f t="shared" si="22"/>
        <v>7544.184882244521</v>
      </c>
      <c r="P118" s="141">
        <v>0.878</v>
      </c>
      <c r="Q118" s="144">
        <v>0.6369035429039525</v>
      </c>
    </row>
    <row r="119" spans="1:17" ht="15">
      <c r="A119" s="149" t="s">
        <v>334</v>
      </c>
      <c r="B119" s="125">
        <v>1985</v>
      </c>
      <c r="C119" s="140">
        <f>PNWStarts!$C9</f>
        <v>20845</v>
      </c>
      <c r="D119" s="126">
        <f t="shared" si="17"/>
        <v>17972.842460573298</v>
      </c>
      <c r="E119" s="141">
        <f t="shared" si="18"/>
        <v>0.8622135984923626</v>
      </c>
      <c r="F119" s="142"/>
      <c r="G119" s="125">
        <v>1984</v>
      </c>
      <c r="H119" s="157">
        <f t="shared" si="19"/>
        <v>11275.362775243006</v>
      </c>
      <c r="I119" s="126">
        <f t="shared" si="20"/>
        <v>9685.536623933742</v>
      </c>
      <c r="J119" s="141">
        <v>0.859</v>
      </c>
      <c r="K119" s="141">
        <v>0.5409145010910533</v>
      </c>
      <c r="L119" s="142"/>
      <c r="M119" s="125">
        <v>1984</v>
      </c>
      <c r="N119" s="157">
        <f t="shared" si="21"/>
        <v>9569.637224756993</v>
      </c>
      <c r="O119" s="126">
        <f t="shared" si="22"/>
        <v>8287.305836639556</v>
      </c>
      <c r="P119" s="141">
        <v>0.866</v>
      </c>
      <c r="Q119" s="144">
        <v>0.4590854989089466</v>
      </c>
    </row>
    <row r="120" spans="1:17" ht="15">
      <c r="A120" s="149" t="s">
        <v>334</v>
      </c>
      <c r="B120" s="125">
        <v>1986</v>
      </c>
      <c r="C120" s="140">
        <f>PNWStarts!$C10</f>
        <v>18672</v>
      </c>
      <c r="D120" s="126">
        <f t="shared" si="17"/>
        <v>15994.744293415384</v>
      </c>
      <c r="E120" s="141">
        <f t="shared" si="18"/>
        <v>0.8566165538461539</v>
      </c>
      <c r="F120" s="142"/>
      <c r="G120" s="125">
        <v>1985</v>
      </c>
      <c r="H120" s="157">
        <f t="shared" si="19"/>
        <v>7159.706584615385</v>
      </c>
      <c r="I120" s="126">
        <f t="shared" si="20"/>
        <v>6128.708836430769</v>
      </c>
      <c r="J120" s="141">
        <v>0.856</v>
      </c>
      <c r="K120" s="141">
        <v>0.3834461538461538</v>
      </c>
      <c r="L120" s="142"/>
      <c r="M120" s="125">
        <v>1985</v>
      </c>
      <c r="N120" s="157">
        <f t="shared" si="21"/>
        <v>11512.293415384614</v>
      </c>
      <c r="O120" s="126">
        <f t="shared" si="22"/>
        <v>9866.035456984615</v>
      </c>
      <c r="P120" s="141">
        <v>0.857</v>
      </c>
      <c r="Q120" s="144">
        <v>0.6165538461538461</v>
      </c>
    </row>
    <row r="121" spans="1:17" ht="15">
      <c r="A121" s="149" t="s">
        <v>334</v>
      </c>
      <c r="B121" s="125">
        <v>1987</v>
      </c>
      <c r="C121" s="140">
        <f>PNWStarts!$C11</f>
        <v>20863</v>
      </c>
      <c r="D121" s="126">
        <f t="shared" si="17"/>
        <v>17598.931126832376</v>
      </c>
      <c r="E121" s="141">
        <f t="shared" si="18"/>
        <v>0.8435474824729127</v>
      </c>
      <c r="F121" s="142"/>
      <c r="G121" s="125">
        <v>1986</v>
      </c>
      <c r="H121" s="157">
        <f t="shared" si="19"/>
        <v>7592.589547482473</v>
      </c>
      <c r="I121" s="126">
        <f t="shared" si="20"/>
        <v>6438.515936265137</v>
      </c>
      <c r="J121" s="141">
        <v>0.848</v>
      </c>
      <c r="K121" s="141">
        <v>0.36392606755895474</v>
      </c>
      <c r="L121" s="142"/>
      <c r="M121" s="125">
        <v>1986</v>
      </c>
      <c r="N121" s="157">
        <f t="shared" si="21"/>
        <v>13270.410452517528</v>
      </c>
      <c r="O121" s="126">
        <f t="shared" si="22"/>
        <v>11160.41519056724</v>
      </c>
      <c r="P121" s="141">
        <v>0.841</v>
      </c>
      <c r="Q121" s="144">
        <v>0.6360739324410453</v>
      </c>
    </row>
    <row r="122" spans="1:17" ht="15">
      <c r="A122" s="149" t="s">
        <v>334</v>
      </c>
      <c r="B122" s="125">
        <v>1988</v>
      </c>
      <c r="C122" s="140">
        <f>PNWStarts!$C12</f>
        <v>25943</v>
      </c>
      <c r="D122" s="126">
        <f t="shared" si="17"/>
        <v>21709.3152856989</v>
      </c>
      <c r="E122" s="141">
        <f t="shared" si="18"/>
        <v>0.8368082059013568</v>
      </c>
      <c r="F122" s="142"/>
      <c r="G122" s="125">
        <v>1987</v>
      </c>
      <c r="H122" s="157">
        <f t="shared" si="19"/>
        <v>10763.020407064398</v>
      </c>
      <c r="I122" s="126">
        <f t="shared" si="20"/>
        <v>9094.752243969415</v>
      </c>
      <c r="J122" s="141">
        <v>0.845</v>
      </c>
      <c r="K122" s="141">
        <v>0.41487185009692007</v>
      </c>
      <c r="L122" s="142"/>
      <c r="M122" s="125">
        <v>1987</v>
      </c>
      <c r="N122" s="157">
        <f t="shared" si="21"/>
        <v>15179.979592935602</v>
      </c>
      <c r="O122" s="126">
        <f t="shared" si="22"/>
        <v>12614.563041729485</v>
      </c>
      <c r="P122" s="141">
        <v>0.831</v>
      </c>
      <c r="Q122" s="144">
        <v>0.5851281499030799</v>
      </c>
    </row>
    <row r="123" spans="1:17" ht="15">
      <c r="A123" s="149" t="s">
        <v>334</v>
      </c>
      <c r="B123" s="125">
        <v>1989</v>
      </c>
      <c r="C123" s="140">
        <f>PNWStarts!$C13</f>
        <v>31092</v>
      </c>
      <c r="D123" s="126">
        <f t="shared" si="17"/>
        <v>25962.04850563449</v>
      </c>
      <c r="E123" s="141">
        <f t="shared" si="18"/>
        <v>0.8350073493385595</v>
      </c>
      <c r="F123" s="142"/>
      <c r="G123" s="125">
        <v>1988</v>
      </c>
      <c r="H123" s="157">
        <f t="shared" si="19"/>
        <v>11976.038894960991</v>
      </c>
      <c r="I123" s="126">
        <f t="shared" si="20"/>
        <v>10095.800788452116</v>
      </c>
      <c r="J123" s="141">
        <v>0.843</v>
      </c>
      <c r="K123" s="141">
        <v>0.38518071835073303</v>
      </c>
      <c r="L123" s="142"/>
      <c r="M123" s="125">
        <v>1988</v>
      </c>
      <c r="N123" s="157">
        <f t="shared" si="21"/>
        <v>19115.96110503901</v>
      </c>
      <c r="O123" s="126">
        <f t="shared" si="22"/>
        <v>15866.247717182376</v>
      </c>
      <c r="P123" s="141">
        <v>0.83</v>
      </c>
      <c r="Q123" s="144">
        <v>0.6148192816492669</v>
      </c>
    </row>
    <row r="124" spans="1:17" ht="15">
      <c r="A124" s="149" t="s">
        <v>334</v>
      </c>
      <c r="B124" s="125">
        <v>1990</v>
      </c>
      <c r="C124" s="140">
        <f>PNWStarts!$C14</f>
        <v>26203</v>
      </c>
      <c r="D124" s="126">
        <f t="shared" si="17"/>
        <v>21921.49318295971</v>
      </c>
      <c r="E124" s="141">
        <f t="shared" si="18"/>
        <v>0.83660241891996</v>
      </c>
      <c r="F124" s="142"/>
      <c r="G124" s="125">
        <v>1989</v>
      </c>
      <c r="H124" s="157">
        <f t="shared" si="19"/>
        <v>17972.298782836453</v>
      </c>
      <c r="I124" s="126">
        <f t="shared" si="20"/>
        <v>15114.703276365457</v>
      </c>
      <c r="J124" s="141">
        <v>0.841</v>
      </c>
      <c r="K124" s="141">
        <v>0.6858870657114244</v>
      </c>
      <c r="L124" s="142"/>
      <c r="M124" s="125">
        <v>1989</v>
      </c>
      <c r="N124" s="157">
        <f t="shared" si="21"/>
        <v>8230.701217163547</v>
      </c>
      <c r="O124" s="126">
        <f t="shared" si="22"/>
        <v>6806.789906594253</v>
      </c>
      <c r="P124" s="141">
        <v>0.827</v>
      </c>
      <c r="Q124" s="144">
        <v>0.3141129342885756</v>
      </c>
    </row>
    <row r="125" spans="1:17" ht="15">
      <c r="A125" s="149" t="s">
        <v>334</v>
      </c>
      <c r="B125" s="125">
        <v>1991</v>
      </c>
      <c r="C125" s="140">
        <f>PNWStarts!$C15</f>
        <v>12235</v>
      </c>
      <c r="D125" s="126">
        <f t="shared" si="17"/>
        <v>10021.57179956944</v>
      </c>
      <c r="E125" s="141">
        <f t="shared" si="18"/>
        <v>0.819090461754756</v>
      </c>
      <c r="F125" s="142"/>
      <c r="G125" s="125">
        <v>1990</v>
      </c>
      <c r="H125" s="157">
        <f t="shared" si="19"/>
        <v>4835.730416062563</v>
      </c>
      <c r="I125" s="126">
        <f t="shared" si="20"/>
        <v>4028.1634365801146</v>
      </c>
      <c r="J125" s="141">
        <v>0.833</v>
      </c>
      <c r="K125" s="141">
        <v>0.3952374675980844</v>
      </c>
      <c r="L125" s="142"/>
      <c r="M125" s="125">
        <v>1990</v>
      </c>
      <c r="N125" s="157">
        <f t="shared" si="21"/>
        <v>7399.269583937437</v>
      </c>
      <c r="O125" s="126">
        <f t="shared" si="22"/>
        <v>5993.408362989325</v>
      </c>
      <c r="P125" s="141">
        <v>0.81</v>
      </c>
      <c r="Q125" s="144">
        <v>0.6047625324019156</v>
      </c>
    </row>
    <row r="126" spans="1:17" ht="15">
      <c r="A126" s="149" t="s">
        <v>334</v>
      </c>
      <c r="B126" s="125">
        <v>1992</v>
      </c>
      <c r="C126" s="140">
        <f>PNWStarts!$C16</f>
        <v>12590</v>
      </c>
      <c r="D126" s="126">
        <f t="shared" si="17"/>
        <v>11307.416562236978</v>
      </c>
      <c r="E126" s="141">
        <f t="shared" si="18"/>
        <v>0.8981268119330403</v>
      </c>
      <c r="F126" s="142"/>
      <c r="G126" s="125">
        <v>1991</v>
      </c>
      <c r="H126" s="157">
        <f t="shared" si="19"/>
        <v>4982.781258767418</v>
      </c>
      <c r="I126" s="126">
        <f t="shared" si="20"/>
        <v>4384.847507715328</v>
      </c>
      <c r="J126" s="141">
        <v>0.88</v>
      </c>
      <c r="K126" s="141">
        <v>0.3957729355653231</v>
      </c>
      <c r="L126" s="142"/>
      <c r="M126" s="125">
        <v>1991</v>
      </c>
      <c r="N126" s="157">
        <f t="shared" si="21"/>
        <v>7607.218741232582</v>
      </c>
      <c r="O126" s="126">
        <f t="shared" si="22"/>
        <v>6922.56905452165</v>
      </c>
      <c r="P126" s="141">
        <v>0.91</v>
      </c>
      <c r="Q126" s="144">
        <v>0.6042270644346769</v>
      </c>
    </row>
    <row r="127" spans="1:17" ht="15">
      <c r="A127" s="149" t="s">
        <v>334</v>
      </c>
      <c r="B127" s="125">
        <v>1993</v>
      </c>
      <c r="C127" s="140">
        <f>PNWStarts!$C17</f>
        <v>14604</v>
      </c>
      <c r="D127" s="126">
        <f t="shared" si="17"/>
        <v>12856.958650717705</v>
      </c>
      <c r="E127" s="141">
        <f t="shared" si="18"/>
        <v>0.880372408293461</v>
      </c>
      <c r="F127" s="142"/>
      <c r="G127" s="125">
        <v>1992</v>
      </c>
      <c r="H127" s="157">
        <f t="shared" si="19"/>
        <v>5862.8078569629815</v>
      </c>
      <c r="I127" s="126">
        <f t="shared" si="20"/>
        <v>5094.780027700831</v>
      </c>
      <c r="J127" s="141">
        <v>0.869</v>
      </c>
      <c r="K127" s="141">
        <v>0.40145219508100394</v>
      </c>
      <c r="L127" s="142"/>
      <c r="M127" s="125">
        <v>1992</v>
      </c>
      <c r="N127" s="157">
        <f t="shared" si="21"/>
        <v>8741.192143037018</v>
      </c>
      <c r="O127" s="126">
        <f t="shared" si="22"/>
        <v>7762.178623016873</v>
      </c>
      <c r="P127" s="141">
        <v>0.888</v>
      </c>
      <c r="Q127" s="144">
        <v>0.5985478049189961</v>
      </c>
    </row>
    <row r="128" spans="1:17" ht="15">
      <c r="A128" s="149" t="s">
        <v>334</v>
      </c>
      <c r="B128" s="125">
        <v>1994</v>
      </c>
      <c r="C128" s="140">
        <f>PNWStarts!$C18</f>
        <v>17764</v>
      </c>
      <c r="D128" s="126">
        <f t="shared" si="17"/>
        <v>15634.76071586676</v>
      </c>
      <c r="E128" s="141">
        <f t="shared" si="18"/>
        <v>0.8801373967499865</v>
      </c>
      <c r="F128" s="142"/>
      <c r="G128" s="125">
        <v>1993</v>
      </c>
      <c r="H128" s="157">
        <f t="shared" si="19"/>
        <v>6772.626896291097</v>
      </c>
      <c r="I128" s="126">
        <f t="shared" si="20"/>
        <v>5885.412772876964</v>
      </c>
      <c r="J128" s="141">
        <v>0.869</v>
      </c>
      <c r="K128" s="141">
        <v>0.3812557361118609</v>
      </c>
      <c r="L128" s="142"/>
      <c r="M128" s="125">
        <v>1993</v>
      </c>
      <c r="N128" s="157">
        <f t="shared" si="21"/>
        <v>10991.373103708902</v>
      </c>
      <c r="O128" s="126">
        <f t="shared" si="22"/>
        <v>9749.347942989796</v>
      </c>
      <c r="P128" s="141">
        <v>0.887</v>
      </c>
      <c r="Q128" s="144">
        <v>0.6187442638881391</v>
      </c>
    </row>
    <row r="129" spans="1:17" ht="15">
      <c r="A129" s="149" t="s">
        <v>334</v>
      </c>
      <c r="B129" s="125">
        <v>1995</v>
      </c>
      <c r="C129" s="140">
        <f>PNWStarts!$C19</f>
        <v>19201</v>
      </c>
      <c r="D129" s="126">
        <f t="shared" si="17"/>
        <v>17173.75004357994</v>
      </c>
      <c r="E129" s="141">
        <f t="shared" si="18"/>
        <v>0.8944195637508432</v>
      </c>
      <c r="F129" s="142"/>
      <c r="G129" s="125">
        <v>1994</v>
      </c>
      <c r="H129" s="157">
        <f t="shared" si="19"/>
        <v>7255.534157859231</v>
      </c>
      <c r="I129" s="126">
        <f t="shared" si="20"/>
        <v>6363.103456442545</v>
      </c>
      <c r="J129" s="141">
        <v>0.877</v>
      </c>
      <c r="K129" s="141">
        <v>0.3778727231841691</v>
      </c>
      <c r="L129" s="142"/>
      <c r="M129" s="125">
        <v>1994</v>
      </c>
      <c r="N129" s="157">
        <f t="shared" si="21"/>
        <v>11945.46584214077</v>
      </c>
      <c r="O129" s="126">
        <f t="shared" si="22"/>
        <v>10810.646587137397</v>
      </c>
      <c r="P129" s="141">
        <v>0.905</v>
      </c>
      <c r="Q129" s="144">
        <v>0.6221272768158309</v>
      </c>
    </row>
    <row r="130" spans="1:17" ht="15">
      <c r="A130" s="149" t="s">
        <v>334</v>
      </c>
      <c r="B130" s="125">
        <v>1996</v>
      </c>
      <c r="C130" s="140">
        <f>PNWStarts!$C20</f>
        <v>19396</v>
      </c>
      <c r="D130" s="126">
        <f t="shared" si="17"/>
        <v>17513.898896188974</v>
      </c>
      <c r="E130" s="141">
        <f t="shared" si="18"/>
        <v>0.9029644718596088</v>
      </c>
      <c r="F130" s="142"/>
      <c r="G130" s="125">
        <v>1995</v>
      </c>
      <c r="H130" s="157">
        <f t="shared" si="19"/>
        <v>7436.385406206666</v>
      </c>
      <c r="I130" s="126">
        <f t="shared" si="20"/>
        <v>6558.891928274279</v>
      </c>
      <c r="J130" s="141">
        <v>0.882</v>
      </c>
      <c r="K130" s="141">
        <v>0.3833978864820925</v>
      </c>
      <c r="L130" s="142"/>
      <c r="M130" s="125">
        <v>1995</v>
      </c>
      <c r="N130" s="157">
        <f t="shared" si="21"/>
        <v>11959.614593793334</v>
      </c>
      <c r="O130" s="126">
        <f t="shared" si="22"/>
        <v>10955.006967914695</v>
      </c>
      <c r="P130" s="141">
        <v>0.916</v>
      </c>
      <c r="Q130" s="144">
        <v>0.6166021135179075</v>
      </c>
    </row>
    <row r="131" spans="1:17" ht="15">
      <c r="A131" s="149" t="s">
        <v>334</v>
      </c>
      <c r="B131" s="125">
        <v>1997</v>
      </c>
      <c r="C131" s="140">
        <f>PNWStarts!$C21</f>
        <v>19755</v>
      </c>
      <c r="D131" s="126">
        <f t="shared" si="17"/>
        <v>16093.085758011988</v>
      </c>
      <c r="E131" s="141">
        <f t="shared" si="18"/>
        <v>0.8146335488743097</v>
      </c>
      <c r="F131" s="142"/>
      <c r="G131" s="125">
        <v>1996</v>
      </c>
      <c r="H131" s="157">
        <f t="shared" si="19"/>
        <v>7415.467739651673</v>
      </c>
      <c r="I131" s="126">
        <f t="shared" si="20"/>
        <v>6147.422756171236</v>
      </c>
      <c r="J131" s="141">
        <v>0.829</v>
      </c>
      <c r="K131" s="141">
        <v>0.37537169018737904</v>
      </c>
      <c r="L131" s="142"/>
      <c r="M131" s="125">
        <v>1996</v>
      </c>
      <c r="N131" s="157">
        <f t="shared" si="21"/>
        <v>12339.532260348327</v>
      </c>
      <c r="O131" s="126">
        <f t="shared" si="22"/>
        <v>9945.663001840752</v>
      </c>
      <c r="P131" s="141">
        <v>0.806</v>
      </c>
      <c r="Q131" s="144">
        <v>0.624628309812621</v>
      </c>
    </row>
    <row r="132" spans="1:17" ht="15">
      <c r="A132" s="149" t="s">
        <v>334</v>
      </c>
      <c r="B132" s="125">
        <v>1998</v>
      </c>
      <c r="C132" s="140">
        <f>PNWStarts!$C22</f>
        <v>22391</v>
      </c>
      <c r="D132" s="126">
        <f t="shared" si="17"/>
        <v>18242.05824233556</v>
      </c>
      <c r="E132" s="141">
        <f t="shared" si="18"/>
        <v>0.8147049369092743</v>
      </c>
      <c r="F132" s="142"/>
      <c r="G132" s="125">
        <v>1997</v>
      </c>
      <c r="H132" s="157">
        <f t="shared" si="19"/>
        <v>8357.81701290601</v>
      </c>
      <c r="I132" s="126">
        <f t="shared" si="20"/>
        <v>6945.345937724895</v>
      </c>
      <c r="J132" s="141">
        <v>0.831</v>
      </c>
      <c r="K132" s="141">
        <v>0.37326680420284986</v>
      </c>
      <c r="L132" s="142"/>
      <c r="M132" s="125">
        <v>1997</v>
      </c>
      <c r="N132" s="157">
        <f t="shared" si="21"/>
        <v>14033.18298709399</v>
      </c>
      <c r="O132" s="126">
        <f t="shared" si="22"/>
        <v>11296.712304610663</v>
      </c>
      <c r="P132" s="141">
        <v>0.805</v>
      </c>
      <c r="Q132" s="144">
        <v>0.6267331957971501</v>
      </c>
    </row>
    <row r="133" spans="1:17" ht="15">
      <c r="A133" s="149" t="s">
        <v>334</v>
      </c>
      <c r="B133" s="125">
        <v>1999</v>
      </c>
      <c r="C133" s="140">
        <f>PNWStarts!$C23</f>
        <v>18864</v>
      </c>
      <c r="D133" s="126">
        <f t="shared" si="17"/>
        <v>17105</v>
      </c>
      <c r="E133" s="141">
        <f t="shared" si="18"/>
        <v>0.906753604749788</v>
      </c>
      <c r="F133" s="142"/>
      <c r="G133" s="125">
        <v>1998</v>
      </c>
      <c r="H133" s="157">
        <f t="shared" si="19"/>
        <v>7004.289910356666</v>
      </c>
      <c r="I133" s="126">
        <v>6474</v>
      </c>
      <c r="J133" s="141">
        <v>0.831</v>
      </c>
      <c r="K133" s="141">
        <v>0.37130459660499715</v>
      </c>
      <c r="L133" s="142"/>
      <c r="M133" s="125">
        <v>1998</v>
      </c>
      <c r="N133" s="157">
        <f t="shared" si="21"/>
        <v>11859.710089643333</v>
      </c>
      <c r="O133" s="126">
        <v>10631</v>
      </c>
      <c r="P133" s="141">
        <v>0.806</v>
      </c>
      <c r="Q133" s="144">
        <v>0.6286954033950028</v>
      </c>
    </row>
    <row r="134" spans="1:17" ht="15">
      <c r="A134" s="149" t="s">
        <v>334</v>
      </c>
      <c r="B134" s="125">
        <v>2000</v>
      </c>
      <c r="C134" s="140">
        <f>PNWStarts!$C24</f>
        <v>15519</v>
      </c>
      <c r="D134" s="126">
        <f t="shared" si="17"/>
        <v>16733</v>
      </c>
      <c r="E134" s="141">
        <f t="shared" si="18"/>
        <v>1.0782266898640376</v>
      </c>
      <c r="F134" s="142"/>
      <c r="G134" s="125">
        <v>1999</v>
      </c>
      <c r="H134" s="157">
        <f t="shared" si="19"/>
        <v>5590.047280171574</v>
      </c>
      <c r="I134" s="126">
        <v>6165</v>
      </c>
      <c r="J134" s="141">
        <v>0.834</v>
      </c>
      <c r="K134" s="141">
        <v>0.3602066679664652</v>
      </c>
      <c r="L134" s="142"/>
      <c r="M134" s="125">
        <v>1999</v>
      </c>
      <c r="N134" s="157">
        <f t="shared" si="21"/>
        <v>9928.952719828427</v>
      </c>
      <c r="O134" s="126">
        <v>10568</v>
      </c>
      <c r="P134" s="141">
        <v>0.805</v>
      </c>
      <c r="Q134" s="144">
        <v>0.6397933320335348</v>
      </c>
    </row>
    <row r="135" spans="1:17" ht="15">
      <c r="A135" s="150" t="s">
        <v>334</v>
      </c>
      <c r="B135" s="127">
        <v>2001</v>
      </c>
      <c r="C135" s="151">
        <f>PNWStarts!$C25</f>
        <v>15741</v>
      </c>
      <c r="D135" s="128">
        <f t="shared" si="17"/>
        <v>17023</v>
      </c>
      <c r="E135" s="152">
        <f t="shared" si="18"/>
        <v>1.0814433644622323</v>
      </c>
      <c r="F135" s="127"/>
      <c r="G135" s="127">
        <v>2000</v>
      </c>
      <c r="H135" s="128">
        <f t="shared" si="19"/>
        <v>5958.176115107914</v>
      </c>
      <c r="I135" s="128">
        <v>6583</v>
      </c>
      <c r="J135" s="152">
        <v>0.834</v>
      </c>
      <c r="K135" s="152">
        <v>0.37851318944844126</v>
      </c>
      <c r="L135" s="127"/>
      <c r="M135" s="127">
        <v>2000</v>
      </c>
      <c r="N135" s="128">
        <f t="shared" si="21"/>
        <v>9782.823884892086</v>
      </c>
      <c r="O135" s="128">
        <v>10440</v>
      </c>
      <c r="P135" s="152">
        <v>0.806</v>
      </c>
      <c r="Q135" s="153">
        <v>0.6214868105515587</v>
      </c>
    </row>
    <row r="136" spans="1:17" ht="15">
      <c r="A136" s="150" t="s">
        <v>335</v>
      </c>
      <c r="B136" s="127">
        <v>2002</v>
      </c>
      <c r="C136" s="151">
        <f>C135*(1+'Summary for 5th Plan'!E$9)</f>
        <v>16142.702839455847</v>
      </c>
      <c r="D136" s="128">
        <f t="shared" si="17"/>
        <v>16542</v>
      </c>
      <c r="E136" s="152">
        <f t="shared" si="18"/>
        <v>1.0247354587713895</v>
      </c>
      <c r="F136" s="127"/>
      <c r="G136" s="127">
        <v>2001</v>
      </c>
      <c r="H136" s="128">
        <v>7681</v>
      </c>
      <c r="I136" s="128">
        <v>6404</v>
      </c>
      <c r="J136" s="152">
        <v>0.834</v>
      </c>
      <c r="K136" s="152">
        <v>0.37921500863984203</v>
      </c>
      <c r="L136" s="127"/>
      <c r="M136" s="127">
        <v>2001</v>
      </c>
      <c r="N136" s="128">
        <v>12574</v>
      </c>
      <c r="O136" s="128">
        <v>10138</v>
      </c>
      <c r="P136" s="152">
        <v>0.806</v>
      </c>
      <c r="Q136" s="153">
        <v>0.620784991360158</v>
      </c>
    </row>
    <row r="137" spans="1:17" ht="15">
      <c r="A137" s="150" t="s">
        <v>335</v>
      </c>
      <c r="B137" s="127">
        <v>2003</v>
      </c>
      <c r="C137" s="151">
        <f>C136*(1+'Summary for 5th Plan'!E$9)</f>
        <v>16554.656944474675</v>
      </c>
      <c r="D137" s="151">
        <f t="shared" si="17"/>
        <v>13320.39936720681</v>
      </c>
      <c r="E137" s="152">
        <f t="shared" si="18"/>
        <v>0.8046315554519939</v>
      </c>
      <c r="F137" s="142"/>
      <c r="G137" s="127">
        <v>2002</v>
      </c>
      <c r="H137" s="128">
        <f aca="true" t="shared" si="23" ref="H137:H159">C137*K137</f>
        <v>6048.197084961987</v>
      </c>
      <c r="I137" s="128">
        <f aca="true" t="shared" si="24" ref="I137:I159">H137*J137</f>
        <v>5001.034235117636</v>
      </c>
      <c r="J137" s="152">
        <f aca="true" t="shared" si="25" ref="J137:K159">FORECAST($B137,J$125:J$136,$B$125:$B$136)</f>
        <v>0.8268636363639708</v>
      </c>
      <c r="K137" s="152">
        <f t="shared" si="25"/>
        <v>0.3653471712067491</v>
      </c>
      <c r="L137" s="142"/>
      <c r="M137" s="127">
        <v>2002</v>
      </c>
      <c r="N137" s="128">
        <f aca="true" t="shared" si="26" ref="N137:N159">C137*Q137</f>
        <v>10506.459859511777</v>
      </c>
      <c r="O137" s="128">
        <f aca="true" t="shared" si="27" ref="O137:O159">N137*P137</f>
        <v>8319.365132089175</v>
      </c>
      <c r="P137" s="152">
        <f aca="true" t="shared" si="28" ref="P137:Q159">FORECAST($B137,P$125:P$136,$B$125:$B$136)</f>
        <v>0.7918333333332477</v>
      </c>
      <c r="Q137" s="153">
        <f t="shared" si="28"/>
        <v>0.6346528287931958</v>
      </c>
    </row>
    <row r="138" spans="1:17" ht="15">
      <c r="A138" s="150" t="s">
        <v>335</v>
      </c>
      <c r="B138" s="127">
        <v>2004</v>
      </c>
      <c r="C138" s="151">
        <f>C137*(1+'Summary for 5th Plan'!E$9)</f>
        <v>16977.123922481976</v>
      </c>
      <c r="D138" s="151">
        <f t="shared" si="17"/>
        <v>13546.86939321687</v>
      </c>
      <c r="E138" s="152">
        <f t="shared" si="18"/>
        <v>0.7979484307867608</v>
      </c>
      <c r="F138" s="142"/>
      <c r="G138" s="127">
        <v>2003</v>
      </c>
      <c r="H138" s="128">
        <f t="shared" si="23"/>
        <v>6161.472435473656</v>
      </c>
      <c r="I138" s="128">
        <f t="shared" si="24"/>
        <v>5072.529128750679</v>
      </c>
      <c r="J138" s="152">
        <f t="shared" si="25"/>
        <v>0.82326573426612</v>
      </c>
      <c r="K138" s="152">
        <f t="shared" si="25"/>
        <v>0.3629279295837806</v>
      </c>
      <c r="L138" s="142"/>
      <c r="M138" s="127">
        <v>2003</v>
      </c>
      <c r="N138" s="128">
        <f t="shared" si="26"/>
        <v>10815.651487007235</v>
      </c>
      <c r="O138" s="128">
        <f t="shared" si="27"/>
        <v>8474.340264466191</v>
      </c>
      <c r="P138" s="152">
        <f t="shared" si="28"/>
        <v>0.7835256410255411</v>
      </c>
      <c r="Q138" s="153">
        <f t="shared" si="28"/>
        <v>0.6370720704161554</v>
      </c>
    </row>
    <row r="139" spans="1:17" ht="15">
      <c r="A139" s="150" t="s">
        <v>335</v>
      </c>
      <c r="B139" s="127">
        <v>2005</v>
      </c>
      <c r="C139" s="151">
        <f>C138*(1+'Summary for 5th Plan'!E$9)</f>
        <v>17410.37205700042</v>
      </c>
      <c r="D139" s="151">
        <f t="shared" si="17"/>
        <v>13775.826623617417</v>
      </c>
      <c r="E139" s="152">
        <f t="shared" si="18"/>
        <v>0.791242517880506</v>
      </c>
      <c r="F139" s="142"/>
      <c r="G139" s="127">
        <v>2004</v>
      </c>
      <c r="H139" s="128">
        <f t="shared" si="23"/>
        <v>6276.590387178822</v>
      </c>
      <c r="I139" s="128">
        <f t="shared" si="24"/>
        <v>5144.719236067063</v>
      </c>
      <c r="J139" s="152">
        <f t="shared" si="25"/>
        <v>0.8196678321682693</v>
      </c>
      <c r="K139" s="152">
        <f t="shared" si="25"/>
        <v>0.36050868796081303</v>
      </c>
      <c r="L139" s="142"/>
      <c r="M139" s="127">
        <v>2004</v>
      </c>
      <c r="N139" s="128">
        <f t="shared" si="26"/>
        <v>11133.781669820344</v>
      </c>
      <c r="O139" s="128">
        <f t="shared" si="27"/>
        <v>8631.107387550353</v>
      </c>
      <c r="P139" s="152">
        <f t="shared" si="28"/>
        <v>0.7752179487178346</v>
      </c>
      <c r="Q139" s="153">
        <f t="shared" si="28"/>
        <v>0.639491312039115</v>
      </c>
    </row>
    <row r="140" spans="1:17" ht="15">
      <c r="A140" s="150" t="s">
        <v>335</v>
      </c>
      <c r="B140" s="127">
        <v>2006</v>
      </c>
      <c r="C140" s="151">
        <f>C139*(1+'Summary for 5th Plan'!E$9)</f>
        <v>17854.676478020672</v>
      </c>
      <c r="D140" s="151">
        <f t="shared" si="17"/>
        <v>14007.240390308998</v>
      </c>
      <c r="E140" s="152">
        <f t="shared" si="18"/>
        <v>0.7845138167332286</v>
      </c>
      <c r="F140" s="142"/>
      <c r="G140" s="127">
        <v>2005</v>
      </c>
      <c r="H140" s="128">
        <f t="shared" si="23"/>
        <v>6393.571214555759</v>
      </c>
      <c r="I140" s="128">
        <f t="shared" si="24"/>
        <v>5217.60121396276</v>
      </c>
      <c r="J140" s="152">
        <f t="shared" si="25"/>
        <v>0.8160699300704186</v>
      </c>
      <c r="K140" s="152">
        <f t="shared" si="25"/>
        <v>0.35808944633784456</v>
      </c>
      <c r="L140" s="142"/>
      <c r="M140" s="127">
        <v>2005</v>
      </c>
      <c r="N140" s="128">
        <f t="shared" si="26"/>
        <v>11461.10526346347</v>
      </c>
      <c r="O140" s="128">
        <f t="shared" si="27"/>
        <v>8789.639176346238</v>
      </c>
      <c r="P140" s="152">
        <f t="shared" si="28"/>
        <v>0.766910256410128</v>
      </c>
      <c r="Q140" s="153">
        <f t="shared" si="28"/>
        <v>0.6419105536620746</v>
      </c>
    </row>
    <row r="141" spans="1:17" ht="15">
      <c r="A141" s="150" t="s">
        <v>335</v>
      </c>
      <c r="B141" s="127">
        <v>2007</v>
      </c>
      <c r="C141" s="151">
        <f>C140*(1+'Summary for 5th Plan'!E$9)</f>
        <v>18310.319336720022</v>
      </c>
      <c r="D141" s="151">
        <f t="shared" si="17"/>
        <v>14241.076581756275</v>
      </c>
      <c r="E141" s="152">
        <f t="shared" si="18"/>
        <v>0.777762327344932</v>
      </c>
      <c r="F141" s="142"/>
      <c r="G141" s="127">
        <v>2006</v>
      </c>
      <c r="H141" s="128">
        <f t="shared" si="23"/>
        <v>6512.435026885981</v>
      </c>
      <c r="I141" s="128">
        <f t="shared" si="24"/>
        <v>5291.171293333638</v>
      </c>
      <c r="J141" s="152">
        <f t="shared" si="25"/>
        <v>0.8124720279725679</v>
      </c>
      <c r="K141" s="152">
        <f t="shared" si="25"/>
        <v>0.355670204714877</v>
      </c>
      <c r="L141" s="142"/>
      <c r="M141" s="127">
        <v>2006</v>
      </c>
      <c r="N141" s="128">
        <f t="shared" si="26"/>
        <v>11797.884309832414</v>
      </c>
      <c r="O141" s="128">
        <f t="shared" si="27"/>
        <v>8949.905288422638</v>
      </c>
      <c r="P141" s="152">
        <f t="shared" si="28"/>
        <v>0.758602564102425</v>
      </c>
      <c r="Q141" s="153">
        <f t="shared" si="28"/>
        <v>0.6443297952850342</v>
      </c>
    </row>
    <row r="142" spans="1:17" ht="15">
      <c r="A142" s="150" t="s">
        <v>335</v>
      </c>
      <c r="B142" s="127">
        <v>2008</v>
      </c>
      <c r="C142" s="151">
        <f>C141*(1+'Summary for 5th Plan'!E$9)</f>
        <v>18777.589984639704</v>
      </c>
      <c r="D142" s="151">
        <f t="shared" si="17"/>
        <v>14477.297480616742</v>
      </c>
      <c r="E142" s="152">
        <f t="shared" si="18"/>
        <v>0.7709880497156103</v>
      </c>
      <c r="F142" s="142"/>
      <c r="G142" s="127">
        <v>2007</v>
      </c>
      <c r="H142" s="128">
        <f t="shared" si="23"/>
        <v>6633.201746618951</v>
      </c>
      <c r="I142" s="128">
        <f t="shared" si="24"/>
        <v>5365.4252645470515</v>
      </c>
      <c r="J142" s="152">
        <f t="shared" si="25"/>
        <v>0.8088741258747172</v>
      </c>
      <c r="K142" s="152">
        <f t="shared" si="25"/>
        <v>0.3532509630919085</v>
      </c>
      <c r="L142" s="142"/>
      <c r="M142" s="127">
        <v>2007</v>
      </c>
      <c r="N142" s="128">
        <f t="shared" si="26"/>
        <v>12144.388238018919</v>
      </c>
      <c r="O142" s="128">
        <f t="shared" si="27"/>
        <v>9111.87221606969</v>
      </c>
      <c r="P142" s="152">
        <f t="shared" si="28"/>
        <v>0.7502948717947184</v>
      </c>
      <c r="Q142" s="153">
        <f t="shared" si="28"/>
        <v>0.6467490369079938</v>
      </c>
    </row>
    <row r="143" spans="1:17" ht="15">
      <c r="A143" s="150" t="s">
        <v>335</v>
      </c>
      <c r="B143" s="127">
        <v>2009</v>
      </c>
      <c r="C143" s="151">
        <f>C142*(1+'Summary for 5th Plan'!E$9)</f>
        <v>19256.78515743479</v>
      </c>
      <c r="D143" s="151">
        <f t="shared" si="17"/>
        <v>14715.861595157017</v>
      </c>
      <c r="E143" s="152">
        <f t="shared" si="18"/>
        <v>0.7641909838452664</v>
      </c>
      <c r="F143" s="142"/>
      <c r="G143" s="127">
        <v>2008</v>
      </c>
      <c r="H143" s="128">
        <f t="shared" si="23"/>
        <v>6755.891086740381</v>
      </c>
      <c r="I143" s="128">
        <f t="shared" si="24"/>
        <v>5440.358462578085</v>
      </c>
      <c r="J143" s="152">
        <f t="shared" si="25"/>
        <v>0.8052762237768665</v>
      </c>
      <c r="K143" s="152">
        <f t="shared" si="25"/>
        <v>0.35083172146894004</v>
      </c>
      <c r="L143" s="142"/>
      <c r="M143" s="127">
        <v>2008</v>
      </c>
      <c r="N143" s="128">
        <f t="shared" si="26"/>
        <v>12500.894070692357</v>
      </c>
      <c r="O143" s="128">
        <f t="shared" si="27"/>
        <v>9275.503132578931</v>
      </c>
      <c r="P143" s="152">
        <f t="shared" si="28"/>
        <v>0.7419871794870119</v>
      </c>
      <c r="Q143" s="153">
        <f t="shared" si="28"/>
        <v>0.6491682785309534</v>
      </c>
    </row>
    <row r="144" spans="1:17" ht="15">
      <c r="A144" s="150" t="s">
        <v>335</v>
      </c>
      <c r="B144" s="127">
        <v>2010</v>
      </c>
      <c r="C144" s="151">
        <f>C143*(1+'Summary for 5th Plan'!E$9)</f>
        <v>19748.209163313248</v>
      </c>
      <c r="D144" s="151">
        <f t="shared" si="17"/>
        <v>14956.723484239934</v>
      </c>
      <c r="E144" s="152">
        <f t="shared" si="18"/>
        <v>0.7573711297339012</v>
      </c>
      <c r="F144" s="142"/>
      <c r="G144" s="127">
        <v>2009</v>
      </c>
      <c r="H144" s="128">
        <f t="shared" si="23"/>
        <v>6880.522527106926</v>
      </c>
      <c r="I144" s="128">
        <f t="shared" si="24"/>
        <v>5515.96575180574</v>
      </c>
      <c r="J144" s="152">
        <f t="shared" si="25"/>
        <v>0.8016783216790158</v>
      </c>
      <c r="K144" s="152">
        <f t="shared" si="25"/>
        <v>0.34841247984597246</v>
      </c>
      <c r="L144" s="142"/>
      <c r="M144" s="127">
        <v>2009</v>
      </c>
      <c r="N144" s="128">
        <f t="shared" si="26"/>
        <v>12867.68663620406</v>
      </c>
      <c r="O144" s="128">
        <f t="shared" si="27"/>
        <v>9440.757732434195</v>
      </c>
      <c r="P144" s="152">
        <f t="shared" si="28"/>
        <v>0.7336794871793053</v>
      </c>
      <c r="Q144" s="153">
        <f t="shared" si="28"/>
        <v>0.651587520153913</v>
      </c>
    </row>
    <row r="145" spans="1:17" ht="15">
      <c r="A145" s="150" t="s">
        <v>335</v>
      </c>
      <c r="B145" s="127">
        <v>2011</v>
      </c>
      <c r="C145" s="151">
        <f>C144*(1+'Summary for 5th Plan'!E$9)</f>
        <v>20252.174076283893</v>
      </c>
      <c r="D145" s="151">
        <f t="shared" si="17"/>
        <v>15199.833575660445</v>
      </c>
      <c r="E145" s="152">
        <f t="shared" si="18"/>
        <v>0.7505284873815132</v>
      </c>
      <c r="F145" s="142"/>
      <c r="G145" s="127">
        <v>2010</v>
      </c>
      <c r="H145" s="128">
        <f t="shared" si="23"/>
        <v>7007.115289709439</v>
      </c>
      <c r="I145" s="128">
        <f t="shared" si="24"/>
        <v>5592.241510464906</v>
      </c>
      <c r="J145" s="152">
        <f t="shared" si="25"/>
        <v>0.798080419581165</v>
      </c>
      <c r="K145" s="152">
        <f t="shared" si="25"/>
        <v>0.345993238223004</v>
      </c>
      <c r="L145" s="142"/>
      <c r="M145" s="127">
        <v>2010</v>
      </c>
      <c r="N145" s="128">
        <f t="shared" si="26"/>
        <v>13245.058786571954</v>
      </c>
      <c r="O145" s="128">
        <f t="shared" si="27"/>
        <v>9607.592065195538</v>
      </c>
      <c r="P145" s="152">
        <f t="shared" si="28"/>
        <v>0.7253717948715988</v>
      </c>
      <c r="Q145" s="153">
        <f t="shared" si="28"/>
        <v>0.6540067617768726</v>
      </c>
    </row>
    <row r="146" spans="1:17" ht="15">
      <c r="A146" s="150" t="s">
        <v>335</v>
      </c>
      <c r="B146" s="127">
        <v>2012</v>
      </c>
      <c r="C146" s="151">
        <f>C145*(1+'Summary for 5th Plan'!E$9)</f>
        <v>20768.999934335945</v>
      </c>
      <c r="D146" s="151">
        <f t="shared" si="17"/>
        <v>15445.137977600229</v>
      </c>
      <c r="E146" s="152">
        <f t="shared" si="18"/>
        <v>0.7436630567881054</v>
      </c>
      <c r="F146" s="142"/>
      <c r="G146" s="127">
        <v>2011</v>
      </c>
      <c r="H146" s="128">
        <f t="shared" si="23"/>
        <v>7135.688312825676</v>
      </c>
      <c r="I146" s="128">
        <f t="shared" si="24"/>
        <v>5669.179614750007</v>
      </c>
      <c r="J146" s="152">
        <f t="shared" si="25"/>
        <v>0.7944825174833143</v>
      </c>
      <c r="K146" s="152">
        <f t="shared" si="25"/>
        <v>0.3435739966000355</v>
      </c>
      <c r="L146" s="142"/>
      <c r="M146" s="127">
        <v>2011</v>
      </c>
      <c r="N146" s="128">
        <f t="shared" si="26"/>
        <v>13633.31162150752</v>
      </c>
      <c r="O146" s="128">
        <f t="shared" si="27"/>
        <v>9775.95836285022</v>
      </c>
      <c r="P146" s="152">
        <f t="shared" si="28"/>
        <v>0.7170641025638957</v>
      </c>
      <c r="Q146" s="153">
        <f t="shared" si="28"/>
        <v>0.6564260033998321</v>
      </c>
    </row>
    <row r="147" spans="1:17" ht="15">
      <c r="A147" s="150" t="s">
        <v>335</v>
      </c>
      <c r="B147" s="127">
        <v>2013</v>
      </c>
      <c r="C147" s="151">
        <f>C146*(1+'Summary for 5th Plan'!E$9)</f>
        <v>21299.014942676018</v>
      </c>
      <c r="D147" s="151">
        <f t="shared" si="17"/>
        <v>15692.578282962997</v>
      </c>
      <c r="E147" s="152">
        <f t="shared" si="18"/>
        <v>0.7367748379536737</v>
      </c>
      <c r="F147" s="142"/>
      <c r="G147" s="127">
        <v>2012</v>
      </c>
      <c r="H147" s="128">
        <f t="shared" si="23"/>
        <v>7266.260224021546</v>
      </c>
      <c r="I147" s="128">
        <f t="shared" si="24"/>
        <v>5746.773422565972</v>
      </c>
      <c r="J147" s="152">
        <f t="shared" si="25"/>
        <v>0.7908846153854636</v>
      </c>
      <c r="K147" s="152">
        <f t="shared" si="25"/>
        <v>0.34115475497706793</v>
      </c>
      <c r="L147" s="142"/>
      <c r="M147" s="127">
        <v>2012</v>
      </c>
      <c r="N147" s="128">
        <f t="shared" si="26"/>
        <v>14032.754718651484</v>
      </c>
      <c r="O147" s="128">
        <f t="shared" si="27"/>
        <v>9945.804860397026</v>
      </c>
      <c r="P147" s="152">
        <f t="shared" si="28"/>
        <v>0.7087564102561892</v>
      </c>
      <c r="Q147" s="153">
        <f t="shared" si="28"/>
        <v>0.6588452450227917</v>
      </c>
    </row>
    <row r="148" spans="1:17" ht="15">
      <c r="A148" s="150" t="s">
        <v>335</v>
      </c>
      <c r="B148" s="127">
        <v>2014</v>
      </c>
      <c r="C148" s="151">
        <f>C147*(1+'Summary for 5th Plan'!E$9)</f>
        <v>21842.555682151622</v>
      </c>
      <c r="D148" s="151">
        <f t="shared" si="17"/>
        <v>15942.091366346</v>
      </c>
      <c r="E148" s="152">
        <f t="shared" si="18"/>
        <v>0.7298638308782193</v>
      </c>
      <c r="F148" s="142"/>
      <c r="G148" s="127">
        <v>2013</v>
      </c>
      <c r="H148" s="128">
        <f t="shared" si="23"/>
        <v>7398.849311959132</v>
      </c>
      <c r="I148" s="128">
        <f t="shared" si="24"/>
        <v>5825.015756922621</v>
      </c>
      <c r="J148" s="152">
        <f t="shared" si="25"/>
        <v>0.7872867132876129</v>
      </c>
      <c r="K148" s="152">
        <f t="shared" si="25"/>
        <v>0.33873551335409946</v>
      </c>
      <c r="L148" s="142"/>
      <c r="M148" s="127">
        <v>2013</v>
      </c>
      <c r="N148" s="128">
        <f t="shared" si="26"/>
        <v>14443.706370189231</v>
      </c>
      <c r="O148" s="128">
        <f t="shared" si="27"/>
        <v>10117.075609423378</v>
      </c>
      <c r="P148" s="152">
        <f t="shared" si="28"/>
        <v>0.7004487179484826</v>
      </c>
      <c r="Q148" s="153">
        <f t="shared" si="28"/>
        <v>0.6612644866457513</v>
      </c>
    </row>
    <row r="149" spans="1:17" ht="15">
      <c r="A149" s="150" t="s">
        <v>335</v>
      </c>
      <c r="B149" s="127">
        <v>2015</v>
      </c>
      <c r="C149" s="151">
        <f>C148*(1+'Summary for 5th Plan'!E$9)</f>
        <v>22399.967322993547</v>
      </c>
      <c r="D149" s="151">
        <f t="shared" si="17"/>
        <v>16193.609173393637</v>
      </c>
      <c r="E149" s="152">
        <f t="shared" si="18"/>
        <v>0.7229300355617444</v>
      </c>
      <c r="F149" s="142"/>
      <c r="G149" s="127">
        <v>2014</v>
      </c>
      <c r="H149" s="128">
        <f t="shared" si="23"/>
        <v>7533.473496968372</v>
      </c>
      <c r="I149" s="128">
        <f t="shared" si="24"/>
        <v>5903.898888968731</v>
      </c>
      <c r="J149" s="152">
        <f t="shared" si="25"/>
        <v>0.7836888111897631</v>
      </c>
      <c r="K149" s="152">
        <f t="shared" si="25"/>
        <v>0.3363162717311319</v>
      </c>
      <c r="L149" s="142"/>
      <c r="M149" s="127">
        <v>2014</v>
      </c>
      <c r="N149" s="128">
        <f t="shared" si="26"/>
        <v>14866.493826021673</v>
      </c>
      <c r="O149" s="128">
        <f t="shared" si="27"/>
        <v>10289.710284424906</v>
      </c>
      <c r="P149" s="152">
        <f t="shared" si="28"/>
        <v>0.6921410256407761</v>
      </c>
      <c r="Q149" s="153">
        <f t="shared" si="28"/>
        <v>0.6636837282687118</v>
      </c>
    </row>
    <row r="150" spans="1:17" ht="15">
      <c r="A150" s="150" t="s">
        <v>335</v>
      </c>
      <c r="B150" s="127">
        <v>2016</v>
      </c>
      <c r="C150" s="151">
        <f>C149*(1+'Summary for 5th Plan'!E$9)</f>
        <v>22971.60384401284</v>
      </c>
      <c r="D150" s="151">
        <f t="shared" si="17"/>
        <v>16447.058502271928</v>
      </c>
      <c r="E150" s="152">
        <f t="shared" si="18"/>
        <v>0.7159734520042481</v>
      </c>
      <c r="F150" s="142"/>
      <c r="G150" s="127">
        <v>2015</v>
      </c>
      <c r="H150" s="128">
        <f t="shared" si="23"/>
        <v>7670.150300337157</v>
      </c>
      <c r="I150" s="128">
        <f t="shared" si="24"/>
        <v>5983.414520661618</v>
      </c>
      <c r="J150" s="152">
        <f t="shared" si="25"/>
        <v>0.7800909090919124</v>
      </c>
      <c r="K150" s="152">
        <f t="shared" si="25"/>
        <v>0.3338970301081634</v>
      </c>
      <c r="L150" s="142"/>
      <c r="M150" s="127">
        <v>2015</v>
      </c>
      <c r="N150" s="128">
        <f t="shared" si="26"/>
        <v>15301.453543671887</v>
      </c>
      <c r="O150" s="128">
        <f t="shared" si="27"/>
        <v>10463.64398161031</v>
      </c>
      <c r="P150" s="152">
        <f t="shared" si="28"/>
        <v>0.6838333333330731</v>
      </c>
      <c r="Q150" s="153">
        <f t="shared" si="28"/>
        <v>0.6661029698916714</v>
      </c>
    </row>
    <row r="151" spans="1:17" ht="15">
      <c r="A151" s="150" t="s">
        <v>335</v>
      </c>
      <c r="B151" s="127">
        <v>2017</v>
      </c>
      <c r="C151" s="151">
        <f>C150*(1+'Summary for 5th Plan'!E$9)</f>
        <v>23557.828257391586</v>
      </c>
      <c r="D151" s="151">
        <f t="shared" si="17"/>
        <v>16702.36077699384</v>
      </c>
      <c r="E151" s="152">
        <f t="shared" si="18"/>
        <v>0.7089940802057273</v>
      </c>
      <c r="F151" s="142"/>
      <c r="G151" s="127">
        <v>2016</v>
      </c>
      <c r="H151" s="128">
        <f t="shared" si="23"/>
        <v>7808.896812274196</v>
      </c>
      <c r="I151" s="128">
        <f t="shared" si="24"/>
        <v>6063.553767069133</v>
      </c>
      <c r="J151" s="152">
        <f t="shared" si="25"/>
        <v>0.7764930069940617</v>
      </c>
      <c r="K151" s="152">
        <f t="shared" si="25"/>
        <v>0.33147778848519494</v>
      </c>
      <c r="L151" s="142"/>
      <c r="M151" s="127">
        <v>2016</v>
      </c>
      <c r="N151" s="128">
        <f t="shared" si="26"/>
        <v>15748.931445113289</v>
      </c>
      <c r="O151" s="128">
        <f t="shared" si="27"/>
        <v>10638.807009924705</v>
      </c>
      <c r="P151" s="152">
        <f t="shared" si="28"/>
        <v>0.6755256410253665</v>
      </c>
      <c r="Q151" s="153">
        <f t="shared" si="28"/>
        <v>0.668522211514631</v>
      </c>
    </row>
    <row r="152" spans="1:17" ht="15">
      <c r="A152" s="150" t="s">
        <v>335</v>
      </c>
      <c r="B152" s="127">
        <v>2018</v>
      </c>
      <c r="C152" s="151">
        <f>C151*(1+'Summary for 5th Plan'!E$9)</f>
        <v>24159.012839210238</v>
      </c>
      <c r="D152" s="151">
        <f t="shared" si="17"/>
        <v>16959.431812316714</v>
      </c>
      <c r="E152" s="152">
        <f t="shared" si="18"/>
        <v>0.7019919201661851</v>
      </c>
      <c r="F152" s="142"/>
      <c r="G152" s="127">
        <v>2017</v>
      </c>
      <c r="H152" s="128">
        <f t="shared" si="23"/>
        <v>7949.729658496414</v>
      </c>
      <c r="I152" s="128">
        <f t="shared" si="24"/>
        <v>6144.307138300105</v>
      </c>
      <c r="J152" s="152">
        <f t="shared" si="25"/>
        <v>0.7728951048962109</v>
      </c>
      <c r="K152" s="152">
        <f t="shared" si="25"/>
        <v>0.32905854686222735</v>
      </c>
      <c r="L152" s="142"/>
      <c r="M152" s="127">
        <v>2017</v>
      </c>
      <c r="N152" s="128">
        <f t="shared" si="26"/>
        <v>16209.283180709424</v>
      </c>
      <c r="O152" s="128">
        <f t="shared" si="27"/>
        <v>10815.124674016608</v>
      </c>
      <c r="P152" s="152">
        <f t="shared" si="28"/>
        <v>0.6672179487176599</v>
      </c>
      <c r="Q152" s="153">
        <f t="shared" si="28"/>
        <v>0.6709414531375906</v>
      </c>
    </row>
    <row r="153" spans="1:17" ht="15">
      <c r="A153" s="150" t="s">
        <v>335</v>
      </c>
      <c r="B153" s="127">
        <v>2019</v>
      </c>
      <c r="C153" s="151">
        <f>C152*(1+'Summary for 5th Plan'!E$9)</f>
        <v>24775.539365857912</v>
      </c>
      <c r="D153" s="151">
        <f t="shared" si="17"/>
        <v>17218.18156992325</v>
      </c>
      <c r="E153" s="152">
        <f t="shared" si="18"/>
        <v>0.6949669718856201</v>
      </c>
      <c r="F153" s="142"/>
      <c r="G153" s="127">
        <v>2018</v>
      </c>
      <c r="H153" s="128">
        <f t="shared" si="23"/>
        <v>8092.6649653917375</v>
      </c>
      <c r="I153" s="128">
        <f t="shared" si="24"/>
        <v>6225.664521060152</v>
      </c>
      <c r="J153" s="152">
        <f t="shared" si="25"/>
        <v>0.7692972027983602</v>
      </c>
      <c r="K153" s="152">
        <f t="shared" si="25"/>
        <v>0.3266393052392589</v>
      </c>
      <c r="L153" s="142"/>
      <c r="M153" s="127">
        <v>2018</v>
      </c>
      <c r="N153" s="128">
        <f t="shared" si="26"/>
        <v>16682.874400461445</v>
      </c>
      <c r="O153" s="128">
        <f t="shared" si="27"/>
        <v>10992.517048863097</v>
      </c>
      <c r="P153" s="152">
        <f t="shared" si="28"/>
        <v>0.6589102564099534</v>
      </c>
      <c r="Q153" s="153">
        <f t="shared" si="28"/>
        <v>0.6733606947605502</v>
      </c>
    </row>
    <row r="154" spans="1:17" ht="15">
      <c r="A154" s="150" t="s">
        <v>335</v>
      </c>
      <c r="B154" s="127">
        <v>2020</v>
      </c>
      <c r="C154" s="151">
        <f>C153*(1+'Summary for 5th Plan'!E$9)</f>
        <v>25407.79935647574</v>
      </c>
      <c r="D154" s="151">
        <f t="shared" si="17"/>
        <v>17478.51390558962</v>
      </c>
      <c r="E154" s="152">
        <f t="shared" si="18"/>
        <v>0.6879192353640353</v>
      </c>
      <c r="F154" s="142"/>
      <c r="G154" s="127">
        <v>2019</v>
      </c>
      <c r="H154" s="128">
        <f t="shared" si="23"/>
        <v>8237.718323706507</v>
      </c>
      <c r="I154" s="128">
        <f t="shared" si="24"/>
        <v>6307.615159829847</v>
      </c>
      <c r="J154" s="152">
        <f t="shared" si="25"/>
        <v>0.7656993007005095</v>
      </c>
      <c r="K154" s="152">
        <f t="shared" si="25"/>
        <v>0.3242200636162904</v>
      </c>
      <c r="L154" s="142"/>
      <c r="M154" s="127">
        <v>2019</v>
      </c>
      <c r="N154" s="128">
        <f t="shared" si="26"/>
        <v>17170.081032764156</v>
      </c>
      <c r="O154" s="128">
        <f t="shared" si="27"/>
        <v>11170.898745759774</v>
      </c>
      <c r="P154" s="152">
        <f t="shared" si="28"/>
        <v>0.6506025641022504</v>
      </c>
      <c r="Q154" s="153">
        <f t="shared" si="28"/>
        <v>0.6757799363835097</v>
      </c>
    </row>
    <row r="155" spans="1:17" ht="15">
      <c r="A155" s="150" t="s">
        <v>335</v>
      </c>
      <c r="B155" s="127">
        <v>2021</v>
      </c>
      <c r="C155" s="151">
        <f>C154*(1+'Summary for 5th Plan'!E$9)</f>
        <v>26056.19432158728</v>
      </c>
      <c r="D155" s="151">
        <f t="shared" si="17"/>
        <v>17740.32630703292</v>
      </c>
      <c r="E155" s="152">
        <f t="shared" si="18"/>
        <v>0.6808487106014268</v>
      </c>
      <c r="F155" s="142"/>
      <c r="G155" s="127">
        <v>2020</v>
      </c>
      <c r="H155" s="128">
        <f t="shared" si="23"/>
        <v>8384.904750704538</v>
      </c>
      <c r="I155" s="128">
        <f t="shared" si="24"/>
        <v>6390.147637662007</v>
      </c>
      <c r="J155" s="152">
        <f t="shared" si="25"/>
        <v>0.7621013986026588</v>
      </c>
      <c r="K155" s="152">
        <f t="shared" si="25"/>
        <v>0.3218008219933228</v>
      </c>
      <c r="L155" s="142"/>
      <c r="M155" s="127">
        <v>2020</v>
      </c>
      <c r="N155" s="128">
        <f t="shared" si="26"/>
        <v>17671.28957087733</v>
      </c>
      <c r="O155" s="128">
        <f t="shared" si="27"/>
        <v>11350.178669370913</v>
      </c>
      <c r="P155" s="152">
        <f t="shared" si="28"/>
        <v>0.6422948717945438</v>
      </c>
      <c r="Q155" s="153">
        <f t="shared" si="28"/>
        <v>0.6781991780064693</v>
      </c>
    </row>
    <row r="156" spans="1:17" ht="15">
      <c r="A156" s="150" t="s">
        <v>335</v>
      </c>
      <c r="B156" s="127">
        <v>2022</v>
      </c>
      <c r="C156" s="151">
        <f>C155*(1+'Summary for 5th Plan'!E$9)</f>
        <v>26721.13601807384</v>
      </c>
      <c r="D156" s="151">
        <f t="shared" si="17"/>
        <v>18003.50962212211</v>
      </c>
      <c r="E156" s="152">
        <f t="shared" si="18"/>
        <v>0.6737553975977953</v>
      </c>
      <c r="F156" s="142"/>
      <c r="G156" s="127">
        <v>2021</v>
      </c>
      <c r="H156" s="128">
        <f t="shared" si="23"/>
        <v>8534.23865074362</v>
      </c>
      <c r="I156" s="128">
        <f t="shared" si="24"/>
        <v>6473.249856595512</v>
      </c>
      <c r="J156" s="152">
        <f t="shared" si="25"/>
        <v>0.7585034965048081</v>
      </c>
      <c r="K156" s="152">
        <f t="shared" si="25"/>
        <v>0.31938158037035436</v>
      </c>
      <c r="L156" s="142"/>
      <c r="M156" s="127">
        <v>2021</v>
      </c>
      <c r="N156" s="128">
        <f t="shared" si="26"/>
        <v>18186.89736732443</v>
      </c>
      <c r="O156" s="128">
        <f t="shared" si="27"/>
        <v>11530.2597655266</v>
      </c>
      <c r="P156" s="152">
        <f t="shared" si="28"/>
        <v>0.6339871794868372</v>
      </c>
      <c r="Q156" s="153">
        <f t="shared" si="28"/>
        <v>0.6806184196294289</v>
      </c>
    </row>
    <row r="157" spans="1:17" ht="15">
      <c r="A157" s="150" t="s">
        <v>335</v>
      </c>
      <c r="B157" s="127">
        <v>2023</v>
      </c>
      <c r="C157" s="151">
        <f>C156*(1+'Summary for 5th Plan'!E$9)</f>
        <v>27403.04671065666</v>
      </c>
      <c r="D157" s="151">
        <f t="shared" si="17"/>
        <v>18267.947777124456</v>
      </c>
      <c r="E157" s="152">
        <f t="shared" si="18"/>
        <v>0.6666392963531427</v>
      </c>
      <c r="F157" s="142"/>
      <c r="G157" s="127">
        <v>2022</v>
      </c>
      <c r="H157" s="128">
        <f t="shared" si="23"/>
        <v>8685.733774213619</v>
      </c>
      <c r="I157" s="128">
        <f t="shared" si="24"/>
        <v>6556.909017683317</v>
      </c>
      <c r="J157" s="152">
        <f t="shared" si="25"/>
        <v>0.7549055944069574</v>
      </c>
      <c r="K157" s="152">
        <f t="shared" si="25"/>
        <v>0.3169623387473868</v>
      </c>
      <c r="L157" s="142"/>
      <c r="M157" s="127">
        <v>2022</v>
      </c>
      <c r="N157" s="128">
        <f t="shared" si="26"/>
        <v>18717.312936436883</v>
      </c>
      <c r="O157" s="128">
        <f t="shared" si="27"/>
        <v>11711.038759441139</v>
      </c>
      <c r="P157" s="152">
        <f t="shared" si="28"/>
        <v>0.6256794871791307</v>
      </c>
      <c r="Q157" s="153">
        <f t="shared" si="28"/>
        <v>0.6830376612523885</v>
      </c>
    </row>
    <row r="158" spans="1:17" ht="15">
      <c r="A158" s="150" t="s">
        <v>335</v>
      </c>
      <c r="B158" s="127">
        <v>2024</v>
      </c>
      <c r="C158" s="151">
        <f>C157*(1+'Summary for 5th Plan'!E$9)</f>
        <v>28102.359440051998</v>
      </c>
      <c r="D158" s="151">
        <f t="shared" si="17"/>
        <v>18533.517484650096</v>
      </c>
      <c r="E158" s="152">
        <f t="shared" si="18"/>
        <v>0.659500406867467</v>
      </c>
      <c r="F158" s="142"/>
      <c r="G158" s="127">
        <v>2023</v>
      </c>
      <c r="H158" s="128">
        <f t="shared" si="23"/>
        <v>8839.40317477759</v>
      </c>
      <c r="I158" s="128">
        <f t="shared" si="24"/>
        <v>6641.111600631942</v>
      </c>
      <c r="J158" s="152">
        <f t="shared" si="25"/>
        <v>0.7513076923091067</v>
      </c>
      <c r="K158" s="152">
        <f t="shared" si="25"/>
        <v>0.3145430971244183</v>
      </c>
      <c r="L158" s="142"/>
      <c r="M158" s="127">
        <v>2023</v>
      </c>
      <c r="N158" s="128">
        <f t="shared" si="26"/>
        <v>19262.956265267843</v>
      </c>
      <c r="O158" s="128">
        <f t="shared" si="27"/>
        <v>11892.405884018153</v>
      </c>
      <c r="P158" s="152">
        <f t="shared" si="28"/>
        <v>0.6173717948714241</v>
      </c>
      <c r="Q158" s="153">
        <f t="shared" si="28"/>
        <v>0.6854569028753481</v>
      </c>
    </row>
    <row r="159" spans="1:17" ht="15">
      <c r="A159" s="150" t="s">
        <v>335</v>
      </c>
      <c r="B159" s="127">
        <v>2025</v>
      </c>
      <c r="C159" s="151">
        <f>C158*(1+'Summary for 5th Plan'!E$9)</f>
        <v>28819.518297969393</v>
      </c>
      <c r="D159" s="151">
        <f t="shared" si="17"/>
        <v>18800.08794094657</v>
      </c>
      <c r="E159" s="152">
        <f t="shared" si="18"/>
        <v>0.6523387291407717</v>
      </c>
      <c r="F159" s="142"/>
      <c r="G159" s="127">
        <v>2024</v>
      </c>
      <c r="H159" s="128">
        <f t="shared" si="23"/>
        <v>8995.259164856789</v>
      </c>
      <c r="I159" s="128">
        <f t="shared" si="24"/>
        <v>6725.843343050947</v>
      </c>
      <c r="J159" s="152">
        <f t="shared" si="25"/>
        <v>0.7477097902112559</v>
      </c>
      <c r="K159" s="152">
        <f t="shared" si="25"/>
        <v>0.31212385550144983</v>
      </c>
      <c r="L159" s="142"/>
      <c r="M159" s="127">
        <v>2024</v>
      </c>
      <c r="N159" s="128">
        <f t="shared" si="26"/>
        <v>19824.259133105617</v>
      </c>
      <c r="O159" s="128">
        <f t="shared" si="27"/>
        <v>12074.244597895626</v>
      </c>
      <c r="P159" s="152">
        <f t="shared" si="28"/>
        <v>0.6090641025637211</v>
      </c>
      <c r="Q159" s="153">
        <f t="shared" si="28"/>
        <v>0.6878761444983077</v>
      </c>
    </row>
    <row r="160" spans="1:17" ht="15">
      <c r="A160" s="188" t="s">
        <v>342</v>
      </c>
      <c r="B160" s="173"/>
      <c r="C160" s="174">
        <f>SUM(C135:C159)</f>
        <v>541310.1862932699</v>
      </c>
      <c r="D160" s="174">
        <f>SUM(D135:D159)</f>
        <v>401230.48099105485</v>
      </c>
      <c r="E160" s="175"/>
      <c r="F160" s="142"/>
      <c r="G160" s="173"/>
      <c r="H160" s="174">
        <f>SUM(H135:H159)</f>
        <v>184841.1438356167</v>
      </c>
      <c r="I160" s="174">
        <f>SUM(I135:I159)</f>
        <v>147284.73034237948</v>
      </c>
      <c r="J160" s="175"/>
      <c r="K160" s="175"/>
      <c r="L160" s="142"/>
      <c r="M160" s="173"/>
      <c r="N160" s="174">
        <f>SUM(N135:N159)</f>
        <v>360581.3396181169</v>
      </c>
      <c r="O160" s="174">
        <f>SUM(O135:O159)</f>
        <v>253945.7506486754</v>
      </c>
      <c r="P160" s="175"/>
      <c r="Q160" s="176"/>
    </row>
  </sheetData>
  <mergeCells count="3">
    <mergeCell ref="G2:K2"/>
    <mergeCell ref="M2:Q2"/>
    <mergeCell ref="A2:E2"/>
  </mergeCells>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P54"/>
  <sheetViews>
    <sheetView workbookViewId="0" topLeftCell="A1">
      <selection activeCell="J5" sqref="J5"/>
    </sheetView>
  </sheetViews>
  <sheetFormatPr defaultColWidth="9.140625" defaultRowHeight="12.75"/>
  <cols>
    <col min="1" max="1" width="11.7109375" style="0" customWidth="1"/>
    <col min="2" max="2" width="12.8515625" style="0" bestFit="1" customWidth="1"/>
    <col min="3" max="3" width="10.421875" style="0" customWidth="1"/>
    <col min="4" max="4" width="12.421875" style="0" customWidth="1"/>
    <col min="5" max="5" width="12.57421875" style="0" customWidth="1"/>
    <col min="6" max="6" width="10.140625" style="0" customWidth="1"/>
    <col min="7" max="7" width="11.7109375" style="0" customWidth="1"/>
    <col min="8" max="8" width="11.140625" style="0" customWidth="1"/>
    <col min="10" max="10" width="11.57421875" style="0" customWidth="1"/>
    <col min="11" max="11" width="12.7109375" style="0" customWidth="1"/>
    <col min="15" max="15" width="10.7109375" style="0" customWidth="1"/>
  </cols>
  <sheetData>
    <row r="1" ht="12.75">
      <c r="A1" t="s">
        <v>14</v>
      </c>
    </row>
    <row r="3" spans="1:12" ht="51">
      <c r="A3" s="19"/>
      <c r="B3" s="27" t="s">
        <v>15</v>
      </c>
      <c r="C3" s="27" t="s">
        <v>16</v>
      </c>
      <c r="D3" s="27" t="s">
        <v>17</v>
      </c>
      <c r="E3" s="27" t="s">
        <v>18</v>
      </c>
      <c r="F3" s="27" t="s">
        <v>19</v>
      </c>
      <c r="G3" s="27" t="s">
        <v>20</v>
      </c>
      <c r="H3" s="27" t="s">
        <v>21</v>
      </c>
      <c r="I3" s="27" t="s">
        <v>80</v>
      </c>
      <c r="J3" t="s">
        <v>572</v>
      </c>
      <c r="L3" s="206" t="s">
        <v>573</v>
      </c>
    </row>
    <row r="4" spans="1:10" ht="12.75">
      <c r="A4" s="19"/>
      <c r="B4" s="19"/>
      <c r="C4" s="19"/>
      <c r="D4" s="19"/>
      <c r="E4" s="19"/>
      <c r="F4" s="19"/>
      <c r="G4" s="19"/>
      <c r="H4" s="19"/>
      <c r="I4" s="19"/>
      <c r="J4">
        <f>'Existing Pre-80 Housing Units'!B52</f>
        <v>3476427</v>
      </c>
    </row>
    <row r="5" spans="1:12" ht="12.75">
      <c r="A5" s="19">
        <v>1981</v>
      </c>
      <c r="B5" s="51">
        <f>+WAStarts!B5+ORStarts!B5+MTStarts!B5+IDStarts!B5</f>
        <v>32566</v>
      </c>
      <c r="C5" s="51">
        <f>+WAStarts!C5+ORStarts!C5+MTStarts!C5+IDStarts!C5</f>
        <v>10560</v>
      </c>
      <c r="D5" s="51">
        <f>'MHSHIPMNTS &amp; SF &amp; MF Starts'!F6</f>
        <v>12261</v>
      </c>
      <c r="E5" s="51">
        <f>SUM(B5:D5)</f>
        <v>55387</v>
      </c>
      <c r="F5" s="66">
        <f>D5/(B5+D5)</f>
        <v>0.2735181921609744</v>
      </c>
      <c r="G5" s="19"/>
      <c r="H5" s="67">
        <f>+WAStarts!K5+ORStarts!J5+MTStarts!K5+IDStarts!K5</f>
        <v>0.14320933198733296</v>
      </c>
      <c r="I5" s="66">
        <f aca="true" t="shared" si="0" ref="I5:I13">D5/E5</f>
        <v>0.22136963547402821</v>
      </c>
      <c r="J5" s="318">
        <f>B5/J4</f>
        <v>0.009367663983739626</v>
      </c>
      <c r="K5" s="1">
        <f>J$4+B5</f>
        <v>3508993</v>
      </c>
      <c r="L5" s="2">
        <f>B5/E5</f>
        <v>0.5879719067651253</v>
      </c>
    </row>
    <row r="6" spans="1:12" ht="12.75">
      <c r="A6" s="19">
        <v>1982</v>
      </c>
      <c r="B6" s="51">
        <f>+WAStarts!B6+ORStarts!B6+MTStarts!B6+IDStarts!B6</f>
        <v>22291</v>
      </c>
      <c r="C6" s="51">
        <f>+WAStarts!C6+ORStarts!C6+MTStarts!C6+IDStarts!C6</f>
        <v>7405</v>
      </c>
      <c r="D6" s="51">
        <f>'MHSHIPMNTS &amp; SF &amp; MF Starts'!F7</f>
        <v>8758</v>
      </c>
      <c r="E6" s="51">
        <f aca="true" t="shared" si="1" ref="E6:E21">SUM(B6:D6)</f>
        <v>38454</v>
      </c>
      <c r="F6" s="66">
        <f aca="true" t="shared" si="2" ref="F6:F21">D6/(B6+D6)</f>
        <v>0.2820702760153306</v>
      </c>
      <c r="G6" s="19"/>
      <c r="H6" s="67">
        <f>+WAStarts!K6+ORStarts!J6+MTStarts!K6+IDStarts!K6</f>
        <v>0.14955259103640622</v>
      </c>
      <c r="I6" s="66">
        <f t="shared" si="0"/>
        <v>0.2277526395173454</v>
      </c>
      <c r="J6" s="318">
        <f>B6/K5</f>
        <v>0.006352534758547538</v>
      </c>
      <c r="K6" s="1">
        <f aca="true" t="shared" si="3" ref="K6:K25">J$4+B6</f>
        <v>3498718</v>
      </c>
      <c r="L6" s="2">
        <f aca="true" t="shared" si="4" ref="L6:L25">B6/E6</f>
        <v>0.5796796172049722</v>
      </c>
    </row>
    <row r="7" spans="1:12" ht="12.75">
      <c r="A7" s="19">
        <v>1983</v>
      </c>
      <c r="B7" s="51">
        <f>+WAStarts!B7+ORStarts!B7+MTStarts!B7+IDStarts!B7</f>
        <v>34528</v>
      </c>
      <c r="C7" s="51">
        <f>+WAStarts!C7+ORStarts!C7+MTStarts!C7+IDStarts!C7</f>
        <v>8743</v>
      </c>
      <c r="D7" s="51">
        <f>'MHSHIPMNTS &amp; SF &amp; MF Starts'!F8</f>
        <v>12114</v>
      </c>
      <c r="E7" s="51">
        <f t="shared" si="1"/>
        <v>55385</v>
      </c>
      <c r="F7" s="66">
        <f t="shared" si="2"/>
        <v>0.25972299644097596</v>
      </c>
      <c r="G7" s="19"/>
      <c r="H7" s="67">
        <f>+WAStarts!K7+ORStarts!J7+MTStarts!K7+IDStarts!K7</f>
        <v>0.12853565644634912</v>
      </c>
      <c r="I7" s="66">
        <f t="shared" si="0"/>
        <v>0.2187234810869369</v>
      </c>
      <c r="J7" s="318">
        <f aca="true" t="shared" si="5" ref="J7:J25">B7/K6</f>
        <v>0.009868757642084901</v>
      </c>
      <c r="K7" s="1">
        <f t="shared" si="3"/>
        <v>3510955</v>
      </c>
      <c r="L7" s="2">
        <f t="shared" si="4"/>
        <v>0.6234178929312991</v>
      </c>
    </row>
    <row r="8" spans="1:12" ht="12.75">
      <c r="A8" s="19">
        <v>1984</v>
      </c>
      <c r="B8" s="51">
        <f>+WAStarts!B8+ORStarts!B8+MTStarts!B8+IDStarts!B8</f>
        <v>32063</v>
      </c>
      <c r="C8" s="51">
        <f>+WAStarts!C8+ORStarts!C8+MTStarts!C8+IDStarts!C8</f>
        <v>13491</v>
      </c>
      <c r="D8" s="51">
        <f>'MHSHIPMNTS &amp; SF &amp; MF Starts'!F9</f>
        <v>11892</v>
      </c>
      <c r="E8" s="51">
        <f t="shared" si="1"/>
        <v>57446</v>
      </c>
      <c r="F8" s="66">
        <f t="shared" si="2"/>
        <v>0.2705494255488568</v>
      </c>
      <c r="G8" s="19"/>
      <c r="H8" s="67">
        <f>+WAStarts!K8+ORStarts!J8+MTStarts!K8+IDStarts!K8</f>
        <v>0.12106302901041546</v>
      </c>
      <c r="I8" s="66">
        <f t="shared" si="0"/>
        <v>0.20701180238832992</v>
      </c>
      <c r="J8" s="318">
        <f t="shared" si="5"/>
        <v>0.009132273127966608</v>
      </c>
      <c r="K8" s="1">
        <f t="shared" si="3"/>
        <v>3508490</v>
      </c>
      <c r="L8" s="2">
        <f t="shared" si="4"/>
        <v>0.5581415590293493</v>
      </c>
    </row>
    <row r="9" spans="1:12" ht="12.75">
      <c r="A9" s="19">
        <v>1985</v>
      </c>
      <c r="B9" s="51">
        <f>+WAStarts!B9+ORStarts!B9+MTStarts!B9+IDStarts!B9</f>
        <v>30862</v>
      </c>
      <c r="C9" s="51">
        <f>+WAStarts!C9+ORStarts!C9+MTStarts!C9+IDStarts!C9</f>
        <v>20845</v>
      </c>
      <c r="D9" s="51">
        <f>'MHSHIPMNTS &amp; SF &amp; MF Starts'!F10</f>
        <v>10090</v>
      </c>
      <c r="E9" s="51">
        <f t="shared" si="1"/>
        <v>61797</v>
      </c>
      <c r="F9" s="66">
        <f t="shared" si="2"/>
        <v>0.24638601289314319</v>
      </c>
      <c r="G9" s="19"/>
      <c r="H9" s="67">
        <f>+WAStarts!K9+ORStarts!J9+MTStarts!K9+IDStarts!K9</f>
        <v>0.11129773859392941</v>
      </c>
      <c r="I9" s="66">
        <f t="shared" si="0"/>
        <v>0.1632765344596016</v>
      </c>
      <c r="J9" s="318">
        <f t="shared" si="5"/>
        <v>0.008796376788874986</v>
      </c>
      <c r="K9" s="1">
        <f t="shared" si="3"/>
        <v>3507289</v>
      </c>
      <c r="L9" s="2">
        <f t="shared" si="4"/>
        <v>0.4994093564412512</v>
      </c>
    </row>
    <row r="10" spans="1:12" ht="12.75">
      <c r="A10" s="19">
        <v>1986</v>
      </c>
      <c r="B10" s="51">
        <f>+WAStarts!B10+ORStarts!B10+MTStarts!B10+IDStarts!B10</f>
        <v>33402</v>
      </c>
      <c r="C10" s="51">
        <f>+WAStarts!C10+ORStarts!C10+MTStarts!C10+IDStarts!C10</f>
        <v>18672</v>
      </c>
      <c r="D10" s="51">
        <f>'MHSHIPMNTS &amp; SF &amp; MF Starts'!F11</f>
        <v>8352</v>
      </c>
      <c r="E10" s="51">
        <f t="shared" si="1"/>
        <v>60426</v>
      </c>
      <c r="F10" s="66">
        <f t="shared" si="2"/>
        <v>0.20002873976146</v>
      </c>
      <c r="G10" s="19"/>
      <c r="H10" s="67">
        <f>+WAStarts!K10+ORStarts!J10+MTStarts!K10+IDStarts!K10</f>
        <v>0.10112931090788246</v>
      </c>
      <c r="I10" s="66">
        <f t="shared" si="0"/>
        <v>0.13821864760202562</v>
      </c>
      <c r="J10" s="318">
        <f t="shared" si="5"/>
        <v>0.009523595004574758</v>
      </c>
      <c r="K10" s="1">
        <f t="shared" si="3"/>
        <v>3509829</v>
      </c>
      <c r="L10" s="2">
        <f t="shared" si="4"/>
        <v>0.5527752954026413</v>
      </c>
    </row>
    <row r="11" spans="1:12" ht="12.75">
      <c r="A11" s="19">
        <v>1987</v>
      </c>
      <c r="B11" s="51">
        <f>+WAStarts!B11+ORStarts!B11+MTStarts!B11+IDStarts!B11</f>
        <v>33691</v>
      </c>
      <c r="C11" s="51">
        <f>+WAStarts!C11+ORStarts!C11+MTStarts!C11+IDStarts!C11</f>
        <v>20863</v>
      </c>
      <c r="D11" s="51">
        <f>'MHSHIPMNTS &amp; SF &amp; MF Starts'!F12</f>
        <v>7902</v>
      </c>
      <c r="E11" s="51">
        <f t="shared" si="1"/>
        <v>62456</v>
      </c>
      <c r="F11" s="66">
        <f t="shared" si="2"/>
        <v>0.18998389152020773</v>
      </c>
      <c r="G11" s="19"/>
      <c r="H11" s="67">
        <f>+WAStarts!K11+ORStarts!J11+MTStarts!K11+IDStarts!K11</f>
        <v>0.09248455599710229</v>
      </c>
      <c r="I11" s="66">
        <f t="shared" si="0"/>
        <v>0.12652107083386704</v>
      </c>
      <c r="J11" s="318">
        <f t="shared" si="5"/>
        <v>0.009599043144267143</v>
      </c>
      <c r="K11" s="1">
        <f t="shared" si="3"/>
        <v>3510118</v>
      </c>
      <c r="L11" s="2">
        <f t="shared" si="4"/>
        <v>0.539435762776995</v>
      </c>
    </row>
    <row r="12" spans="1:12" ht="12.75">
      <c r="A12" s="19">
        <v>1988</v>
      </c>
      <c r="B12" s="51">
        <f>+WAStarts!B12+ORStarts!B12+MTStarts!B12+IDStarts!B12</f>
        <v>37193</v>
      </c>
      <c r="C12" s="51">
        <f>+WAStarts!C12+ORStarts!C12+MTStarts!C12+IDStarts!C12</f>
        <v>25943</v>
      </c>
      <c r="D12" s="51">
        <f>'MHSHIPMNTS &amp; SF &amp; MF Starts'!F13</f>
        <v>9049</v>
      </c>
      <c r="E12" s="51">
        <f t="shared" si="1"/>
        <v>72185</v>
      </c>
      <c r="F12" s="66">
        <f t="shared" si="2"/>
        <v>0.19568790277237144</v>
      </c>
      <c r="G12" s="19"/>
      <c r="H12" s="67">
        <f>+WAStarts!K12+ORStarts!J12+MTStarts!K12+IDStarts!K12</f>
        <v>0.0908179234976266</v>
      </c>
      <c r="I12" s="66">
        <f t="shared" si="0"/>
        <v>0.12535845397243195</v>
      </c>
      <c r="J12" s="318">
        <f t="shared" si="5"/>
        <v>0.010595940079507298</v>
      </c>
      <c r="K12" s="1">
        <f t="shared" si="3"/>
        <v>3513620</v>
      </c>
      <c r="L12" s="2">
        <f t="shared" si="4"/>
        <v>0.5152455496294244</v>
      </c>
    </row>
    <row r="13" spans="1:12" ht="12.75">
      <c r="A13" s="19">
        <v>1989</v>
      </c>
      <c r="B13" s="51">
        <f>+WAStarts!B13+ORStarts!B13+MTStarts!B13+IDStarts!B13</f>
        <v>45742</v>
      </c>
      <c r="C13" s="51">
        <f>+WAStarts!C13+ORStarts!C13+MTStarts!C13+IDStarts!C13</f>
        <v>31092</v>
      </c>
      <c r="D13" s="51">
        <f>'MHSHIPMNTS &amp; SF &amp; MF Starts'!F14</f>
        <v>9967</v>
      </c>
      <c r="E13" s="51">
        <f t="shared" si="1"/>
        <v>86801</v>
      </c>
      <c r="F13" s="66">
        <f t="shared" si="2"/>
        <v>0.17891184548277658</v>
      </c>
      <c r="G13" s="19"/>
      <c r="H13" s="67">
        <f>+WAStarts!K13+ORStarts!J13+MTStarts!K13+IDStarts!K13</f>
        <v>0.10628381240925432</v>
      </c>
      <c r="I13" s="66">
        <f t="shared" si="0"/>
        <v>0.1148258660614509</v>
      </c>
      <c r="J13" s="318">
        <f t="shared" si="5"/>
        <v>0.013018482362919154</v>
      </c>
      <c r="K13" s="1">
        <f t="shared" si="3"/>
        <v>3522169</v>
      </c>
      <c r="L13" s="2">
        <f t="shared" si="4"/>
        <v>0.5269754956740129</v>
      </c>
    </row>
    <row r="14" spans="1:12" ht="12.75">
      <c r="A14" s="19">
        <v>1990</v>
      </c>
      <c r="B14" s="51">
        <f>+WAStarts!B14+ORStarts!B14+MTStarts!B14+IDStarts!B14</f>
        <v>52037</v>
      </c>
      <c r="C14" s="51">
        <f>+WAStarts!C14+ORStarts!C14+MTStarts!C14+IDStarts!C14</f>
        <v>26203</v>
      </c>
      <c r="D14" s="51">
        <f>'MHSHIPMNTS &amp; SF &amp; MF Starts'!F15</f>
        <v>11875</v>
      </c>
      <c r="E14" s="51">
        <f t="shared" si="1"/>
        <v>90115</v>
      </c>
      <c r="F14" s="66">
        <f t="shared" si="2"/>
        <v>0.18580235323569907</v>
      </c>
      <c r="G14" s="44">
        <f>' Production &amp; Shipments'!D30</f>
        <v>0.0576</v>
      </c>
      <c r="H14" s="67">
        <f>+WAStarts!K14+ORStarts!J14+MTStarts!K14+IDStarts!K14</f>
        <v>0.10612883893497556</v>
      </c>
      <c r="I14" s="66">
        <f>D14/E14</f>
        <v>0.13177606391832658</v>
      </c>
      <c r="J14" s="318">
        <f t="shared" si="5"/>
        <v>0.014774134915161653</v>
      </c>
      <c r="K14" s="1">
        <f t="shared" si="3"/>
        <v>3528464</v>
      </c>
      <c r="L14" s="2">
        <f t="shared" si="4"/>
        <v>0.5774510347888808</v>
      </c>
    </row>
    <row r="15" spans="1:12" ht="12.75">
      <c r="A15" s="19">
        <v>1991</v>
      </c>
      <c r="B15" s="51">
        <f>+WAStarts!B15+ORStarts!B15+MTStarts!B15+IDStarts!B15</f>
        <v>45425</v>
      </c>
      <c r="C15" s="51">
        <f>+WAStarts!C15+ORStarts!C15+MTStarts!C15+IDStarts!C15</f>
        <v>12235</v>
      </c>
      <c r="D15" s="51">
        <f>'MHSHIPMNTS &amp; SF &amp; MF Starts'!F16</f>
        <v>11815</v>
      </c>
      <c r="E15" s="51">
        <f t="shared" si="1"/>
        <v>69475</v>
      </c>
      <c r="F15" s="66">
        <f t="shared" si="2"/>
        <v>0.20641160027952482</v>
      </c>
      <c r="G15" s="44">
        <f>' Production &amp; Shipments'!D31</f>
        <v>0.17613203554803217</v>
      </c>
      <c r="H15" s="67">
        <f>+WAStarts!K15+ORStarts!J15+MTStarts!K15+IDStarts!K15</f>
        <v>0.09770855647008989</v>
      </c>
      <c r="I15" s="66">
        <f aca="true" t="shared" si="6" ref="I15:I21">D15/E15</f>
        <v>0.1700611730838431</v>
      </c>
      <c r="J15" s="318">
        <f t="shared" si="5"/>
        <v>0.012873873730892535</v>
      </c>
      <c r="K15" s="1">
        <f t="shared" si="3"/>
        <v>3521852</v>
      </c>
      <c r="L15" s="2">
        <f t="shared" si="4"/>
        <v>0.653832313781936</v>
      </c>
    </row>
    <row r="16" spans="1:12" ht="12.75">
      <c r="A16" s="19">
        <v>1992</v>
      </c>
      <c r="B16" s="51">
        <f>+WAStarts!B16+ORStarts!B16+MTStarts!B16+IDStarts!B16</f>
        <v>56149</v>
      </c>
      <c r="C16" s="51">
        <f>+WAStarts!C16+ORStarts!C16+MTStarts!C16+IDStarts!C16</f>
        <v>12590</v>
      </c>
      <c r="D16" s="51">
        <f>'MHSHIPMNTS &amp; SF &amp; MF Starts'!F17</f>
        <v>13784</v>
      </c>
      <c r="E16" s="51">
        <f t="shared" si="1"/>
        <v>82523</v>
      </c>
      <c r="F16" s="66">
        <f t="shared" si="2"/>
        <v>0.19710294138675588</v>
      </c>
      <c r="G16" s="44">
        <f>' Production &amp; Shipments'!D32</f>
        <v>0.7980266976204294</v>
      </c>
      <c r="H16" s="67">
        <f>+WAStarts!K16+ORStarts!J16+MTStarts!K16+IDStarts!K16</f>
        <v>0.08345548509895374</v>
      </c>
      <c r="I16" s="66">
        <f t="shared" si="6"/>
        <v>0.1670322213201168</v>
      </c>
      <c r="J16" s="318">
        <f t="shared" si="5"/>
        <v>0.015943032245534453</v>
      </c>
      <c r="K16" s="1">
        <f t="shared" si="3"/>
        <v>3532576</v>
      </c>
      <c r="L16" s="2">
        <f t="shared" si="4"/>
        <v>0.6804042509361027</v>
      </c>
    </row>
    <row r="17" spans="1:12" ht="12.75">
      <c r="A17" s="19">
        <v>1993</v>
      </c>
      <c r="B17" s="51">
        <f>+WAStarts!B17+ORStarts!B17+MTStarts!B17+IDStarts!B17</f>
        <v>62224</v>
      </c>
      <c r="C17" s="51">
        <f>+WAStarts!C17+ORStarts!C17+MTStarts!C17+IDStarts!C17</f>
        <v>14604</v>
      </c>
      <c r="D17" s="51">
        <f>'MHSHIPMNTS &amp; SF &amp; MF Starts'!F18</f>
        <v>17535</v>
      </c>
      <c r="E17" s="51">
        <f t="shared" si="1"/>
        <v>94363</v>
      </c>
      <c r="F17" s="66">
        <f t="shared" si="2"/>
        <v>0.219849797515014</v>
      </c>
      <c r="G17" s="44">
        <f>' Production &amp; Shipments'!D33</f>
        <v>0.8607927003136584</v>
      </c>
      <c r="H17" s="67">
        <f>+WAStarts!K17+ORStarts!J17+MTStarts!K17+IDStarts!K17</f>
        <v>0.07269290370422965</v>
      </c>
      <c r="I17" s="66">
        <f t="shared" si="6"/>
        <v>0.18582495257675147</v>
      </c>
      <c r="J17" s="318">
        <f t="shared" si="5"/>
        <v>0.01761434148904369</v>
      </c>
      <c r="K17" s="1">
        <f t="shared" si="3"/>
        <v>3538651</v>
      </c>
      <c r="L17" s="2">
        <f t="shared" si="4"/>
        <v>0.6594109979547068</v>
      </c>
    </row>
    <row r="18" spans="1:12" ht="12.75">
      <c r="A18" s="19">
        <v>1994</v>
      </c>
      <c r="B18" s="51">
        <f>+WAStarts!B18+ORStarts!B18+MTStarts!B18+IDStarts!B18</f>
        <v>65982</v>
      </c>
      <c r="C18" s="51">
        <f>+WAStarts!C18+ORStarts!C18+MTStarts!C18+IDStarts!C18</f>
        <v>17764</v>
      </c>
      <c r="D18" s="51">
        <f>'MHSHIPMNTS &amp; SF &amp; MF Starts'!F19</f>
        <v>20512</v>
      </c>
      <c r="E18" s="51">
        <f t="shared" si="1"/>
        <v>104258</v>
      </c>
      <c r="F18" s="66">
        <f t="shared" si="2"/>
        <v>0.2371493976460795</v>
      </c>
      <c r="G18" s="44">
        <f>' Production &amp; Shipments'!D34</f>
        <v>0.8948907956318253</v>
      </c>
      <c r="H18" s="67">
        <f>+WAStarts!K18+ORStarts!J18+MTStarts!K18+IDStarts!K18</f>
        <v>0.07236611838874621</v>
      </c>
      <c r="I18" s="66">
        <f t="shared" si="6"/>
        <v>0.19674269600414357</v>
      </c>
      <c r="J18" s="318">
        <f t="shared" si="5"/>
        <v>0.018646088580083202</v>
      </c>
      <c r="K18" s="1">
        <f t="shared" si="3"/>
        <v>3542409</v>
      </c>
      <c r="L18" s="2">
        <f t="shared" si="4"/>
        <v>0.632872297569491</v>
      </c>
    </row>
    <row r="19" spans="1:12" ht="12.75">
      <c r="A19" s="19">
        <v>1995</v>
      </c>
      <c r="B19" s="51">
        <f>+WAStarts!B19+ORStarts!B19+MTStarts!B19+IDStarts!B19</f>
        <v>58906</v>
      </c>
      <c r="C19" s="51">
        <f>+WAStarts!C19+ORStarts!C19+MTStarts!C19+IDStarts!C19</f>
        <v>19201</v>
      </c>
      <c r="D19" s="51">
        <f>'MHSHIPMNTS &amp; SF &amp; MF Starts'!F20</f>
        <v>19641</v>
      </c>
      <c r="E19" s="51">
        <f t="shared" si="1"/>
        <v>97748</v>
      </c>
      <c r="F19" s="66">
        <f t="shared" si="2"/>
        <v>0.2500541077316766</v>
      </c>
      <c r="G19" s="44">
        <f>' Production &amp; Shipments'!D35</f>
        <v>0.7998574410671554</v>
      </c>
      <c r="H19" s="67">
        <f>+WAStarts!K19+ORStarts!J19+MTStarts!K19+IDStarts!K19</f>
        <v>0.07974475411774816</v>
      </c>
      <c r="I19" s="66">
        <f t="shared" si="6"/>
        <v>0.2009350574947825</v>
      </c>
      <c r="J19" s="318">
        <f t="shared" si="5"/>
        <v>0.016628796957098967</v>
      </c>
      <c r="K19" s="1">
        <f t="shared" si="3"/>
        <v>3535333</v>
      </c>
      <c r="L19" s="2">
        <f t="shared" si="4"/>
        <v>0.6026312558824733</v>
      </c>
    </row>
    <row r="20" spans="1:12" ht="12.75">
      <c r="A20" s="19">
        <v>1996</v>
      </c>
      <c r="B20" s="51">
        <f>+WAStarts!B20+ORStarts!B20+MTStarts!B20+IDStarts!B20</f>
        <v>61519</v>
      </c>
      <c r="C20" s="51">
        <f>+WAStarts!C20+ORStarts!C20+MTStarts!C20+IDStarts!C20</f>
        <v>19396</v>
      </c>
      <c r="D20" s="51">
        <f>'MHSHIPMNTS &amp; SF &amp; MF Starts'!F21</f>
        <v>17125</v>
      </c>
      <c r="E20" s="51">
        <f t="shared" si="1"/>
        <v>98040</v>
      </c>
      <c r="F20" s="66">
        <f t="shared" si="2"/>
        <v>0.21775342047708662</v>
      </c>
      <c r="G20" s="44">
        <f>' Production &amp; Shipments'!D36</f>
        <v>0.6717080291970803</v>
      </c>
      <c r="H20" s="67">
        <f>+WAStarts!K20+ORStarts!J20+MTStarts!K20+IDStarts!K20</f>
        <v>0.0796225890651224</v>
      </c>
      <c r="I20" s="66">
        <f t="shared" si="6"/>
        <v>0.17467360261117912</v>
      </c>
      <c r="J20" s="318">
        <f t="shared" si="5"/>
        <v>0.01740118964748158</v>
      </c>
      <c r="K20" s="1">
        <f t="shared" si="3"/>
        <v>3537946</v>
      </c>
      <c r="L20" s="2">
        <f t="shared" si="4"/>
        <v>0.6274887800897593</v>
      </c>
    </row>
    <row r="21" spans="1:12" ht="12.75">
      <c r="A21" s="19">
        <v>1997</v>
      </c>
      <c r="B21" s="51">
        <f>+WAStarts!B21+ORStarts!B21+MTStarts!B21+IDStarts!B21</f>
        <v>61143</v>
      </c>
      <c r="C21" s="51">
        <f>+WAStarts!C21+ORStarts!C21+MTStarts!C21+IDStarts!C21</f>
        <v>19755</v>
      </c>
      <c r="D21" s="51">
        <f>'MHSHIPMNTS &amp; SF &amp; MF Starts'!F22</f>
        <v>17301</v>
      </c>
      <c r="E21" s="51">
        <f t="shared" si="1"/>
        <v>98199</v>
      </c>
      <c r="F21" s="66">
        <f t="shared" si="2"/>
        <v>0.22055224108918464</v>
      </c>
      <c r="G21" s="44">
        <f>' Production &amp; Shipments'!D37</f>
        <v>0.5335529738165424</v>
      </c>
      <c r="H21" s="67">
        <f>+WAStarts!K21+ORStarts!J21+MTStarts!K21+IDStarts!K21</f>
        <v>0.07987635263897054</v>
      </c>
      <c r="I21" s="66">
        <f t="shared" si="6"/>
        <v>0.17618305685393945</v>
      </c>
      <c r="J21" s="318">
        <f t="shared" si="5"/>
        <v>0.017282061399467374</v>
      </c>
      <c r="K21" s="1">
        <f t="shared" si="3"/>
        <v>3537570</v>
      </c>
      <c r="L21" s="2">
        <f t="shared" si="4"/>
        <v>0.6226438151101336</v>
      </c>
    </row>
    <row r="22" spans="1:12" ht="12.75">
      <c r="A22" s="19">
        <v>1998</v>
      </c>
      <c r="B22" s="51">
        <f>+WAStarts!B22+ORStarts!B22+MTStarts!B22+IDStarts!B22</f>
        <v>63418</v>
      </c>
      <c r="C22" s="51">
        <f>+WAStarts!C22+ORStarts!C22+MTStarts!C22+IDStarts!C22</f>
        <v>22391</v>
      </c>
      <c r="D22" s="51">
        <f>'MHSHIPMNTS &amp; SF &amp; MF Starts'!F23</f>
        <v>17996</v>
      </c>
      <c r="E22" s="51">
        <f>SUM(B22:D22)</f>
        <v>103805</v>
      </c>
      <c r="F22" s="66">
        <f>D22/(B22+D22)</f>
        <v>0.22104306384651287</v>
      </c>
      <c r="G22" s="44">
        <f>' Production &amp; Shipments'!D38</f>
        <v>0.4265947988441876</v>
      </c>
      <c r="H22" s="67">
        <f>+WAStarts!K22+ORStarts!J22+MTStarts!K22+IDStarts!K22</f>
        <v>0.07189221734004145</v>
      </c>
      <c r="I22" s="66">
        <f>D22/E22</f>
        <v>0.1733635181349646</v>
      </c>
      <c r="J22" s="318">
        <f t="shared" si="5"/>
        <v>0.017926995084196214</v>
      </c>
      <c r="K22" s="1">
        <f t="shared" si="3"/>
        <v>3539845</v>
      </c>
      <c r="L22" s="2">
        <f t="shared" si="4"/>
        <v>0.6109339627185588</v>
      </c>
    </row>
    <row r="23" spans="1:12" ht="12.75">
      <c r="A23" s="19">
        <v>1999</v>
      </c>
      <c r="B23" s="51">
        <f>+WAStarts!B23+ORStarts!B23+MTStarts!B23+IDStarts!B23</f>
        <v>62069</v>
      </c>
      <c r="C23" s="51">
        <f>+WAStarts!C23+ORStarts!C23+MTStarts!C23+IDStarts!C23</f>
        <v>18864</v>
      </c>
      <c r="D23" s="51">
        <f>'MHSHIPMNTS &amp; SF &amp; MF Starts'!F24</f>
        <v>14620</v>
      </c>
      <c r="E23" s="51">
        <f>SUM(B23:D23)</f>
        <v>95553</v>
      </c>
      <c r="F23" s="66">
        <f>D23/(B23+D23)</f>
        <v>0.1906401178787049</v>
      </c>
      <c r="G23" s="44">
        <f>' Production &amp; Shipments'!D39</f>
        <v>0.36703146374829</v>
      </c>
      <c r="H23" s="67">
        <f>+WAStarts!K23+ORStarts!J23+MTStarts!K23+IDStarts!K23</f>
        <v>0.07100414067384445</v>
      </c>
      <c r="I23" s="66">
        <f>D23/E23</f>
        <v>0.15300409196990153</v>
      </c>
      <c r="J23" s="318">
        <f t="shared" si="5"/>
        <v>0.017534383567642087</v>
      </c>
      <c r="K23" s="1">
        <f t="shared" si="3"/>
        <v>3538496</v>
      </c>
      <c r="L23" s="2">
        <f t="shared" si="4"/>
        <v>0.6495766747250217</v>
      </c>
    </row>
    <row r="24" spans="1:12" ht="12.75">
      <c r="A24" s="19">
        <v>2000</v>
      </c>
      <c r="B24" s="51">
        <f>+WAStarts!B24+ORStarts!B24+MTStarts!B24+IDStarts!B24</f>
        <v>57102</v>
      </c>
      <c r="C24" s="51">
        <f>+WAStarts!C24+ORStarts!C24+MTStarts!C24+IDStarts!C24</f>
        <v>15519</v>
      </c>
      <c r="D24" s="51">
        <f>'MHSHIPMNTS &amp; SF &amp; MF Starts'!F25</f>
        <v>9564</v>
      </c>
      <c r="E24" s="51">
        <f>SUM(B24:D24)</f>
        <v>82185</v>
      </c>
      <c r="F24" s="66">
        <f>D24/(B24+D24)</f>
        <v>0.14346143461434616</v>
      </c>
      <c r="G24" s="44">
        <f>' Production &amp; Shipments'!D40</f>
        <v>0.3633416980342953</v>
      </c>
      <c r="H24" s="67">
        <f>+WAStarts!K24+ORStarts!J24+MTStarts!K24+IDStarts!K24</f>
        <v>0.0765966968936175</v>
      </c>
      <c r="I24" s="66">
        <f>D24/E24</f>
        <v>0.11637160065705421</v>
      </c>
      <c r="J24" s="318">
        <f t="shared" si="5"/>
        <v>0.016137364575231964</v>
      </c>
      <c r="K24" s="1">
        <f t="shared" si="3"/>
        <v>3533529</v>
      </c>
      <c r="L24" s="2">
        <f t="shared" si="4"/>
        <v>0.6947983208614711</v>
      </c>
    </row>
    <row r="25" spans="1:12" ht="12.75">
      <c r="A25" s="19">
        <v>2001</v>
      </c>
      <c r="B25" s="51">
        <f>+WAStarts!B25+ORStarts!B25+MTStarts!B25+IDStarts!B25</f>
        <v>58350</v>
      </c>
      <c r="C25" s="51">
        <f>+WAStarts!C25+ORStarts!C25+MTStarts!C25+IDStarts!C25</f>
        <v>15741</v>
      </c>
      <c r="D25" s="51">
        <f>'MHSHIPMNTS &amp; SF &amp; MF Starts'!F26</f>
        <v>7283</v>
      </c>
      <c r="E25" s="51">
        <f>SUM(B25:D25)</f>
        <v>81374</v>
      </c>
      <c r="F25" s="66">
        <f>D25/(B25+D25)</f>
        <v>0.11096552039370439</v>
      </c>
      <c r="G25" s="44">
        <f>' Production &amp; Shipments'!D41</f>
        <v>0.5256075792942468</v>
      </c>
      <c r="H25" s="67">
        <f>+WAStarts!K25+ORStarts!J25+MTStarts!K25+IDStarts!K25</f>
        <v>0.06908175482822035</v>
      </c>
      <c r="I25" s="66">
        <f>D25/E25</f>
        <v>0.08950033180131246</v>
      </c>
      <c r="J25" s="318">
        <f t="shared" si="5"/>
        <v>0.016513236483979614</v>
      </c>
      <c r="K25" s="1">
        <f t="shared" si="3"/>
        <v>3534777</v>
      </c>
      <c r="L25" s="2">
        <f t="shared" si="4"/>
        <v>0.7170595030353676</v>
      </c>
    </row>
    <row r="26" spans="3:9" ht="12.75">
      <c r="C26" s="1">
        <f>SUM(C5:C24)</f>
        <v>356136</v>
      </c>
      <c r="D26" s="1"/>
      <c r="E26" s="1"/>
      <c r="F26" s="2"/>
      <c r="G26" s="7"/>
      <c r="H26" s="6"/>
      <c r="I26" s="2"/>
    </row>
    <row r="27" ht="12.75">
      <c r="E27" s="109"/>
    </row>
    <row r="28" spans="1:2" ht="12.75">
      <c r="A28" t="s">
        <v>22</v>
      </c>
      <c r="B28" t="s">
        <v>23</v>
      </c>
    </row>
    <row r="29" ht="12.75">
      <c r="B29" t="s">
        <v>24</v>
      </c>
    </row>
    <row r="30" ht="12.75">
      <c r="B30" s="8" t="s">
        <v>25</v>
      </c>
    </row>
    <row r="31" ht="12.75">
      <c r="B31" s="8" t="s">
        <v>26</v>
      </c>
    </row>
    <row r="32" spans="6:16" ht="12.75">
      <c r="F32" s="7">
        <f>SUM(B34:E34)</f>
        <v>1</v>
      </c>
      <c r="K32" s="7"/>
      <c r="P32" s="7"/>
    </row>
    <row r="33" spans="1:16" ht="38.25">
      <c r="A33" s="27" t="s">
        <v>15</v>
      </c>
      <c r="B33" s="19" t="s">
        <v>39</v>
      </c>
      <c r="C33" s="19" t="s">
        <v>40</v>
      </c>
      <c r="D33" s="19" t="s">
        <v>41</v>
      </c>
      <c r="E33" s="19" t="s">
        <v>42</v>
      </c>
      <c r="F33" s="27" t="s">
        <v>16</v>
      </c>
      <c r="G33" s="19" t="s">
        <v>39</v>
      </c>
      <c r="H33" s="19" t="s">
        <v>40</v>
      </c>
      <c r="I33" s="19" t="s">
        <v>41</v>
      </c>
      <c r="J33" s="19" t="s">
        <v>42</v>
      </c>
      <c r="K33" s="27" t="s">
        <v>17</v>
      </c>
      <c r="L33" s="19" t="s">
        <v>39</v>
      </c>
      <c r="M33" s="19" t="s">
        <v>40</v>
      </c>
      <c r="N33" s="19" t="s">
        <v>41</v>
      </c>
      <c r="O33" s="19" t="s">
        <v>42</v>
      </c>
      <c r="P33" s="207"/>
    </row>
    <row r="34" spans="1:15" ht="12.75">
      <c r="A34" s="19">
        <v>1981</v>
      </c>
      <c r="B34" s="66">
        <f>IDStarts!B5/PNWStarts!B5</f>
        <v>0.10191610882515507</v>
      </c>
      <c r="C34" s="66">
        <f>MTStarts!B5/PNWStarts!B5</f>
        <v>0.04424860283731499</v>
      </c>
      <c r="D34" s="66">
        <f>ORStarts!B5/PNWStarts!B5</f>
        <v>0.30568691273106924</v>
      </c>
      <c r="E34" s="66">
        <f>WAStarts!B5/PNWStarts!B5</f>
        <v>0.5481483756064607</v>
      </c>
      <c r="F34" s="19">
        <v>1981</v>
      </c>
      <c r="G34" s="66">
        <f>IDStarts!C5/PNWStarts!C5</f>
        <v>0.05464015151515152</v>
      </c>
      <c r="H34" s="66">
        <f>MTStarts!C5/PNWStarts!C5</f>
        <v>0.042518939393939394</v>
      </c>
      <c r="I34" s="66">
        <f>ORStarts!C5/PNWStarts!C5</f>
        <v>0.27765151515151515</v>
      </c>
      <c r="J34" s="66">
        <f>WAStarts!C5/PNWStarts!C5</f>
        <v>0.625189393939394</v>
      </c>
      <c r="K34" s="19">
        <v>1981</v>
      </c>
      <c r="L34" s="66">
        <f>IDStarts!D5/PNWStarts!D5</f>
        <v>0.12494902536497839</v>
      </c>
      <c r="M34" s="66">
        <f>MTStarts!D5/PNWStarts!D5</f>
        <v>0.11565125193703613</v>
      </c>
      <c r="N34" s="66">
        <f>ORStarts!D5/PNWStarts!D5</f>
        <v>0.2567490416768616</v>
      </c>
      <c r="O34" s="66">
        <f>WAStarts!D5/PNWStarts!D5</f>
        <v>0.5026506810211239</v>
      </c>
    </row>
    <row r="35" spans="1:15" ht="12.75">
      <c r="A35" s="19">
        <v>1982</v>
      </c>
      <c r="B35" s="66">
        <f>IDStarts!B6/PNWStarts!B6</f>
        <v>0.10730788210488539</v>
      </c>
      <c r="C35" s="66">
        <f>MTStarts!B6/PNWStarts!B6</f>
        <v>0.05975505809519537</v>
      </c>
      <c r="D35" s="66">
        <f>ORStarts!B6/PNWStarts!B6</f>
        <v>0.2507738549190256</v>
      </c>
      <c r="E35" s="66">
        <f>WAStarts!B6/PNWStarts!B6</f>
        <v>0.5821632048808937</v>
      </c>
      <c r="F35" s="19">
        <v>1982</v>
      </c>
      <c r="G35" s="66">
        <f>IDStarts!C6/PNWStarts!C6</f>
        <v>0.03227548953409858</v>
      </c>
      <c r="H35" s="66">
        <f>MTStarts!C6/PNWStarts!C6</f>
        <v>0.09318028359216746</v>
      </c>
      <c r="I35" s="66">
        <f>ORStarts!C6/PNWStarts!C6</f>
        <v>0.2522619851451722</v>
      </c>
      <c r="J35" s="66">
        <f>WAStarts!C6/PNWStarts!C6</f>
        <v>0.6222822417285618</v>
      </c>
      <c r="K35" s="19">
        <v>1982</v>
      </c>
      <c r="L35" s="66">
        <f>IDStarts!D6/PNWStarts!D6</f>
        <v>0.13587577072390958</v>
      </c>
      <c r="M35" s="66">
        <f>MTStarts!D6/PNWStarts!D6</f>
        <v>0.09956611098424298</v>
      </c>
      <c r="N35" s="66">
        <f>ORStarts!D6/PNWStarts!D6</f>
        <v>0.2119205298013245</v>
      </c>
      <c r="O35" s="66">
        <f>WAStarts!D6/PNWStarts!D6</f>
        <v>0.5526375884905229</v>
      </c>
    </row>
    <row r="36" spans="1:15" ht="12.75">
      <c r="A36" s="19">
        <v>1983</v>
      </c>
      <c r="B36" s="66">
        <f>IDStarts!B7/PNWStarts!B7</f>
        <v>0.11260426320667284</v>
      </c>
      <c r="C36" s="66">
        <f>MTStarts!B7/PNWStarts!B7</f>
        <v>0.06420875810936053</v>
      </c>
      <c r="D36" s="66">
        <f>ORStarts!B7/PNWStarts!B7</f>
        <v>0.21469531974050046</v>
      </c>
      <c r="E36" s="66">
        <f>WAStarts!B7/PNWStarts!B7</f>
        <v>0.6084916589434661</v>
      </c>
      <c r="F36" s="19">
        <v>1983</v>
      </c>
      <c r="G36" s="66">
        <f>IDStarts!C7/PNWStarts!C7</f>
        <v>0.05833238018986618</v>
      </c>
      <c r="H36" s="66">
        <f>MTStarts!C7/PNWStarts!C7</f>
        <v>0.0897861146059705</v>
      </c>
      <c r="I36" s="66">
        <f>ORStarts!C7/PNWStarts!C7</f>
        <v>0.13496511494910213</v>
      </c>
      <c r="J36" s="66">
        <f>WAStarts!C7/PNWStarts!C7</f>
        <v>0.7169163902550612</v>
      </c>
      <c r="K36" s="19">
        <v>1983</v>
      </c>
      <c r="L36" s="66">
        <f>IDStarts!D7/PNWStarts!D7</f>
        <v>0.14801056628694073</v>
      </c>
      <c r="M36" s="66">
        <f>MTStarts!D7/PNWStarts!D7</f>
        <v>0.12134720158494304</v>
      </c>
      <c r="N36" s="66">
        <f>ORStarts!D7/PNWStarts!D7</f>
        <v>0.22271751692256894</v>
      </c>
      <c r="O36" s="66">
        <f>WAStarts!D7/PNWStarts!D7</f>
        <v>0.5079247152055473</v>
      </c>
    </row>
    <row r="37" spans="1:15" ht="12.75">
      <c r="A37" s="19">
        <v>1984</v>
      </c>
      <c r="B37" s="66">
        <f>IDStarts!B8/PNWStarts!B8</f>
        <v>0.1202008545675701</v>
      </c>
      <c r="C37" s="66">
        <f>MTStarts!B8/PNWStarts!B8</f>
        <v>0.06649408976078346</v>
      </c>
      <c r="D37" s="66">
        <f>ORStarts!B8/PNWStarts!B8</f>
        <v>0.20490908523843682</v>
      </c>
      <c r="E37" s="66">
        <f>WAStarts!B8/PNWStarts!B8</f>
        <v>0.6083959704332096</v>
      </c>
      <c r="F37" s="19">
        <v>1984</v>
      </c>
      <c r="G37" s="66">
        <f>IDStarts!C8/PNWStarts!C8</f>
        <v>0.03543102809280261</v>
      </c>
      <c r="H37" s="66">
        <f>MTStarts!C8/PNWStarts!C8</f>
        <v>0.052257060262397154</v>
      </c>
      <c r="I37" s="66">
        <f>ORStarts!C8/PNWStarts!C8</f>
        <v>0.10555184938106886</v>
      </c>
      <c r="J37" s="66">
        <f>WAStarts!C8/PNWStarts!C8</f>
        <v>0.8067600622637314</v>
      </c>
      <c r="K37" s="19">
        <v>1984</v>
      </c>
      <c r="L37" s="66">
        <f>IDStarts!D8/PNWStarts!D8</f>
        <v>0.1469054826774302</v>
      </c>
      <c r="M37" s="66">
        <f>MTStarts!D8/PNWStarts!D8</f>
        <v>0.10519677093844601</v>
      </c>
      <c r="N37" s="66">
        <f>ORStarts!D8/PNWStarts!D8</f>
        <v>0.24217961654894046</v>
      </c>
      <c r="O37" s="66">
        <f>WAStarts!D8/PNWStarts!D8</f>
        <v>0.5057181298351833</v>
      </c>
    </row>
    <row r="38" spans="1:15" ht="12.75">
      <c r="A38" s="19">
        <v>1985</v>
      </c>
      <c r="B38" s="66">
        <f>IDStarts!B9/PNWStarts!B9</f>
        <v>0.10158123258375996</v>
      </c>
      <c r="C38" s="66">
        <f>MTStarts!B9/PNWStarts!B9</f>
        <v>0.03642019311774999</v>
      </c>
      <c r="D38" s="66">
        <f>ORStarts!B9/PNWStarts!B9</f>
        <v>0.2215345732616162</v>
      </c>
      <c r="E38" s="66">
        <f>WAStarts!B9/PNWStarts!B9</f>
        <v>0.6404640010368738</v>
      </c>
      <c r="F38" s="19">
        <v>1985</v>
      </c>
      <c r="G38" s="66">
        <f>IDStarts!C9/PNWStarts!C9</f>
        <v>0.04197649316382825</v>
      </c>
      <c r="H38" s="66">
        <f>MTStarts!C9/PNWStarts!C9</f>
        <v>0.036939313984168866</v>
      </c>
      <c r="I38" s="66">
        <f>ORStarts!C9/PNWStarts!C9</f>
        <v>0.2044135284240825</v>
      </c>
      <c r="J38" s="66">
        <f>WAStarts!C9/PNWStarts!C9</f>
        <v>0.7166706644279204</v>
      </c>
      <c r="K38" s="19">
        <v>1985</v>
      </c>
      <c r="L38" s="66">
        <f>IDStarts!D9/PNWStarts!D9</f>
        <v>0.11892963330029732</v>
      </c>
      <c r="M38" s="66">
        <f>MTStarts!D9/PNWStarts!D9</f>
        <v>0.09147670961347869</v>
      </c>
      <c r="N38" s="66">
        <f>ORStarts!D9/PNWStarts!D9</f>
        <v>0.2348860257680872</v>
      </c>
      <c r="O38" s="66">
        <f>WAStarts!D9/PNWStarts!D9</f>
        <v>0.5547076313181367</v>
      </c>
    </row>
    <row r="39" spans="1:15" ht="12.75">
      <c r="A39" s="19">
        <v>1986</v>
      </c>
      <c r="B39" s="66">
        <f>IDStarts!B10/PNWStarts!B10</f>
        <v>0.09783845278725825</v>
      </c>
      <c r="C39" s="66">
        <f>MTStarts!B10/PNWStarts!B10</f>
        <v>0.02939943715945153</v>
      </c>
      <c r="D39" s="66">
        <f>ORStarts!B10/PNWStarts!B10</f>
        <v>0.2276510388599485</v>
      </c>
      <c r="E39" s="66">
        <f>WAStarts!B10/PNWStarts!B10</f>
        <v>0.6451110711933418</v>
      </c>
      <c r="F39" s="19">
        <v>1986</v>
      </c>
      <c r="G39" s="66">
        <f>IDStarts!C10/PNWStarts!C10</f>
        <v>0.02983076263924593</v>
      </c>
      <c r="H39" s="66">
        <f>MTStarts!C10/PNWStarts!C10</f>
        <v>0.009158097686375322</v>
      </c>
      <c r="I39" s="66">
        <f>ORStarts!C10/PNWStarts!C10</f>
        <v>0.16377463581833762</v>
      </c>
      <c r="J39" s="66">
        <f>WAStarts!C10/PNWStarts!C10</f>
        <v>0.7972365038560412</v>
      </c>
      <c r="K39" s="19">
        <v>1986</v>
      </c>
      <c r="L39" s="66">
        <f>IDStarts!D10/PNWStarts!D10</f>
        <v>0.1003352490421456</v>
      </c>
      <c r="M39" s="66">
        <f>MTStarts!D10/PNWStarts!D10</f>
        <v>0.0798611111111111</v>
      </c>
      <c r="N39" s="66">
        <f>ORStarts!D10/PNWStarts!D10</f>
        <v>0.27502394636015326</v>
      </c>
      <c r="O39" s="66">
        <f>WAStarts!D10/PNWStarts!D10</f>
        <v>0.54477969348659</v>
      </c>
    </row>
    <row r="40" spans="1:15" ht="12.75">
      <c r="A40" s="19">
        <v>1987</v>
      </c>
      <c r="B40" s="66">
        <f>IDStarts!B11/PNWStarts!B11</f>
        <v>0.08358315277076964</v>
      </c>
      <c r="C40" s="66">
        <f>MTStarts!B11/PNWStarts!B11</f>
        <v>0.020331839363628267</v>
      </c>
      <c r="D40" s="66">
        <f>ORStarts!B11/PNWStarts!B11</f>
        <v>0.24775162506307322</v>
      </c>
      <c r="E40" s="66">
        <f>WAStarts!B11/PNWStarts!B11</f>
        <v>0.6483333828025288</v>
      </c>
      <c r="F40" s="19">
        <v>1987</v>
      </c>
      <c r="G40" s="66">
        <f>IDStarts!C11/PNWStarts!C11</f>
        <v>0.018261994919235008</v>
      </c>
      <c r="H40" s="66">
        <f>MTStarts!C11/PNWStarts!C11</f>
        <v>0.005416287207017208</v>
      </c>
      <c r="I40" s="66">
        <f>ORStarts!C11/PNWStarts!C11</f>
        <v>0.1855437856492355</v>
      </c>
      <c r="J40" s="66">
        <f>WAStarts!C11/PNWStarts!C11</f>
        <v>0.7907779322245123</v>
      </c>
      <c r="K40" s="19">
        <v>1987</v>
      </c>
      <c r="L40" s="66">
        <f>IDStarts!D11/PNWStarts!D11</f>
        <v>0.07656289546950139</v>
      </c>
      <c r="M40" s="66">
        <f>MTStarts!D11/PNWStarts!D11</f>
        <v>0.06504682358896482</v>
      </c>
      <c r="N40" s="66">
        <f>ORStarts!D11/PNWStarts!D11</f>
        <v>0.3682611996962794</v>
      </c>
      <c r="O40" s="66">
        <f>WAStarts!D11/PNWStarts!D11</f>
        <v>0.49012908124525434</v>
      </c>
    </row>
    <row r="41" spans="1:15" ht="12.75">
      <c r="A41" s="19">
        <v>1988</v>
      </c>
      <c r="B41" s="66">
        <f>IDStarts!B12/PNWStarts!B12</f>
        <v>0.08109052778748689</v>
      </c>
      <c r="C41" s="66">
        <f>MTStarts!B12/PNWStarts!B12</f>
        <v>0.01675046379695104</v>
      </c>
      <c r="D41" s="66">
        <f>ORStarts!B12/PNWStarts!B12</f>
        <v>0.2645659129406071</v>
      </c>
      <c r="E41" s="66">
        <f>WAStarts!B12/PNWStarts!B12</f>
        <v>0.637593095474955</v>
      </c>
      <c r="F41" s="19">
        <v>1988</v>
      </c>
      <c r="G41" s="66">
        <f>IDStarts!C12/PNWStarts!C12</f>
        <v>0.007863392822726746</v>
      </c>
      <c r="H41" s="66">
        <f>MTStarts!C12/PNWStarts!C12</f>
        <v>0.007285202173996839</v>
      </c>
      <c r="I41" s="66">
        <f>ORStarts!C12/PNWStarts!C12</f>
        <v>0.16224029603361215</v>
      </c>
      <c r="J41" s="66">
        <f>WAStarts!C12/PNWStarts!C12</f>
        <v>0.8226111089696643</v>
      </c>
      <c r="K41" s="19">
        <v>1988</v>
      </c>
      <c r="L41" s="66">
        <f>IDStarts!D12/PNWStarts!D12</f>
        <v>0.06321140457509117</v>
      </c>
      <c r="M41" s="66">
        <f>MTStarts!D12/PNWStarts!D12</f>
        <v>0.048734666814012596</v>
      </c>
      <c r="N41" s="66">
        <f>ORStarts!D12/PNWStarts!D12</f>
        <v>0.42568239584484474</v>
      </c>
      <c r="O41" s="66">
        <f>WAStarts!D12/PNWStarts!D12</f>
        <v>0.4623715327660515</v>
      </c>
    </row>
    <row r="42" spans="1:15" ht="12.75">
      <c r="A42" s="19">
        <v>1989</v>
      </c>
      <c r="B42" s="66">
        <f>IDStarts!B13/PNWStarts!B13</f>
        <v>0.08539198111145119</v>
      </c>
      <c r="C42" s="66">
        <f>MTStarts!B13/PNWStarts!B13</f>
        <v>0.01392593240348039</v>
      </c>
      <c r="D42" s="66">
        <f>ORStarts!B13/PNWStarts!B13</f>
        <v>0.27661667614009006</v>
      </c>
      <c r="E42" s="66">
        <f>WAStarts!B13/PNWStarts!B13</f>
        <v>0.6240654103449783</v>
      </c>
      <c r="F42" s="19">
        <v>1989</v>
      </c>
      <c r="G42" s="66">
        <f>IDStarts!C13/PNWStarts!C13</f>
        <v>0.028785539688665894</v>
      </c>
      <c r="H42" s="66">
        <f>MTStarts!C13/PNWStarts!C13</f>
        <v>0.003119773575196192</v>
      </c>
      <c r="I42" s="66">
        <f>ORStarts!C13/PNWStarts!C13</f>
        <v>0.3356490415540975</v>
      </c>
      <c r="J42" s="66">
        <f>WAStarts!C13/PNWStarts!C13</f>
        <v>0.6324456451820404</v>
      </c>
      <c r="K42" s="19">
        <v>1989</v>
      </c>
      <c r="L42" s="66">
        <f>IDStarts!D13/PNWStarts!D13</f>
        <v>0.07053275810173573</v>
      </c>
      <c r="M42" s="66">
        <f>MTStarts!D13/PNWStarts!D13</f>
        <v>0.04815892445068727</v>
      </c>
      <c r="N42" s="66">
        <f>ORStarts!D13/PNWStarts!D13</f>
        <v>0.4401525032607605</v>
      </c>
      <c r="O42" s="66">
        <f>WAStarts!D13/PNWStarts!D13</f>
        <v>0.4411558141868165</v>
      </c>
    </row>
    <row r="43" spans="1:15" ht="12.75">
      <c r="A43" s="19">
        <v>1990</v>
      </c>
      <c r="B43" s="66">
        <f>IDStarts!B14/PNWStarts!B14</f>
        <v>0.09800718719372754</v>
      </c>
      <c r="C43" s="66">
        <f>MTStarts!B14/PNWStarts!B14</f>
        <v>0.016795741491630954</v>
      </c>
      <c r="D43" s="66">
        <f>ORStarts!B14/PNWStarts!B14</f>
        <v>0.2819724426850126</v>
      </c>
      <c r="E43" s="66">
        <f>WAStarts!B14/PNWStarts!B14</f>
        <v>0.6032246286296289</v>
      </c>
      <c r="F43" s="19">
        <v>1990</v>
      </c>
      <c r="G43" s="66">
        <f>IDStarts!C14/PNWStarts!C14</f>
        <v>0.023356104262870665</v>
      </c>
      <c r="H43" s="66">
        <f>MTStarts!C14/PNWStarts!C14</f>
        <v>0.013319085600885395</v>
      </c>
      <c r="I43" s="66">
        <f>ORStarts!C14/PNWStarts!C14</f>
        <v>0.31236881273136663</v>
      </c>
      <c r="J43" s="66">
        <f>WAStarts!C14/PNWStarts!C14</f>
        <v>0.6509559974048773</v>
      </c>
      <c r="K43" s="19">
        <v>1990</v>
      </c>
      <c r="L43" s="66">
        <f>IDStarts!D14/PNWStarts!D14</f>
        <v>0.06905263157894737</v>
      </c>
      <c r="M43" s="66">
        <f>MTStarts!D14/PNWStarts!D14</f>
        <v>0.04252631578947368</v>
      </c>
      <c r="N43" s="66">
        <f>ORStarts!D14/PNWStarts!D14</f>
        <v>0.4130526315789474</v>
      </c>
      <c r="O43" s="66">
        <f>WAStarts!D14/PNWStarts!D14</f>
        <v>0.47536842105263155</v>
      </c>
    </row>
    <row r="44" spans="1:15" ht="12.75">
      <c r="A44" s="19">
        <v>1991</v>
      </c>
      <c r="B44" s="66">
        <f>IDStarts!B15/PNWStarts!B15</f>
        <v>0.13195376995046781</v>
      </c>
      <c r="C44" s="66">
        <f>MTStarts!B15/PNWStarts!B15</f>
        <v>0.0285305448541552</v>
      </c>
      <c r="D44" s="66">
        <f>ORStarts!B15/PNWStarts!B15</f>
        <v>0.2805943863511282</v>
      </c>
      <c r="E44" s="66">
        <f>WAStarts!B15/PNWStarts!B15</f>
        <v>0.5589212988442488</v>
      </c>
      <c r="F44" s="19">
        <v>1991</v>
      </c>
      <c r="G44" s="66">
        <f>IDStarts!C15/PNWStarts!C15</f>
        <v>0.05688598283612587</v>
      </c>
      <c r="H44" s="66">
        <f>MTStarts!C15/PNWStarts!C15</f>
        <v>0.022476501838986515</v>
      </c>
      <c r="I44" s="66">
        <f>ORStarts!C15/PNWStarts!C15</f>
        <v>0.2975071516142215</v>
      </c>
      <c r="J44" s="66">
        <f>WAStarts!C15/PNWStarts!C15</f>
        <v>0.6231303637106661</v>
      </c>
      <c r="K44" s="19">
        <v>1991</v>
      </c>
      <c r="L44" s="66">
        <f>IDStarts!D15/PNWStarts!D15</f>
        <v>0.09217096910706729</v>
      </c>
      <c r="M44" s="66">
        <f>MTStarts!D15/PNWStarts!D15</f>
        <v>0.05526872619551418</v>
      </c>
      <c r="N44" s="66">
        <f>ORStarts!D15/PNWStarts!D15</f>
        <v>0.39949217096910705</v>
      </c>
      <c r="O44" s="66">
        <f>WAStarts!D15/PNWStarts!D15</f>
        <v>0.45306813372831145</v>
      </c>
    </row>
    <row r="45" spans="1:15" ht="12.75">
      <c r="A45" s="19">
        <v>1992</v>
      </c>
      <c r="B45" s="66">
        <f>IDStarts!B16/PNWStarts!B16</f>
        <v>0.156280610518442</v>
      </c>
      <c r="C45" s="66">
        <f>MTStarts!B16/PNWStarts!B16</f>
        <v>0.03563732212506011</v>
      </c>
      <c r="D45" s="66">
        <f>ORStarts!B16/PNWStarts!B16</f>
        <v>0.2522930061087464</v>
      </c>
      <c r="E45" s="66">
        <f>WAStarts!B16/PNWStarts!B16</f>
        <v>0.5557890612477515</v>
      </c>
      <c r="F45" s="19">
        <v>1992</v>
      </c>
      <c r="G45" s="66">
        <f>IDStarts!C16/PNWStarts!C16</f>
        <v>0.09356632247815727</v>
      </c>
      <c r="H45" s="66">
        <f>MTStarts!C16/PNWStarts!C16</f>
        <v>0.008657664813343924</v>
      </c>
      <c r="I45" s="66">
        <f>ORStarts!C16/PNWStarts!C16</f>
        <v>0.22462271644162032</v>
      </c>
      <c r="J45" s="66">
        <f>WAStarts!C16/PNWStarts!C16</f>
        <v>0.6731532962668785</v>
      </c>
      <c r="K45" s="19">
        <v>1992</v>
      </c>
      <c r="L45" s="66">
        <f>IDStarts!D16/PNWStarts!D16</f>
        <v>0.12304120719674985</v>
      </c>
      <c r="M45" s="66">
        <f>MTStarts!D16/PNWStarts!D16</f>
        <v>0.07407138711549623</v>
      </c>
      <c r="N45" s="66">
        <f>ORStarts!D16/PNWStarts!D16</f>
        <v>0.3702118398142774</v>
      </c>
      <c r="O45" s="66">
        <f>WAStarts!D16/PNWStarts!D16</f>
        <v>0.4326755658734765</v>
      </c>
    </row>
    <row r="46" spans="1:15" ht="12.75">
      <c r="A46" s="19">
        <v>1993</v>
      </c>
      <c r="B46" s="66">
        <f>IDStarts!B17/PNWStarts!B17</f>
        <v>0.16654345590125996</v>
      </c>
      <c r="C46" s="66">
        <f>MTStarts!B17/PNWStarts!B17</f>
        <v>0.04003278477757778</v>
      </c>
      <c r="D46" s="66">
        <f>ORStarts!B17/PNWStarts!B17</f>
        <v>0.26496207251221393</v>
      </c>
      <c r="E46" s="66">
        <f>WAStarts!B17/PNWStarts!B17</f>
        <v>0.5284616868089483</v>
      </c>
      <c r="F46" s="19">
        <v>1993</v>
      </c>
      <c r="G46" s="66">
        <f>IDStarts!C17/PNWStarts!C17</f>
        <v>0.10709394686387291</v>
      </c>
      <c r="H46" s="66">
        <f>MTStarts!C17/PNWStarts!C17</f>
        <v>0.036633798959189265</v>
      </c>
      <c r="I46" s="66">
        <f>ORStarts!C17/PNWStarts!C17</f>
        <v>0.27677348671596824</v>
      </c>
      <c r="J46" s="66">
        <f>WAStarts!C17/PNWStarts!C17</f>
        <v>0.5794987674609696</v>
      </c>
      <c r="K46" s="19">
        <v>1993</v>
      </c>
      <c r="L46" s="66">
        <f>IDStarts!D17/PNWStarts!D17</f>
        <v>0.15848303393213573</v>
      </c>
      <c r="M46" s="66">
        <f>MTStarts!D17/PNWStarts!D17</f>
        <v>0.08286284573709723</v>
      </c>
      <c r="N46" s="66">
        <f>ORStarts!D17/PNWStarts!D17</f>
        <v>0.36806387225548903</v>
      </c>
      <c r="O46" s="66">
        <f>WAStarts!D17/PNWStarts!D17</f>
        <v>0.39059024807527803</v>
      </c>
    </row>
    <row r="47" spans="1:15" ht="12.75">
      <c r="A47" s="19">
        <v>1994</v>
      </c>
      <c r="B47" s="66">
        <f>IDStarts!B18/PNWStarts!B18</f>
        <v>0.1651814131126671</v>
      </c>
      <c r="C47" s="66">
        <f>MTStarts!B18/PNWStarts!B18</f>
        <v>0.03905610621078476</v>
      </c>
      <c r="D47" s="66">
        <f>ORStarts!B18/PNWStarts!B18</f>
        <v>0.2744384832226971</v>
      </c>
      <c r="E47" s="66">
        <f>WAStarts!B18/PNWStarts!B18</f>
        <v>0.521323997453851</v>
      </c>
      <c r="F47" s="19">
        <v>1994</v>
      </c>
      <c r="G47" s="66">
        <f>IDStarts!C18/PNWStarts!C18</f>
        <v>0.09564287322675073</v>
      </c>
      <c r="H47" s="66">
        <f>MTStarts!C18/PNWStarts!C18</f>
        <v>0.024938077009682504</v>
      </c>
      <c r="I47" s="66">
        <f>ORStarts!C18/PNWStarts!C18</f>
        <v>0.3333145687908129</v>
      </c>
      <c r="J47" s="66">
        <f>WAStarts!C18/PNWStarts!C18</f>
        <v>0.5461044809727539</v>
      </c>
      <c r="K47" s="19">
        <v>1994</v>
      </c>
      <c r="L47" s="66">
        <f>IDStarts!D18/PNWStarts!D18</f>
        <v>0.1809672386895476</v>
      </c>
      <c r="M47" s="66">
        <f>MTStarts!D18/PNWStarts!D18</f>
        <v>0.09121489859594384</v>
      </c>
      <c r="N47" s="66">
        <f>ORStarts!D18/PNWStarts!D18</f>
        <v>0.3703685647425897</v>
      </c>
      <c r="O47" s="66">
        <f>WAStarts!D18/PNWStarts!D18</f>
        <v>0.3574492979719189</v>
      </c>
    </row>
    <row r="48" spans="1:15" ht="12.75">
      <c r="A48" s="19">
        <v>1995</v>
      </c>
      <c r="B48" s="66">
        <f>IDStarts!B19/PNWStarts!B19</f>
        <v>0.15808236851933588</v>
      </c>
      <c r="C48" s="66">
        <f>MTStarts!B19/PNWStarts!B19</f>
        <v>0.03834923437340848</v>
      </c>
      <c r="D48" s="66">
        <f>ORStarts!B19/PNWStarts!B19</f>
        <v>0.29915458527144945</v>
      </c>
      <c r="E48" s="66">
        <f>WAStarts!B19/PNWStarts!B19</f>
        <v>0.5044138118358062</v>
      </c>
      <c r="F48" s="19">
        <v>1995</v>
      </c>
      <c r="G48" s="66">
        <f>IDStarts!C19/PNWStarts!C19</f>
        <v>0.07051716056455393</v>
      </c>
      <c r="H48" s="66">
        <f>MTStarts!C19/PNWStarts!C19</f>
        <v>0.041924899744804955</v>
      </c>
      <c r="I48" s="66">
        <f>ORStarts!C19/PNWStarts!C19</f>
        <v>0.44679964585177856</v>
      </c>
      <c r="J48" s="66">
        <f>WAStarts!C19/PNWStarts!C19</f>
        <v>0.44075829383886256</v>
      </c>
      <c r="K48" s="19">
        <v>1995</v>
      </c>
      <c r="L48" s="66">
        <f>IDStarts!D19/PNWStarts!D19</f>
        <v>0.16124433582811465</v>
      </c>
      <c r="M48" s="66">
        <f>MTStarts!D19/PNWStarts!D19</f>
        <v>0.09021943892877145</v>
      </c>
      <c r="N48" s="66">
        <f>ORStarts!D19/PNWStarts!D19</f>
        <v>0.37930858917570387</v>
      </c>
      <c r="O48" s="66">
        <f>WAStarts!D19/PNWStarts!D19</f>
        <v>0.36922763606741</v>
      </c>
    </row>
    <row r="49" spans="1:15" ht="12.75">
      <c r="A49" s="19">
        <v>1996</v>
      </c>
      <c r="B49" s="66">
        <f>IDStarts!B20/PNWStarts!B20</f>
        <v>0.16308782652513856</v>
      </c>
      <c r="C49" s="66">
        <f>MTStarts!B20/PNWStarts!B20</f>
        <v>0.03200637201514979</v>
      </c>
      <c r="D49" s="66">
        <f>ORStarts!B20/PNWStarts!B20</f>
        <v>0.31382174612721275</v>
      </c>
      <c r="E49" s="66">
        <f>WAStarts!B20/PNWStarts!B20</f>
        <v>0.4910840553324989</v>
      </c>
      <c r="F49" s="19">
        <v>1996</v>
      </c>
      <c r="G49" s="66">
        <f>IDStarts!C20/PNWStarts!C20</f>
        <v>0.03722416993194473</v>
      </c>
      <c r="H49" s="66">
        <f>MTStarts!C20/PNWStarts!C20</f>
        <v>0.03665704268921427</v>
      </c>
      <c r="I49" s="66">
        <f>ORStarts!C20/PNWStarts!C20</f>
        <v>0.4386471437409775</v>
      </c>
      <c r="J49" s="66">
        <f>WAStarts!C20/PNWStarts!C20</f>
        <v>0.4874716436378635</v>
      </c>
      <c r="K49" s="19">
        <v>1996</v>
      </c>
      <c r="L49" s="66">
        <f>IDStarts!D20/PNWStarts!D20</f>
        <v>0.15386861313868613</v>
      </c>
      <c r="M49" s="66">
        <f>MTStarts!D20/PNWStarts!D20</f>
        <v>0.10213138686131387</v>
      </c>
      <c r="N49" s="66">
        <f>ORStarts!D20/PNWStarts!D20</f>
        <v>0.37862773722627735</v>
      </c>
      <c r="O49" s="66">
        <f>WAStarts!D20/PNWStarts!D20</f>
        <v>0.36537226277372264</v>
      </c>
    </row>
    <row r="50" spans="1:15" ht="12.75">
      <c r="A50" s="19">
        <v>1997</v>
      </c>
      <c r="B50" s="66">
        <f>IDStarts!B21/PNWStarts!B21</f>
        <v>0.15391786467788626</v>
      </c>
      <c r="C50" s="66">
        <f>MTStarts!B21/PNWStarts!B21</f>
        <v>0.03135273048427457</v>
      </c>
      <c r="D50" s="66">
        <f>ORStarts!B21/PNWStarts!B21</f>
        <v>0.30927497832948986</v>
      </c>
      <c r="E50" s="66">
        <f>WAStarts!B21/PNWStarts!B21</f>
        <v>0.5054544265083493</v>
      </c>
      <c r="F50" s="19">
        <v>1997</v>
      </c>
      <c r="G50" s="66">
        <f>IDStarts!C21/PNWStarts!C21</f>
        <v>0.046874209060997214</v>
      </c>
      <c r="H50" s="66">
        <f>MTStarts!C21/PNWStarts!C21</f>
        <v>0.028144773475069603</v>
      </c>
      <c r="I50" s="66">
        <f>ORStarts!C21/PNWStarts!C21</f>
        <v>0.40946595798532015</v>
      </c>
      <c r="J50" s="66">
        <f>WAStarts!C21/PNWStarts!C21</f>
        <v>0.515515059478613</v>
      </c>
      <c r="K50" s="19">
        <v>1997</v>
      </c>
      <c r="L50" s="66">
        <f>IDStarts!D21/PNWStarts!D21</f>
        <v>0.15224553494017687</v>
      </c>
      <c r="M50" s="66">
        <f>MTStarts!D21/PNWStarts!D21</f>
        <v>0.09716201375643027</v>
      </c>
      <c r="N50" s="66">
        <f>ORStarts!D21/PNWStarts!D21</f>
        <v>0.37957343506155716</v>
      </c>
      <c r="O50" s="66">
        <f>WAStarts!D21/PNWStarts!D21</f>
        <v>0.37101901624183575</v>
      </c>
    </row>
    <row r="51" spans="1:15" ht="12.75">
      <c r="A51" s="19">
        <v>1998</v>
      </c>
      <c r="B51" s="66">
        <f>IDStarts!B22/PNWStarts!B22</f>
        <v>0.16935254974928254</v>
      </c>
      <c r="C51" s="66">
        <f>MTStarts!B22/PNWStarts!B22</f>
        <v>0.029786495947522786</v>
      </c>
      <c r="D51" s="66">
        <f>ORStarts!B22/PNWStarts!B22</f>
        <v>0.2971711501466461</v>
      </c>
      <c r="E51" s="66">
        <f>WAStarts!B22/PNWStarts!B22</f>
        <v>0.5036898041565486</v>
      </c>
      <c r="F51" s="19">
        <v>1998</v>
      </c>
      <c r="G51" s="66">
        <f>IDStarts!C22/PNWStarts!C22</f>
        <v>0.041400562726095304</v>
      </c>
      <c r="H51" s="66">
        <f>MTStarts!C22/PNWStarts!C22</f>
        <v>0.03001205841632799</v>
      </c>
      <c r="I51" s="66">
        <f>ORStarts!C22/PNWStarts!C22</f>
        <v>0.31298289491313475</v>
      </c>
      <c r="J51" s="66">
        <f>WAStarts!C22/PNWStarts!C22</f>
        <v>0.615604483944442</v>
      </c>
      <c r="K51" s="19">
        <v>1998</v>
      </c>
      <c r="L51" s="66">
        <f>IDStarts!D22/PNWStarts!D22</f>
        <v>0.16559235385641255</v>
      </c>
      <c r="M51" s="66">
        <f>MTStarts!D22/PNWStarts!D22</f>
        <v>0.10663480773505224</v>
      </c>
      <c r="N51" s="66">
        <f>ORStarts!D22/PNWStarts!D22</f>
        <v>0.34579906645921316</v>
      </c>
      <c r="O51" s="66">
        <f>WAStarts!D22/PNWStarts!D22</f>
        <v>0.3819737719493221</v>
      </c>
    </row>
    <row r="52" spans="1:15" ht="12.75">
      <c r="A52" s="19">
        <v>1999</v>
      </c>
      <c r="B52" s="66">
        <f>IDStarts!B23/PNWStarts!B23</f>
        <v>0.1786237896534502</v>
      </c>
      <c r="C52" s="66">
        <f>MTStarts!B23/PNWStarts!B23</f>
        <v>0.03336609257439301</v>
      </c>
      <c r="D52" s="66">
        <f>ORStarts!B23/PNWStarts!B23</f>
        <v>0.2982326120929933</v>
      </c>
      <c r="E52" s="66">
        <f>WAStarts!B23/PNWStarts!B23</f>
        <v>0.4897775056791635</v>
      </c>
      <c r="F52" s="19">
        <v>1999</v>
      </c>
      <c r="G52" s="66">
        <f>IDStarts!C23/PNWStarts!C23</f>
        <v>0.06477947413061917</v>
      </c>
      <c r="H52" s="66">
        <f>MTStarts!C23/PNWStarts!C23</f>
        <v>0.026240458015267174</v>
      </c>
      <c r="I52" s="66">
        <f>ORStarts!C23/PNWStarts!C23</f>
        <v>0.2511662425784563</v>
      </c>
      <c r="J52" s="66">
        <f>WAStarts!C23/PNWStarts!C23</f>
        <v>0.6578138252756573</v>
      </c>
      <c r="K52" s="19">
        <v>1999</v>
      </c>
      <c r="L52" s="66">
        <f>IDStarts!D23/PNWStarts!D23</f>
        <v>0.16025991792065664</v>
      </c>
      <c r="M52" s="66">
        <f>MTStarts!D23/PNWStarts!D23</f>
        <v>0.11874145006839945</v>
      </c>
      <c r="N52" s="66">
        <f>ORStarts!D23/PNWStarts!D23</f>
        <v>0.3558139534883721</v>
      </c>
      <c r="O52" s="66">
        <f>WAStarts!D23/PNWStarts!D23</f>
        <v>0.3651846785225718</v>
      </c>
    </row>
    <row r="53" spans="1:15" ht="12.75">
      <c r="A53" s="19">
        <v>2000</v>
      </c>
      <c r="B53" s="66">
        <f>IDStarts!B24/PNWStarts!B24</f>
        <v>0.18186753528773072</v>
      </c>
      <c r="C53" s="66">
        <f>MTStarts!B24/PNWStarts!B24</f>
        <v>0.03649609470771602</v>
      </c>
      <c r="D53" s="66">
        <f>ORStarts!B24/PNWStarts!B24</f>
        <v>0.29233652061223775</v>
      </c>
      <c r="E53" s="66">
        <f>WAStarts!B24/PNWStarts!B24</f>
        <v>0.4892998493923155</v>
      </c>
      <c r="F53" s="19">
        <v>2000</v>
      </c>
      <c r="G53" s="66">
        <f>IDStarts!C24/PNWStarts!C24</f>
        <v>0.038920033507313614</v>
      </c>
      <c r="H53" s="66">
        <f>MTStarts!C24/PNWStarts!C24</f>
        <v>0.031445325085379214</v>
      </c>
      <c r="I53" s="66">
        <f>ORStarts!C24/PNWStarts!C24</f>
        <v>0.20516785875378568</v>
      </c>
      <c r="J53" s="66">
        <f>WAStarts!C24/PNWStarts!C24</f>
        <v>0.7244667826535215</v>
      </c>
      <c r="K53" s="19">
        <v>2000</v>
      </c>
      <c r="L53" s="66">
        <f>IDStarts!D24/PNWStarts!D24</f>
        <v>0.13770388958594731</v>
      </c>
      <c r="M53" s="66">
        <f>MTStarts!D24/PNWStarts!D24</f>
        <v>0.12494772061898787</v>
      </c>
      <c r="N53" s="66">
        <f>ORStarts!D24/PNWStarts!D24</f>
        <v>0.33448347971560016</v>
      </c>
      <c r="O53" s="66">
        <f>WAStarts!D24/PNWStarts!D24</f>
        <v>0.4028649100794647</v>
      </c>
    </row>
    <row r="54" spans="1:15" ht="12.75">
      <c r="A54" s="19">
        <v>2001</v>
      </c>
      <c r="B54" s="66">
        <f>IDStarts!B25/PNWStarts!B25</f>
        <v>0.17612682090831192</v>
      </c>
      <c r="C54" s="66">
        <f>MTStarts!B25/PNWStarts!B25</f>
        <v>0.03609254498714653</v>
      </c>
      <c r="D54" s="66">
        <f>ORStarts!B25/PNWStarts!B25</f>
        <v>0.2992459297343616</v>
      </c>
      <c r="E54" s="66">
        <f>WAStarts!B25/PNWStarts!B25</f>
        <v>0.48853470437017993</v>
      </c>
      <c r="F54" s="19">
        <v>2001</v>
      </c>
      <c r="G54" s="66">
        <f>IDStarts!C25/PNWStarts!C25</f>
        <v>0.0980242678355886</v>
      </c>
      <c r="H54" s="66">
        <f>MTStarts!C25/PNWStarts!C25</f>
        <v>0.03163712597674862</v>
      </c>
      <c r="I54" s="66">
        <f>ORStarts!C25/PNWStarts!C25</f>
        <v>0.24528301886792453</v>
      </c>
      <c r="J54" s="66">
        <f>WAStarts!C25/PNWStarts!C25</f>
        <v>0.6250555873197383</v>
      </c>
      <c r="K54" s="19">
        <v>2001</v>
      </c>
      <c r="L54" s="66">
        <f>IDStarts!D25/PNWStarts!D25</f>
        <v>0.13703144308664011</v>
      </c>
      <c r="M54" s="66">
        <f>MTStarts!D25/PNWStarts!D25</f>
        <v>0.12659618289166552</v>
      </c>
      <c r="N54" s="66">
        <f>ORStarts!D25/PNWStarts!D25</f>
        <v>0.3284360840313058</v>
      </c>
      <c r="O54" s="66">
        <f>WAStarts!D25/PNWStarts!D25</f>
        <v>0.40793628999038856</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F30" sqref="F30"/>
    </sheetView>
  </sheetViews>
  <sheetFormatPr defaultColWidth="9.140625" defaultRowHeight="12.75"/>
  <cols>
    <col min="2" max="2" width="10.28125" style="0" bestFit="1" customWidth="1"/>
    <col min="3" max="3" width="9.7109375" style="0" customWidth="1"/>
    <col min="4" max="4" width="13.00390625" style="0" customWidth="1"/>
    <col min="5" max="6" width="12.7109375" style="0" customWidth="1"/>
    <col min="7" max="7" width="11.7109375" style="0" customWidth="1"/>
    <col min="9" max="9" width="11.140625" style="0" customWidth="1"/>
  </cols>
  <sheetData>
    <row r="1" ht="12.75">
      <c r="A1" t="s">
        <v>35</v>
      </c>
    </row>
    <row r="2" ht="12.75">
      <c r="A2" t="s">
        <v>32</v>
      </c>
    </row>
    <row r="3" spans="1:12" ht="38.25">
      <c r="A3" s="19"/>
      <c r="B3" s="27" t="s">
        <v>15</v>
      </c>
      <c r="C3" s="27" t="s">
        <v>120</v>
      </c>
      <c r="D3" s="27" t="s">
        <v>17</v>
      </c>
      <c r="E3" s="27" t="s">
        <v>18</v>
      </c>
      <c r="F3" s="27" t="s">
        <v>19</v>
      </c>
      <c r="G3" s="27" t="s">
        <v>28</v>
      </c>
      <c r="H3" s="27" t="s">
        <v>29</v>
      </c>
      <c r="I3" s="27" t="s">
        <v>30</v>
      </c>
      <c r="K3" s="3" t="s">
        <v>31</v>
      </c>
      <c r="L3" s="3"/>
    </row>
    <row r="4" spans="1:9" ht="12.75">
      <c r="A4" s="19"/>
      <c r="B4" s="19"/>
      <c r="C4" s="19"/>
      <c r="D4" s="19"/>
      <c r="E4" s="19"/>
      <c r="F4" s="19"/>
      <c r="G4" s="19"/>
      <c r="H4" s="19"/>
      <c r="I4" s="19"/>
    </row>
    <row r="5" spans="1:12" ht="12.75">
      <c r="A5" s="19">
        <v>1981</v>
      </c>
      <c r="B5" s="49">
        <f>'ID'!B7+'ID'!H7</f>
        <v>3319</v>
      </c>
      <c r="C5" s="49">
        <f>'ID'!N7</f>
        <v>577</v>
      </c>
      <c r="D5" s="51">
        <f>'MHSHIPMNTS &amp; SF &amp; MF Starts'!B6</f>
        <v>1532</v>
      </c>
      <c r="E5" s="51">
        <f>SUM(B5:D5)</f>
        <v>5428</v>
      </c>
      <c r="F5" s="66">
        <f>D5/(B5+D5)</f>
        <v>0.3158111729540301</v>
      </c>
      <c r="G5" s="66">
        <f>E5/PNWStarts!E5</f>
        <v>0.09800133605358659</v>
      </c>
      <c r="H5" s="66">
        <f>B5/PNWStarts!B5</f>
        <v>0.10191610882515507</v>
      </c>
      <c r="I5" s="68">
        <v>0.1418</v>
      </c>
      <c r="K5" s="2">
        <f>H5*I5</f>
        <v>0.01445170423140699</v>
      </c>
      <c r="L5" s="2"/>
    </row>
    <row r="6" spans="1:12" ht="12.75">
      <c r="A6" s="19">
        <v>1982</v>
      </c>
      <c r="B6" s="49">
        <f>'ID'!B8+'ID'!H8</f>
        <v>2392</v>
      </c>
      <c r="C6" s="49">
        <f>'ID'!N8</f>
        <v>239</v>
      </c>
      <c r="D6" s="51">
        <f>'MHSHIPMNTS &amp; SF &amp; MF Starts'!B7</f>
        <v>1190</v>
      </c>
      <c r="E6" s="51">
        <f aca="true" t="shared" si="0" ref="E6:E23">SUM(B6:D6)</f>
        <v>3821</v>
      </c>
      <c r="F6" s="66">
        <f aca="true" t="shared" si="1" ref="F6:F23">D6/(B6+D6)</f>
        <v>0.3322166387493021</v>
      </c>
      <c r="G6" s="66">
        <f>E6/PNWStarts!E6</f>
        <v>0.0993654756332241</v>
      </c>
      <c r="H6" s="66">
        <f>B6/PNWStarts!B6</f>
        <v>0.10730788210488539</v>
      </c>
      <c r="I6" s="68">
        <v>0.1553</v>
      </c>
      <c r="K6" s="2">
        <f aca="true" t="shared" si="2" ref="K6:K23">H6*I6</f>
        <v>0.0166649140908887</v>
      </c>
      <c r="L6" s="2"/>
    </row>
    <row r="7" spans="1:12" ht="12.75">
      <c r="A7" s="19">
        <v>1983</v>
      </c>
      <c r="B7" s="49">
        <f>'ID'!B9+'ID'!H9</f>
        <v>3888</v>
      </c>
      <c r="C7" s="49">
        <f>'ID'!N9</f>
        <v>510</v>
      </c>
      <c r="D7" s="51">
        <f>'MHSHIPMNTS &amp; SF &amp; MF Starts'!B8</f>
        <v>1793</v>
      </c>
      <c r="E7" s="51">
        <f t="shared" si="0"/>
        <v>6191</v>
      </c>
      <c r="F7" s="66">
        <f t="shared" si="1"/>
        <v>0.31561344833656046</v>
      </c>
      <c r="G7" s="66">
        <f>E7/PNWStarts!E7</f>
        <v>0.11178116818633203</v>
      </c>
      <c r="H7" s="66">
        <f>B7/PNWStarts!B7</f>
        <v>0.11260426320667284</v>
      </c>
      <c r="I7" s="68">
        <v>0.13369999999999999</v>
      </c>
      <c r="K7" s="2">
        <f t="shared" si="2"/>
        <v>0.015055189990732158</v>
      </c>
      <c r="L7" s="2"/>
    </row>
    <row r="8" spans="1:12" ht="12.75">
      <c r="A8" s="19">
        <v>1984</v>
      </c>
      <c r="B8" s="49">
        <f>'ID'!B10+'ID'!H10</f>
        <v>3854</v>
      </c>
      <c r="C8" s="49">
        <f>'ID'!N10</f>
        <v>478</v>
      </c>
      <c r="D8" s="51">
        <f>'MHSHIPMNTS &amp; SF &amp; MF Starts'!B9</f>
        <v>1747</v>
      </c>
      <c r="E8" s="51">
        <f t="shared" si="0"/>
        <v>6079</v>
      </c>
      <c r="F8" s="66">
        <f t="shared" si="1"/>
        <v>0.3119085877521871</v>
      </c>
      <c r="G8" s="66">
        <f>E8/PNWStarts!E8</f>
        <v>0.10582111896389652</v>
      </c>
      <c r="H8" s="66">
        <f>B8/PNWStarts!B8</f>
        <v>0.1202008545675701</v>
      </c>
      <c r="I8" s="68">
        <v>0.1164</v>
      </c>
      <c r="K8" s="2">
        <f t="shared" si="2"/>
        <v>0.01399137947166516</v>
      </c>
      <c r="L8" s="2"/>
    </row>
    <row r="9" spans="1:12" ht="12.75">
      <c r="A9" s="19">
        <v>1985</v>
      </c>
      <c r="B9" s="49">
        <f>'ID'!B11+'ID'!H11</f>
        <v>3135</v>
      </c>
      <c r="C9" s="49">
        <f>'ID'!N11</f>
        <v>875</v>
      </c>
      <c r="D9" s="51">
        <f>'MHSHIPMNTS &amp; SF &amp; MF Starts'!B10</f>
        <v>1200</v>
      </c>
      <c r="E9" s="51">
        <f t="shared" si="0"/>
        <v>5210</v>
      </c>
      <c r="F9" s="66">
        <f t="shared" si="1"/>
        <v>0.2768166089965398</v>
      </c>
      <c r="G9" s="66">
        <f>E9/PNWStarts!E9</f>
        <v>0.08430829975565157</v>
      </c>
      <c r="H9" s="66">
        <f>B9/PNWStarts!B9</f>
        <v>0.10158123258375996</v>
      </c>
      <c r="I9" s="68">
        <v>0.1084</v>
      </c>
      <c r="K9" s="2">
        <f t="shared" si="2"/>
        <v>0.01101140561207958</v>
      </c>
      <c r="L9" s="2"/>
    </row>
    <row r="10" spans="1:12" ht="12.75">
      <c r="A10" s="19">
        <v>1986</v>
      </c>
      <c r="B10" s="49">
        <f>'ID'!B12+'ID'!H12</f>
        <v>3268</v>
      </c>
      <c r="C10" s="49">
        <f>'ID'!N12</f>
        <v>557</v>
      </c>
      <c r="D10" s="51">
        <f>'MHSHIPMNTS &amp; SF &amp; MF Starts'!B11</f>
        <v>838</v>
      </c>
      <c r="E10" s="51">
        <f t="shared" si="0"/>
        <v>4663</v>
      </c>
      <c r="F10" s="66">
        <f t="shared" si="1"/>
        <v>0.20409157330735508</v>
      </c>
      <c r="G10" s="66">
        <f>E10/PNWStarts!E10</f>
        <v>0.07716876841094893</v>
      </c>
      <c r="H10" s="66">
        <f>B10/PNWStarts!B10</f>
        <v>0.09783845278725825</v>
      </c>
      <c r="I10" s="68">
        <v>0.1039</v>
      </c>
      <c r="K10" s="2">
        <f t="shared" si="2"/>
        <v>0.010165415244596132</v>
      </c>
      <c r="L10" s="2"/>
    </row>
    <row r="11" spans="1:12" ht="12.75">
      <c r="A11" s="19">
        <v>1987</v>
      </c>
      <c r="B11" s="49">
        <f>'ID'!B13+'ID'!H13</f>
        <v>2816</v>
      </c>
      <c r="C11" s="49">
        <f>'ID'!N13</f>
        <v>381</v>
      </c>
      <c r="D11" s="51">
        <f>'MHSHIPMNTS &amp; SF &amp; MF Starts'!B12</f>
        <v>605</v>
      </c>
      <c r="E11" s="51">
        <f t="shared" si="0"/>
        <v>3802</v>
      </c>
      <c r="F11" s="66">
        <f t="shared" si="1"/>
        <v>0.17684887459807075</v>
      </c>
      <c r="G11" s="66">
        <f>E11/PNWStarts!E11</f>
        <v>0.06087485589855258</v>
      </c>
      <c r="H11" s="66">
        <f>B11/PNWStarts!B11</f>
        <v>0.08358315277076964</v>
      </c>
      <c r="I11" s="68">
        <v>0.0949</v>
      </c>
      <c r="K11" s="2">
        <f t="shared" si="2"/>
        <v>0.007932041197946039</v>
      </c>
      <c r="L11" s="2"/>
    </row>
    <row r="12" spans="1:12" ht="12.75">
      <c r="A12" s="19">
        <v>1988</v>
      </c>
      <c r="B12" s="49">
        <f>'ID'!B14+'ID'!H14</f>
        <v>3016</v>
      </c>
      <c r="C12" s="49">
        <f>'ID'!N14</f>
        <v>204</v>
      </c>
      <c r="D12" s="51">
        <f>'MHSHIPMNTS &amp; SF &amp; MF Starts'!B13</f>
        <v>572</v>
      </c>
      <c r="E12" s="51">
        <f t="shared" si="0"/>
        <v>3792</v>
      </c>
      <c r="F12" s="66">
        <f t="shared" si="1"/>
        <v>0.15942028985507245</v>
      </c>
      <c r="G12" s="66">
        <f>E12/PNWStarts!E12</f>
        <v>0.05253168940915703</v>
      </c>
      <c r="H12" s="66">
        <f>B12/PNWStarts!B12</f>
        <v>0.08109052778748689</v>
      </c>
      <c r="I12" s="68">
        <v>0.0873</v>
      </c>
      <c r="K12" s="2">
        <f t="shared" si="2"/>
        <v>0.007079203075847606</v>
      </c>
      <c r="L12" s="2"/>
    </row>
    <row r="13" spans="1:12" ht="12.75">
      <c r="A13" s="19">
        <v>1989</v>
      </c>
      <c r="B13" s="49">
        <f>'ID'!B15+'ID'!H15</f>
        <v>3906</v>
      </c>
      <c r="C13" s="49">
        <f>'ID'!N15</f>
        <v>895</v>
      </c>
      <c r="D13" s="51">
        <f>'MHSHIPMNTS &amp; SF &amp; MF Starts'!B14</f>
        <v>703</v>
      </c>
      <c r="E13" s="51">
        <f t="shared" si="0"/>
        <v>5504</v>
      </c>
      <c r="F13" s="66">
        <f t="shared" si="1"/>
        <v>0.15252766326752007</v>
      </c>
      <c r="G13" s="66">
        <f>E13/PNWStarts!E13</f>
        <v>0.06340940772571745</v>
      </c>
      <c r="H13" s="66">
        <f>B13/PNWStarts!B13</f>
        <v>0.08539198111145119</v>
      </c>
      <c r="I13" s="68">
        <v>0.1017</v>
      </c>
      <c r="K13" s="2">
        <f t="shared" si="2"/>
        <v>0.008684364479034586</v>
      </c>
      <c r="L13" s="2"/>
    </row>
    <row r="14" spans="1:12" ht="12.75">
      <c r="A14" s="19">
        <v>1990</v>
      </c>
      <c r="B14" s="49">
        <f>'ID'!B16+'ID'!H16</f>
        <v>5100</v>
      </c>
      <c r="C14" s="49">
        <f>'ID'!N16</f>
        <v>612</v>
      </c>
      <c r="D14" s="51">
        <f>'MHSHIPMNTS &amp; SF &amp; MF Starts'!B15</f>
        <v>820</v>
      </c>
      <c r="E14" s="51">
        <f t="shared" si="0"/>
        <v>6532</v>
      </c>
      <c r="F14" s="66">
        <f t="shared" si="1"/>
        <v>0.13851351351351351</v>
      </c>
      <c r="G14" s="66">
        <f>E14/PNWStarts!E14</f>
        <v>0.07248515785385341</v>
      </c>
      <c r="H14" s="66">
        <f>B14/PNWStarts!B14</f>
        <v>0.09800718719372754</v>
      </c>
      <c r="I14" s="68">
        <v>0.10321999999999999</v>
      </c>
      <c r="K14" s="2">
        <f t="shared" si="2"/>
        <v>0.010116301862136556</v>
      </c>
      <c r="L14" s="2"/>
    </row>
    <row r="15" spans="1:12" ht="12.75">
      <c r="A15" s="19">
        <v>1991</v>
      </c>
      <c r="B15" s="49">
        <f>'ID'!B17+'ID'!H17</f>
        <v>5994</v>
      </c>
      <c r="C15" s="49">
        <f>'ID'!N17</f>
        <v>696</v>
      </c>
      <c r="D15" s="51">
        <f>'MHSHIPMNTS &amp; SF &amp; MF Starts'!B16</f>
        <v>1089</v>
      </c>
      <c r="E15" s="51">
        <f t="shared" si="0"/>
        <v>7779</v>
      </c>
      <c r="F15" s="66">
        <f t="shared" si="1"/>
        <v>0.15374841168996187</v>
      </c>
      <c r="G15" s="66">
        <f>E15/PNWStarts!E15</f>
        <v>0.11196833393306944</v>
      </c>
      <c r="H15" s="66">
        <f>B15/PNWStarts!B15</f>
        <v>0.13195376995046781</v>
      </c>
      <c r="I15" s="68">
        <v>0.0968</v>
      </c>
      <c r="K15" s="2">
        <f t="shared" si="2"/>
        <v>0.012773124931205283</v>
      </c>
      <c r="L15" s="2"/>
    </row>
    <row r="16" spans="1:12" ht="12.75">
      <c r="A16" s="19">
        <v>1992</v>
      </c>
      <c r="B16" s="49">
        <f>'ID'!B18+'ID'!H18</f>
        <v>8775</v>
      </c>
      <c r="C16" s="49">
        <f>'ID'!N18</f>
        <v>1178</v>
      </c>
      <c r="D16" s="51">
        <f>'MHSHIPMNTS &amp; SF &amp; MF Starts'!B17</f>
        <v>1696</v>
      </c>
      <c r="E16" s="51">
        <f t="shared" si="0"/>
        <v>11649</v>
      </c>
      <c r="F16" s="66">
        <f t="shared" si="1"/>
        <v>0.16197115843758952</v>
      </c>
      <c r="G16" s="66">
        <f>E16/PNWStarts!E16</f>
        <v>0.14116064612289908</v>
      </c>
      <c r="H16" s="66">
        <f>B16/PNWStarts!B16</f>
        <v>0.156280610518442</v>
      </c>
      <c r="I16" s="68">
        <v>0.0839</v>
      </c>
      <c r="K16" s="2">
        <f t="shared" si="2"/>
        <v>0.013111943222497284</v>
      </c>
      <c r="L16" s="2"/>
    </row>
    <row r="17" spans="1:12" ht="12.75">
      <c r="A17" s="19">
        <v>1993</v>
      </c>
      <c r="B17" s="49">
        <f>'ID'!B19+'ID'!H19</f>
        <v>10363</v>
      </c>
      <c r="C17" s="49">
        <f>'ID'!N19</f>
        <v>1564</v>
      </c>
      <c r="D17" s="51">
        <f>'MHSHIPMNTS &amp; SF &amp; MF Starts'!B18</f>
        <v>2779</v>
      </c>
      <c r="E17" s="51">
        <f t="shared" si="0"/>
        <v>14706</v>
      </c>
      <c r="F17" s="66">
        <f t="shared" si="1"/>
        <v>0.21145944300715264</v>
      </c>
      <c r="G17" s="66">
        <f>E17/PNWStarts!E17</f>
        <v>0.15584498161355617</v>
      </c>
      <c r="H17" s="66">
        <f>B17/PNWStarts!B17</f>
        <v>0.16654345590125996</v>
      </c>
      <c r="I17" s="68">
        <v>0.0724</v>
      </c>
      <c r="K17" s="2">
        <f t="shared" si="2"/>
        <v>0.012057746207251223</v>
      </c>
      <c r="L17" s="2"/>
    </row>
    <row r="18" spans="1:12" ht="12.75">
      <c r="A18" s="19">
        <v>1994</v>
      </c>
      <c r="B18" s="49">
        <f>'ID'!B20+'ID'!H20</f>
        <v>10899</v>
      </c>
      <c r="C18" s="49">
        <f>'ID'!N20</f>
        <v>1699</v>
      </c>
      <c r="D18" s="51">
        <f>'MHSHIPMNTS &amp; SF &amp; MF Starts'!B19</f>
        <v>3712</v>
      </c>
      <c r="E18" s="51">
        <f t="shared" si="0"/>
        <v>16310</v>
      </c>
      <c r="F18" s="66">
        <f t="shared" si="1"/>
        <v>0.2540551639175963</v>
      </c>
      <c r="G18" s="66">
        <f>E18/PNWStarts!E18</f>
        <v>0.1564388344299718</v>
      </c>
      <c r="H18" s="66">
        <f>B18/PNWStarts!B18</f>
        <v>0.1651814131126671</v>
      </c>
      <c r="I18" s="68">
        <v>0.07429999999999999</v>
      </c>
      <c r="K18" s="2">
        <f t="shared" si="2"/>
        <v>0.012272978994271164</v>
      </c>
      <c r="L18" s="2"/>
    </row>
    <row r="19" spans="1:12" ht="12.75">
      <c r="A19" s="19">
        <v>1995</v>
      </c>
      <c r="B19" s="49">
        <f>'ID'!B21+'ID'!H21</f>
        <v>9312</v>
      </c>
      <c r="C19" s="49">
        <f>'ID'!N21</f>
        <v>1354</v>
      </c>
      <c r="D19" s="51">
        <f>'MHSHIPMNTS &amp; SF &amp; MF Starts'!B20</f>
        <v>3167</v>
      </c>
      <c r="E19" s="51">
        <f t="shared" si="0"/>
        <v>13833</v>
      </c>
      <c r="F19" s="66">
        <f t="shared" si="1"/>
        <v>0.25378636108662556</v>
      </c>
      <c r="G19" s="66">
        <f>E19/PNWStarts!E19</f>
        <v>0.14151696198387692</v>
      </c>
      <c r="H19" s="66">
        <f>B19/PNWStarts!B19</f>
        <v>0.15808236851933588</v>
      </c>
      <c r="I19" s="68">
        <v>0.0779</v>
      </c>
      <c r="K19" s="2">
        <f t="shared" si="2"/>
        <v>0.012314616507656265</v>
      </c>
      <c r="L19" s="2"/>
    </row>
    <row r="20" spans="1:12" ht="12.75">
      <c r="A20" s="19">
        <v>1996</v>
      </c>
      <c r="B20" s="49">
        <f>'ID'!B22+'ID'!H22</f>
        <v>10033</v>
      </c>
      <c r="C20" s="49">
        <f>'ID'!N22</f>
        <v>722</v>
      </c>
      <c r="D20" s="51">
        <f>'MHSHIPMNTS &amp; SF &amp; MF Starts'!B21</f>
        <v>2635</v>
      </c>
      <c r="E20" s="51">
        <f t="shared" si="0"/>
        <v>13390</v>
      </c>
      <c r="F20" s="66">
        <f t="shared" si="1"/>
        <v>0.2080044205873066</v>
      </c>
      <c r="G20" s="66">
        <f>E20/PNWStarts!E20</f>
        <v>0.13657690738474093</v>
      </c>
      <c r="H20" s="66">
        <f>B20/PNWStarts!B20</f>
        <v>0.16308782652513856</v>
      </c>
      <c r="I20" s="68">
        <v>0.0786</v>
      </c>
      <c r="K20" s="2">
        <f t="shared" si="2"/>
        <v>0.012818703164875891</v>
      </c>
      <c r="L20" s="2"/>
    </row>
    <row r="21" spans="1:12" ht="12.75">
      <c r="A21" s="19">
        <v>1997</v>
      </c>
      <c r="B21" s="49">
        <f>'ID'!B23+'ID'!H23</f>
        <v>9411</v>
      </c>
      <c r="C21" s="49">
        <f>'ID'!N23</f>
        <v>926</v>
      </c>
      <c r="D21" s="51">
        <f>'MHSHIPMNTS &amp; SF &amp; MF Starts'!B22</f>
        <v>2634</v>
      </c>
      <c r="E21" s="51">
        <f t="shared" si="0"/>
        <v>12971</v>
      </c>
      <c r="F21" s="66">
        <f t="shared" si="1"/>
        <v>0.2186799501867995</v>
      </c>
      <c r="G21" s="66">
        <f>E21/PNWStarts!E21</f>
        <v>0.13208892147577878</v>
      </c>
      <c r="H21" s="66">
        <f>B21/PNWStarts!B21</f>
        <v>0.15391786467788626</v>
      </c>
      <c r="I21" s="68">
        <v>0.0786</v>
      </c>
      <c r="K21" s="2">
        <f t="shared" si="2"/>
        <v>0.01209794416368186</v>
      </c>
      <c r="L21" s="2"/>
    </row>
    <row r="22" spans="1:11" ht="12.75">
      <c r="A22" s="19">
        <v>1998</v>
      </c>
      <c r="B22" s="49">
        <f>'ID'!B24+'ID'!H24</f>
        <v>10740</v>
      </c>
      <c r="C22" s="49">
        <f>'ID'!N24</f>
        <v>927</v>
      </c>
      <c r="D22" s="51">
        <f>'MHSHIPMNTS &amp; SF &amp; MF Starts'!B23</f>
        <v>2980</v>
      </c>
      <c r="E22" s="51">
        <f t="shared" si="0"/>
        <v>14647</v>
      </c>
      <c r="F22" s="66">
        <f t="shared" si="1"/>
        <v>0.21720116618075802</v>
      </c>
      <c r="G22" s="66">
        <f>E22/PNWStarts!E22</f>
        <v>0.14110110302971918</v>
      </c>
      <c r="H22" s="66">
        <f>B22/PNWStarts!B22</f>
        <v>0.16935254974928254</v>
      </c>
      <c r="I22" s="68">
        <v>0.0716</v>
      </c>
      <c r="K22" s="2">
        <f t="shared" si="2"/>
        <v>0.012125642562048629</v>
      </c>
    </row>
    <row r="23" spans="1:11" ht="12.75">
      <c r="A23" s="19">
        <v>1999</v>
      </c>
      <c r="B23" s="49">
        <f>'ID'!B25+'ID'!H25</f>
        <v>11087</v>
      </c>
      <c r="C23" s="49">
        <f>'ID'!N25</f>
        <v>1222</v>
      </c>
      <c r="D23" s="51">
        <f>'MHSHIPMNTS &amp; SF &amp; MF Starts'!B24</f>
        <v>2343</v>
      </c>
      <c r="E23" s="51">
        <f t="shared" si="0"/>
        <v>14652</v>
      </c>
      <c r="F23" s="66">
        <f t="shared" si="1"/>
        <v>0.17446016381236037</v>
      </c>
      <c r="G23" s="66">
        <f>E23/PNWStarts!E23</f>
        <v>0.1533389846472638</v>
      </c>
      <c r="H23" s="66">
        <f>B23/PNWStarts!B23</f>
        <v>0.1786237896534502</v>
      </c>
      <c r="I23" s="68">
        <f>'SF Mortgage Rates &amp; Home Prices'!D29/100</f>
        <v>0.0727</v>
      </c>
      <c r="K23" s="2">
        <f t="shared" si="2"/>
        <v>0.012985949507805829</v>
      </c>
    </row>
    <row r="24" spans="1:11" ht="12.75">
      <c r="A24" s="19">
        <v>2000</v>
      </c>
      <c r="B24" s="49">
        <f>'ID'!B26+'ID'!H26</f>
        <v>10385</v>
      </c>
      <c r="C24" s="49">
        <f>'ID'!N26</f>
        <v>604</v>
      </c>
      <c r="D24" s="51">
        <f>'MHSHIPMNTS &amp; SF &amp; MF Starts'!B25</f>
        <v>1317</v>
      </c>
      <c r="E24" s="51">
        <f>SUM(B24:D24)</f>
        <v>12306</v>
      </c>
      <c r="F24" s="66">
        <f>D24/(B24+D24)</f>
        <v>0.11254486412579047</v>
      </c>
      <c r="G24" s="66">
        <f>E24/PNWStarts!E24</f>
        <v>0.14973535316663625</v>
      </c>
      <c r="H24" s="66">
        <f>B24/PNWStarts!B24</f>
        <v>0.18186753528773072</v>
      </c>
      <c r="I24" s="68">
        <f>'SF Mortgage Rates &amp; Home Prices'!D30/100</f>
        <v>0.0788</v>
      </c>
      <c r="K24" s="2">
        <f>H24*I24</f>
        <v>0.01433116178067318</v>
      </c>
    </row>
    <row r="25" spans="1:11" ht="12.75">
      <c r="A25" s="19">
        <v>2001</v>
      </c>
      <c r="B25" s="49">
        <f>'ID'!B27+'ID'!H27</f>
        <v>10277</v>
      </c>
      <c r="C25" s="49">
        <f>'ID'!N27</f>
        <v>1543</v>
      </c>
      <c r="D25" s="51">
        <f>'MHSHIPMNTS &amp; SF &amp; MF Starts'!B26</f>
        <v>998</v>
      </c>
      <c r="E25" s="51">
        <f>SUM(B25:D25)</f>
        <v>12818</v>
      </c>
      <c r="F25" s="66">
        <f>D25/(B25+D25)</f>
        <v>0.08851441241685144</v>
      </c>
      <c r="G25" s="66">
        <f>E25/PNWStarts!E25</f>
        <v>0.15751960085531005</v>
      </c>
      <c r="H25" s="66">
        <f>B25/PNWStarts!B25</f>
        <v>0.17612682090831192</v>
      </c>
      <c r="I25" s="68">
        <f>'SF Mortgage Rates &amp; Home Prices'!D31/100</f>
        <v>0.0701</v>
      </c>
      <c r="K25" s="2">
        <f>H25*I25</f>
        <v>0.012346490145672665</v>
      </c>
    </row>
    <row r="26" spans="2:11" ht="12.75">
      <c r="B26" s="1"/>
      <c r="C26" s="1"/>
      <c r="D26" s="1"/>
      <c r="E26" s="1"/>
      <c r="F26" s="2"/>
      <c r="G26" s="2"/>
      <c r="H26" s="2"/>
      <c r="I26" s="5"/>
      <c r="K26" s="2"/>
    </row>
    <row r="27" spans="2:11" ht="12.75">
      <c r="B27" s="1"/>
      <c r="C27" s="1"/>
      <c r="D27" s="1"/>
      <c r="E27" s="1"/>
      <c r="F27" s="2"/>
      <c r="G27" s="2"/>
      <c r="H27" s="2"/>
      <c r="I27" s="5"/>
      <c r="K27" s="2"/>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K27"/>
  <sheetViews>
    <sheetView workbookViewId="0" topLeftCell="A1">
      <selection activeCell="H31" sqref="H31"/>
    </sheetView>
  </sheetViews>
  <sheetFormatPr defaultColWidth="9.140625" defaultRowHeight="12.75"/>
  <cols>
    <col min="2" max="2" width="9.28125" style="0" bestFit="1" customWidth="1"/>
    <col min="3" max="3" width="9.7109375" style="0" customWidth="1"/>
    <col min="4" max="4" width="12.140625" style="0" customWidth="1"/>
    <col min="5" max="5" width="13.421875" style="0" customWidth="1"/>
    <col min="6" max="6" width="12.00390625" style="0" customWidth="1"/>
  </cols>
  <sheetData>
    <row r="1" ht="12.75">
      <c r="A1" t="s">
        <v>34</v>
      </c>
    </row>
    <row r="2" ht="12.75">
      <c r="A2" t="s">
        <v>32</v>
      </c>
    </row>
    <row r="3" spans="1:11" ht="38.25">
      <c r="A3" s="19"/>
      <c r="B3" s="27" t="s">
        <v>15</v>
      </c>
      <c r="C3" s="27" t="s">
        <v>120</v>
      </c>
      <c r="D3" s="27" t="s">
        <v>17</v>
      </c>
      <c r="E3" s="27" t="s">
        <v>18</v>
      </c>
      <c r="F3" s="27" t="s">
        <v>19</v>
      </c>
      <c r="G3" s="27" t="s">
        <v>28</v>
      </c>
      <c r="H3" s="27" t="s">
        <v>29</v>
      </c>
      <c r="I3" s="27" t="s">
        <v>30</v>
      </c>
      <c r="K3" s="3" t="s">
        <v>31</v>
      </c>
    </row>
    <row r="4" spans="1:9" ht="12.75">
      <c r="A4" s="19"/>
      <c r="B4" s="19"/>
      <c r="C4" s="19"/>
      <c r="D4" s="19"/>
      <c r="E4" s="19"/>
      <c r="F4" s="19"/>
      <c r="G4" s="19"/>
      <c r="H4" s="19"/>
      <c r="I4" s="19"/>
    </row>
    <row r="5" spans="1:11" ht="12.75">
      <c r="A5" s="19">
        <v>1981</v>
      </c>
      <c r="B5" s="49">
        <f>MT!B7+MT!H7</f>
        <v>1441</v>
      </c>
      <c r="C5" s="49">
        <f>MT!N7</f>
        <v>449</v>
      </c>
      <c r="D5" s="51">
        <f>'MHSHIPMNTS &amp; SF &amp; MF Starts'!C6</f>
        <v>1418</v>
      </c>
      <c r="E5" s="51">
        <f>SUM(B5:D5)</f>
        <v>3308</v>
      </c>
      <c r="F5" s="66">
        <f>D5/(B5+D5)</f>
        <v>0.4959776145505421</v>
      </c>
      <c r="G5" s="66">
        <f>E5/PNWStarts!E5</f>
        <v>0.0597252062758409</v>
      </c>
      <c r="H5" s="66">
        <f>B5/PNWStarts!B5</f>
        <v>0.04424860283731499</v>
      </c>
      <c r="I5" s="68">
        <v>0.15539999999999998</v>
      </c>
      <c r="K5" s="2">
        <f>H5*I5</f>
        <v>0.006876232880918749</v>
      </c>
    </row>
    <row r="6" spans="1:11" ht="12.75">
      <c r="A6" s="19">
        <v>1982</v>
      </c>
      <c r="B6" s="49">
        <f>MT!B8+MT!H8</f>
        <v>1332</v>
      </c>
      <c r="C6" s="49">
        <f>MT!N8</f>
        <v>690</v>
      </c>
      <c r="D6" s="51">
        <f>'MHSHIPMNTS &amp; SF &amp; MF Starts'!C7</f>
        <v>872</v>
      </c>
      <c r="E6" s="51">
        <f aca="true" t="shared" si="0" ref="E6:E23">SUM(B6:D6)</f>
        <v>2894</v>
      </c>
      <c r="F6" s="66">
        <f aca="true" t="shared" si="1" ref="F6:F20">D6/(B6+D6)</f>
        <v>0.3956442831215971</v>
      </c>
      <c r="G6" s="66">
        <f>E6/PNWStarts!E6</f>
        <v>0.07525875071514017</v>
      </c>
      <c r="H6" s="66">
        <f>B6/PNWStarts!B6</f>
        <v>0.05975505809519537</v>
      </c>
      <c r="I6" s="68">
        <v>0.1648</v>
      </c>
      <c r="K6" s="2">
        <f aca="true" t="shared" si="2" ref="K6:K20">H6*I6</f>
        <v>0.009847633574088197</v>
      </c>
    </row>
    <row r="7" spans="1:11" ht="12.75">
      <c r="A7" s="19">
        <v>1983</v>
      </c>
      <c r="B7" s="49">
        <f>MT!B9+MT!H9</f>
        <v>2217</v>
      </c>
      <c r="C7" s="49">
        <f>MT!N9</f>
        <v>785</v>
      </c>
      <c r="D7" s="51">
        <f>'MHSHIPMNTS &amp; SF &amp; MF Starts'!C8</f>
        <v>1470</v>
      </c>
      <c r="E7" s="51">
        <f t="shared" si="0"/>
        <v>4472</v>
      </c>
      <c r="F7" s="66">
        <f t="shared" si="1"/>
        <v>0.39869812855980474</v>
      </c>
      <c r="G7" s="66">
        <f>E7/PNWStarts!E7</f>
        <v>0.08074388372302971</v>
      </c>
      <c r="H7" s="66">
        <f>B7/PNWStarts!B7</f>
        <v>0.06420875810936053</v>
      </c>
      <c r="I7" s="68">
        <v>0.1328</v>
      </c>
      <c r="K7" s="2">
        <f t="shared" si="2"/>
        <v>0.008526923076923078</v>
      </c>
    </row>
    <row r="8" spans="1:11" ht="12.75">
      <c r="A8" s="19">
        <v>1984</v>
      </c>
      <c r="B8" s="49">
        <f>MT!B10+MT!H10</f>
        <v>2132</v>
      </c>
      <c r="C8" s="49">
        <f>MT!N10</f>
        <v>705</v>
      </c>
      <c r="D8" s="51">
        <f>'MHSHIPMNTS &amp; SF &amp; MF Starts'!C9</f>
        <v>1251</v>
      </c>
      <c r="E8" s="51">
        <f t="shared" si="0"/>
        <v>4088</v>
      </c>
      <c r="F8" s="66">
        <f t="shared" si="1"/>
        <v>0.3697901271061188</v>
      </c>
      <c r="G8" s="66">
        <f>E8/PNWStarts!E8</f>
        <v>0.0711624830275389</v>
      </c>
      <c r="H8" s="66">
        <f>B8/PNWStarts!B8</f>
        <v>0.06649408976078346</v>
      </c>
      <c r="I8" s="68">
        <v>0.1377</v>
      </c>
      <c r="K8" s="2">
        <f t="shared" si="2"/>
        <v>0.009156236160059882</v>
      </c>
    </row>
    <row r="9" spans="1:11" ht="12.75">
      <c r="A9" s="19">
        <v>1985</v>
      </c>
      <c r="B9" s="49">
        <f>MT!B11+MT!H11</f>
        <v>1124</v>
      </c>
      <c r="C9" s="49">
        <f>MT!N11</f>
        <v>770</v>
      </c>
      <c r="D9" s="51">
        <f>'MHSHIPMNTS &amp; SF &amp; MF Starts'!C10</f>
        <v>923</v>
      </c>
      <c r="E9" s="51">
        <f t="shared" si="0"/>
        <v>2817</v>
      </c>
      <c r="F9" s="66">
        <f t="shared" si="1"/>
        <v>0.4509037616023449</v>
      </c>
      <c r="G9" s="66">
        <f>E9/PNWStarts!E9</f>
        <v>0.04558473712316132</v>
      </c>
      <c r="H9" s="66">
        <f>B9/PNWStarts!B9</f>
        <v>0.03642019311774999</v>
      </c>
      <c r="I9" s="68">
        <v>0.1017</v>
      </c>
      <c r="K9" s="2">
        <f t="shared" si="2"/>
        <v>0.003703933640075174</v>
      </c>
    </row>
    <row r="10" spans="1:11" ht="12.75">
      <c r="A10" s="19">
        <v>1986</v>
      </c>
      <c r="B10" s="49">
        <f>MT!B12+MT!H12</f>
        <v>982</v>
      </c>
      <c r="C10" s="49">
        <f>MT!N12</f>
        <v>171</v>
      </c>
      <c r="D10" s="51">
        <f>'MHSHIPMNTS &amp; SF &amp; MF Starts'!C11</f>
        <v>667</v>
      </c>
      <c r="E10" s="51">
        <f t="shared" si="0"/>
        <v>1820</v>
      </c>
      <c r="F10" s="66">
        <f t="shared" si="1"/>
        <v>0.40448756822316556</v>
      </c>
      <c r="G10" s="66">
        <f>E10/PNWStarts!E10</f>
        <v>0.030119484989905007</v>
      </c>
      <c r="H10" s="66">
        <f>B10/PNWStarts!B10</f>
        <v>0.02939943715945153</v>
      </c>
      <c r="I10" s="68">
        <v>0.09939999999999999</v>
      </c>
      <c r="K10" s="2">
        <f t="shared" si="2"/>
        <v>0.0029223040536494817</v>
      </c>
    </row>
    <row r="11" spans="1:11" ht="12.75">
      <c r="A11" s="19">
        <v>1987</v>
      </c>
      <c r="B11" s="49">
        <f>MT!B13+MT!H13</f>
        <v>685</v>
      </c>
      <c r="C11" s="49">
        <f>MT!N13</f>
        <v>113</v>
      </c>
      <c r="D11" s="51">
        <f>'MHSHIPMNTS &amp; SF &amp; MF Starts'!C12</f>
        <v>514</v>
      </c>
      <c r="E11" s="51">
        <f t="shared" si="0"/>
        <v>1312</v>
      </c>
      <c r="F11" s="66">
        <f t="shared" si="1"/>
        <v>0.4286905754795663</v>
      </c>
      <c r="G11" s="66">
        <f>E11/PNWStarts!E11</f>
        <v>0.021006788779300626</v>
      </c>
      <c r="H11" s="66">
        <f>B11/PNWStarts!B11</f>
        <v>0.020331839363628267</v>
      </c>
      <c r="I11" s="68">
        <v>0.0992</v>
      </c>
      <c r="K11" s="2">
        <f t="shared" si="2"/>
        <v>0.002016918464871924</v>
      </c>
    </row>
    <row r="12" spans="1:11" ht="12.75">
      <c r="A12" s="19">
        <v>1988</v>
      </c>
      <c r="B12" s="49">
        <f>MT!B14+MT!H14</f>
        <v>623</v>
      </c>
      <c r="C12" s="49">
        <f>MT!N14</f>
        <v>189</v>
      </c>
      <c r="D12" s="51">
        <f>'MHSHIPMNTS &amp; SF &amp; MF Starts'!C13</f>
        <v>441</v>
      </c>
      <c r="E12" s="51">
        <f t="shared" si="0"/>
        <v>1253</v>
      </c>
      <c r="F12" s="66">
        <f t="shared" si="1"/>
        <v>0.4144736842105263</v>
      </c>
      <c r="G12" s="66">
        <f>E12/PNWStarts!E12</f>
        <v>0.017358176906559535</v>
      </c>
      <c r="H12" s="66">
        <f>B12/PNWStarts!B12</f>
        <v>0.01675046379695104</v>
      </c>
      <c r="I12" s="68">
        <v>0.0978</v>
      </c>
      <c r="K12" s="2">
        <f t="shared" si="2"/>
        <v>0.0016381953593418118</v>
      </c>
    </row>
    <row r="13" spans="1:11" ht="12.75">
      <c r="A13" s="19">
        <v>1989</v>
      </c>
      <c r="B13" s="49">
        <f>MT!B15+MT!H15</f>
        <v>637</v>
      </c>
      <c r="C13" s="49">
        <f>MT!N15</f>
        <v>97</v>
      </c>
      <c r="D13" s="51">
        <f>'MHSHIPMNTS &amp; SF &amp; MF Starts'!C14</f>
        <v>480</v>
      </c>
      <c r="E13" s="51">
        <f t="shared" si="0"/>
        <v>1214</v>
      </c>
      <c r="F13" s="66">
        <f t="shared" si="1"/>
        <v>0.4297224709042077</v>
      </c>
      <c r="G13" s="66">
        <f>E13/PNWStarts!E13</f>
        <v>0.013986013986013986</v>
      </c>
      <c r="H13" s="66">
        <f>B13/PNWStarts!B13</f>
        <v>0.01392593240348039</v>
      </c>
      <c r="I13" s="68">
        <v>0.10779999999999999</v>
      </c>
      <c r="K13" s="2">
        <f t="shared" si="2"/>
        <v>0.0015012155130951859</v>
      </c>
    </row>
    <row r="14" spans="1:11" ht="12.75">
      <c r="A14" s="19">
        <v>1990</v>
      </c>
      <c r="B14" s="49">
        <f>MT!B16+MT!H16</f>
        <v>874</v>
      </c>
      <c r="C14" s="49">
        <f>MT!N16</f>
        <v>349</v>
      </c>
      <c r="D14" s="51">
        <f>'MHSHIPMNTS &amp; SF &amp; MF Starts'!C15</f>
        <v>505</v>
      </c>
      <c r="E14" s="51">
        <f t="shared" si="0"/>
        <v>1728</v>
      </c>
      <c r="F14" s="66">
        <f t="shared" si="1"/>
        <v>0.36620739666424945</v>
      </c>
      <c r="G14" s="66">
        <f>E14/PNWStarts!E14</f>
        <v>0.019175497974809965</v>
      </c>
      <c r="H14" s="66">
        <f>B14/PNWStarts!B14</f>
        <v>0.016795741491630954</v>
      </c>
      <c r="I14" s="68">
        <v>0.10310000000000001</v>
      </c>
      <c r="K14" s="2">
        <f t="shared" si="2"/>
        <v>0.0017316409477871515</v>
      </c>
    </row>
    <row r="15" spans="1:11" ht="12.75">
      <c r="A15" s="19">
        <v>1991</v>
      </c>
      <c r="B15" s="49">
        <f>MT!B17+MT!H17</f>
        <v>1296</v>
      </c>
      <c r="C15" s="49">
        <f>MT!N17</f>
        <v>275</v>
      </c>
      <c r="D15" s="51">
        <f>'MHSHIPMNTS &amp; SF &amp; MF Starts'!C16</f>
        <v>653</v>
      </c>
      <c r="E15" s="51">
        <f t="shared" si="0"/>
        <v>2224</v>
      </c>
      <c r="F15" s="66">
        <f t="shared" si="1"/>
        <v>0.3350436121087737</v>
      </c>
      <c r="G15" s="66">
        <f>E15/PNWStarts!E15</f>
        <v>0.03201151493342929</v>
      </c>
      <c r="H15" s="66">
        <f>B15/PNWStarts!B15</f>
        <v>0.0285305448541552</v>
      </c>
      <c r="I15" s="68">
        <v>0.0964</v>
      </c>
      <c r="K15" s="2">
        <f t="shared" si="2"/>
        <v>0.002750344523940561</v>
      </c>
    </row>
    <row r="16" spans="1:11" ht="12.75">
      <c r="A16" s="19">
        <v>1992</v>
      </c>
      <c r="B16" s="49">
        <f>MT!B18+MT!H18</f>
        <v>2001</v>
      </c>
      <c r="C16" s="49">
        <f>MT!N18</f>
        <v>109</v>
      </c>
      <c r="D16" s="51">
        <f>'MHSHIPMNTS &amp; SF &amp; MF Starts'!C17</f>
        <v>1021</v>
      </c>
      <c r="E16" s="51">
        <f t="shared" si="0"/>
        <v>3131</v>
      </c>
      <c r="F16" s="66">
        <f t="shared" si="1"/>
        <v>0.3378557246856386</v>
      </c>
      <c r="G16" s="66">
        <f>E16/PNWStarts!E16</f>
        <v>0.037940937677980686</v>
      </c>
      <c r="H16" s="66">
        <f>B16/PNWStarts!B16</f>
        <v>0.03563732212506011</v>
      </c>
      <c r="I16" s="68">
        <v>0.0848</v>
      </c>
      <c r="K16" s="2">
        <f t="shared" si="2"/>
        <v>0.0030220449162050972</v>
      </c>
    </row>
    <row r="17" spans="1:11" ht="12.75">
      <c r="A17" s="19">
        <v>1993</v>
      </c>
      <c r="B17" s="49">
        <f>MT!B19+MT!H19</f>
        <v>2491</v>
      </c>
      <c r="C17" s="49">
        <f>MT!N19</f>
        <v>535</v>
      </c>
      <c r="D17" s="51">
        <f>'MHSHIPMNTS &amp; SF &amp; MF Starts'!C18</f>
        <v>1453</v>
      </c>
      <c r="E17" s="51">
        <f t="shared" si="0"/>
        <v>4479</v>
      </c>
      <c r="F17" s="66">
        <f t="shared" si="1"/>
        <v>0.3684077079107505</v>
      </c>
      <c r="G17" s="66">
        <f>E17/PNWStarts!E17</f>
        <v>0.047465638014899905</v>
      </c>
      <c r="H17" s="66">
        <f>B17/PNWStarts!B17</f>
        <v>0.04003278477757778</v>
      </c>
      <c r="I17" s="68">
        <v>0.0747</v>
      </c>
      <c r="K17" s="2">
        <f t="shared" si="2"/>
        <v>0.0029904490228850602</v>
      </c>
    </row>
    <row r="18" spans="1:11" ht="12.75">
      <c r="A18" s="19">
        <v>1994</v>
      </c>
      <c r="B18" s="49">
        <f>MT!B20+MT!H20</f>
        <v>2577</v>
      </c>
      <c r="C18" s="49">
        <f>MT!N20</f>
        <v>443</v>
      </c>
      <c r="D18" s="51">
        <f>'MHSHIPMNTS &amp; SF &amp; MF Starts'!C19</f>
        <v>1871</v>
      </c>
      <c r="E18" s="51">
        <f t="shared" si="0"/>
        <v>4891</v>
      </c>
      <c r="F18" s="66">
        <f t="shared" si="1"/>
        <v>0.4206384892086331</v>
      </c>
      <c r="G18" s="66">
        <f>E18/PNWStarts!E18</f>
        <v>0.04691246714880393</v>
      </c>
      <c r="H18" s="66">
        <f>B18/PNWStarts!B18</f>
        <v>0.03905610621078476</v>
      </c>
      <c r="I18" s="68">
        <v>0.0819</v>
      </c>
      <c r="K18" s="2">
        <f t="shared" si="2"/>
        <v>0.0031986950986632717</v>
      </c>
    </row>
    <row r="19" spans="1:11" ht="12.75">
      <c r="A19" s="19">
        <v>1995</v>
      </c>
      <c r="B19" s="49">
        <f>MT!B21+MT!H21</f>
        <v>2259</v>
      </c>
      <c r="C19" s="49">
        <f>MT!N21</f>
        <v>805</v>
      </c>
      <c r="D19" s="51">
        <f>'MHSHIPMNTS &amp; SF &amp; MF Starts'!C20</f>
        <v>1772</v>
      </c>
      <c r="E19" s="51">
        <f t="shared" si="0"/>
        <v>4836</v>
      </c>
      <c r="F19" s="66">
        <f t="shared" si="1"/>
        <v>0.4395931530637559</v>
      </c>
      <c r="G19" s="66">
        <f>E19/PNWStarts!E19</f>
        <v>0.049474158039039165</v>
      </c>
      <c r="H19" s="66">
        <f>B19/PNWStarts!B19</f>
        <v>0.03834923437340848</v>
      </c>
      <c r="I19" s="68">
        <v>0.0802</v>
      </c>
      <c r="K19" s="2">
        <f t="shared" si="2"/>
        <v>0.00307560859674736</v>
      </c>
    </row>
    <row r="20" spans="1:11" ht="12.75">
      <c r="A20" s="19">
        <v>1996</v>
      </c>
      <c r="B20" s="49">
        <f>MT!B22+MT!H22</f>
        <v>1969</v>
      </c>
      <c r="C20" s="49">
        <f>MT!N22</f>
        <v>711</v>
      </c>
      <c r="D20" s="51">
        <f>'MHSHIPMNTS &amp; SF &amp; MF Starts'!C21</f>
        <v>1749</v>
      </c>
      <c r="E20" s="51">
        <f t="shared" si="0"/>
        <v>4429</v>
      </c>
      <c r="F20" s="66">
        <f t="shared" si="1"/>
        <v>0.47041420118343197</v>
      </c>
      <c r="G20" s="66">
        <f>E20/PNWStarts!E20</f>
        <v>0.04517543859649123</v>
      </c>
      <c r="H20" s="66">
        <f>B20/PNWStarts!B20</f>
        <v>0.03200637201514979</v>
      </c>
      <c r="I20" s="68">
        <v>0.081</v>
      </c>
      <c r="K20" s="2">
        <f t="shared" si="2"/>
        <v>0.002592516133227133</v>
      </c>
    </row>
    <row r="21" spans="1:11" ht="12.75">
      <c r="A21" s="19">
        <v>1997</v>
      </c>
      <c r="B21" s="49">
        <f>MT!B23+MT!H23</f>
        <v>1917</v>
      </c>
      <c r="C21" s="49">
        <f>MT!N23</f>
        <v>556</v>
      </c>
      <c r="D21" s="51">
        <f>'MHSHIPMNTS &amp; SF &amp; MF Starts'!C22</f>
        <v>1681</v>
      </c>
      <c r="E21" s="51">
        <f t="shared" si="0"/>
        <v>4154</v>
      </c>
      <c r="F21" s="66">
        <f>D21/(B21+D21)</f>
        <v>0.4672040022234575</v>
      </c>
      <c r="G21" s="66">
        <f>E21/PNWStarts!E21</f>
        <v>0.04230185643438324</v>
      </c>
      <c r="H21" s="66">
        <f>B21/PNWStarts!B21</f>
        <v>0.03135273048427457</v>
      </c>
      <c r="I21" s="68">
        <v>0.08039999999999999</v>
      </c>
      <c r="K21" s="2">
        <f>H21*I21</f>
        <v>0.002520759530935675</v>
      </c>
    </row>
    <row r="22" spans="1:11" ht="12.75">
      <c r="A22" s="19">
        <v>1998</v>
      </c>
      <c r="B22" s="49">
        <f>MT!B24+MT!H24</f>
        <v>1889</v>
      </c>
      <c r="C22" s="49">
        <f>MT!N24</f>
        <v>672</v>
      </c>
      <c r="D22" s="51">
        <f>'MHSHIPMNTS &amp; SF &amp; MF Starts'!C23</f>
        <v>1919</v>
      </c>
      <c r="E22" s="51">
        <f t="shared" si="0"/>
        <v>4480</v>
      </c>
      <c r="F22" s="66">
        <f>D22/(B22+D22)</f>
        <v>0.5039390756302521</v>
      </c>
      <c r="G22" s="66">
        <f>E22/PNWStarts!E22</f>
        <v>0.04315784403448774</v>
      </c>
      <c r="H22" s="66">
        <f>B22/PNWStarts!B22</f>
        <v>0.029786495947522786</v>
      </c>
      <c r="I22" s="68">
        <v>0.0727</v>
      </c>
      <c r="K22" s="2">
        <f>H22*I22</f>
        <v>0.0021654782553849066</v>
      </c>
    </row>
    <row r="23" spans="1:11" ht="12.75">
      <c r="A23" s="19">
        <v>1999</v>
      </c>
      <c r="B23" s="49">
        <f>MT!B25+MT!H25</f>
        <v>2071</v>
      </c>
      <c r="C23" s="49">
        <f>MT!N25</f>
        <v>495</v>
      </c>
      <c r="D23" s="51">
        <f>'MHSHIPMNTS &amp; SF &amp; MF Starts'!C24</f>
        <v>1736</v>
      </c>
      <c r="E23" s="51">
        <f t="shared" si="0"/>
        <v>4302</v>
      </c>
      <c r="F23" s="66">
        <f>D23/(B23+D23)</f>
        <v>0.4560021013921723</v>
      </c>
      <c r="G23" s="66">
        <f>E23/PNWStarts!E23</f>
        <v>0.04502213431289442</v>
      </c>
      <c r="H23" s="66">
        <f>B23/PNWStarts!B23</f>
        <v>0.03336609257439301</v>
      </c>
      <c r="I23" s="68">
        <f>'SF Mortgage Rates &amp; Home Prices'!I29/100</f>
        <v>0.0758</v>
      </c>
      <c r="K23" s="2">
        <f>H23*I23</f>
        <v>0.0025291498171389907</v>
      </c>
    </row>
    <row r="24" spans="1:11" ht="12.75">
      <c r="A24" s="19">
        <v>2000</v>
      </c>
      <c r="B24" s="49">
        <f>MT!B26+MT!H26</f>
        <v>2084</v>
      </c>
      <c r="C24" s="49">
        <f>MT!N26</f>
        <v>488</v>
      </c>
      <c r="D24" s="51">
        <f>'MHSHIPMNTS &amp; SF &amp; MF Starts'!C25</f>
        <v>1195</v>
      </c>
      <c r="E24" s="51">
        <f>SUM(B24:D24)</f>
        <v>3767</v>
      </c>
      <c r="F24" s="66">
        <f>D24/(B24+D24)</f>
        <v>0.36444037816407443</v>
      </c>
      <c r="G24" s="66">
        <f>E24/PNWStarts!E24</f>
        <v>0.045835614771551986</v>
      </c>
      <c r="H24" s="66">
        <f>B24/PNWStarts!B24</f>
        <v>0.03649609470771602</v>
      </c>
      <c r="I24" s="68">
        <f>'SF Mortgage Rates &amp; Home Prices'!I30/100</f>
        <v>0.0827</v>
      </c>
      <c r="K24" s="2">
        <f>H24*I24</f>
        <v>0.0030182270323281146</v>
      </c>
    </row>
    <row r="25" spans="1:11" ht="12.75">
      <c r="A25" s="19">
        <v>2001</v>
      </c>
      <c r="B25" s="49">
        <f>MT!B27+MT!H27</f>
        <v>2106</v>
      </c>
      <c r="C25" s="49">
        <f>MT!N27</f>
        <v>498</v>
      </c>
      <c r="D25" s="51">
        <f>'MHSHIPMNTS &amp; SF &amp; MF Starts'!C26</f>
        <v>922</v>
      </c>
      <c r="E25" s="51">
        <f>SUM(B25:D25)</f>
        <v>3526</v>
      </c>
      <c r="F25" s="66">
        <f>D25/(B25+D25)</f>
        <v>0.3044914134742404</v>
      </c>
      <c r="G25" s="66">
        <f>E25/PNWStarts!E25</f>
        <v>0.04333079361958365</v>
      </c>
      <c r="H25" s="66">
        <f>B25/PNWStarts!B25</f>
        <v>0.03609254498714653</v>
      </c>
      <c r="I25" s="68">
        <f>'SF Mortgage Rates &amp; Home Prices'!I31/100</f>
        <v>0.0706</v>
      </c>
      <c r="K25" s="2">
        <f>H25*I25</f>
        <v>0.002548133676092545</v>
      </c>
    </row>
    <row r="26" spans="2:11" ht="12.75">
      <c r="B26" s="11"/>
      <c r="C26" s="11"/>
      <c r="D26" s="1"/>
      <c r="E26" s="1"/>
      <c r="F26" s="2"/>
      <c r="G26" s="2"/>
      <c r="H26" s="2"/>
      <c r="I26" s="5"/>
      <c r="K26" s="2"/>
    </row>
    <row r="27" spans="2:11" ht="12.75">
      <c r="B27" s="11"/>
      <c r="C27" s="11"/>
      <c r="D27" s="1"/>
      <c r="E27" s="1"/>
      <c r="F27" s="2"/>
      <c r="G27" s="2"/>
      <c r="H27" s="2"/>
      <c r="I27" s="5"/>
      <c r="K27" s="2"/>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7"/>
  <sheetViews>
    <sheetView workbookViewId="0" topLeftCell="A1">
      <selection activeCell="I30" sqref="I30"/>
    </sheetView>
  </sheetViews>
  <sheetFormatPr defaultColWidth="9.140625" defaultRowHeight="12.75"/>
  <cols>
    <col min="2" max="2" width="10.8515625" style="0" customWidth="1"/>
    <col min="3" max="3" width="12.57421875" style="0" customWidth="1"/>
    <col min="4" max="5" width="12.7109375" style="0" customWidth="1"/>
  </cols>
  <sheetData>
    <row r="1" ht="12.75">
      <c r="A1" t="s">
        <v>33</v>
      </c>
    </row>
    <row r="2" ht="12.75">
      <c r="A2" t="s">
        <v>32</v>
      </c>
    </row>
    <row r="3" spans="1:11" ht="38.25">
      <c r="A3" s="19"/>
      <c r="B3" s="27" t="s">
        <v>15</v>
      </c>
      <c r="C3" s="27" t="s">
        <v>120</v>
      </c>
      <c r="D3" s="27" t="s">
        <v>17</v>
      </c>
      <c r="E3" s="27" t="s">
        <v>18</v>
      </c>
      <c r="F3" s="27" t="s">
        <v>19</v>
      </c>
      <c r="G3" s="27" t="s">
        <v>28</v>
      </c>
      <c r="H3" s="27" t="s">
        <v>29</v>
      </c>
      <c r="I3" s="27" t="s">
        <v>30</v>
      </c>
      <c r="J3" t="s">
        <v>79</v>
      </c>
      <c r="K3" s="3" t="s">
        <v>31</v>
      </c>
    </row>
    <row r="4" spans="1:8" ht="12.75">
      <c r="A4" s="19"/>
      <c r="B4" s="91"/>
      <c r="C4" s="91"/>
      <c r="D4" s="19"/>
      <c r="E4" s="19"/>
      <c r="F4" s="19"/>
      <c r="G4" s="19"/>
      <c r="H4" s="19"/>
    </row>
    <row r="5" spans="1:10" ht="12.75">
      <c r="A5" s="19">
        <v>1981</v>
      </c>
      <c r="B5" s="92">
        <f>OR!B7+OR!H7</f>
        <v>9955</v>
      </c>
      <c r="C5" s="92">
        <f>OR!N7</f>
        <v>2932</v>
      </c>
      <c r="D5" s="51">
        <f>'MHSHIPMNTS &amp; SF &amp; MF Starts'!D6</f>
        <v>3148</v>
      </c>
      <c r="E5" s="93">
        <f>SUM(B5:D5)</f>
        <v>16035</v>
      </c>
      <c r="F5" s="66">
        <f>D5/(B5+D5)</f>
        <v>0.24025032435320157</v>
      </c>
      <c r="G5" s="66">
        <f>E5/PNWStarts!E5</f>
        <v>0.28950836838969435</v>
      </c>
      <c r="H5" s="68">
        <v>0.1421</v>
      </c>
      <c r="J5" s="2">
        <f>G5*H5</f>
        <v>0.04113913914817557</v>
      </c>
    </row>
    <row r="6" spans="1:10" ht="12.75">
      <c r="A6" s="19">
        <v>1982</v>
      </c>
      <c r="B6" s="92">
        <f>OR!B8+OR!H8</f>
        <v>5590</v>
      </c>
      <c r="C6" s="92">
        <f>OR!N8</f>
        <v>1868</v>
      </c>
      <c r="D6" s="51">
        <f>'MHSHIPMNTS &amp; SF &amp; MF Starts'!D7</f>
        <v>1856</v>
      </c>
      <c r="E6" s="93">
        <f aca="true" t="shared" si="0" ref="E6:E25">SUM(B6:D6)</f>
        <v>9314</v>
      </c>
      <c r="F6" s="66">
        <f aca="true" t="shared" si="1" ref="F6:F25">D6/(B6+D6)</f>
        <v>0.2492613483749664</v>
      </c>
      <c r="G6" s="66">
        <f>E6/PNWStarts!E6</f>
        <v>0.24221147344879596</v>
      </c>
      <c r="H6" s="68">
        <v>0.1501</v>
      </c>
      <c r="J6" s="2">
        <f aca="true" t="shared" si="2" ref="J6:J23">G6*H6</f>
        <v>0.03635594216466428</v>
      </c>
    </row>
    <row r="7" spans="1:10" ht="12.75">
      <c r="A7" s="19">
        <v>1983</v>
      </c>
      <c r="B7" s="92">
        <f>OR!B9+OR!H9</f>
        <v>7413</v>
      </c>
      <c r="C7" s="92">
        <f>OR!N9</f>
        <v>1180</v>
      </c>
      <c r="D7" s="51">
        <f>'MHSHIPMNTS &amp; SF &amp; MF Starts'!D8</f>
        <v>2698</v>
      </c>
      <c r="E7" s="93">
        <f t="shared" si="0"/>
        <v>11291</v>
      </c>
      <c r="F7" s="66">
        <f t="shared" si="1"/>
        <v>0.2668380971219464</v>
      </c>
      <c r="G7" s="66">
        <f>E7/PNWStarts!E7</f>
        <v>0.2038638620565135</v>
      </c>
      <c r="H7" s="68">
        <v>0.1265</v>
      </c>
      <c r="J7" s="2">
        <f t="shared" si="2"/>
        <v>0.025788778550148956</v>
      </c>
    </row>
    <row r="8" spans="1:10" ht="12.75">
      <c r="A8" s="19">
        <v>1984</v>
      </c>
      <c r="B8" s="92">
        <f>OR!B10+OR!H10</f>
        <v>6570</v>
      </c>
      <c r="C8" s="92">
        <f>OR!N10</f>
        <v>1424</v>
      </c>
      <c r="D8" s="51">
        <f>'MHSHIPMNTS &amp; SF &amp; MF Starts'!D9</f>
        <v>2880</v>
      </c>
      <c r="E8" s="93">
        <f t="shared" si="0"/>
        <v>10874</v>
      </c>
      <c r="F8" s="66">
        <f t="shared" si="1"/>
        <v>0.3047619047619048</v>
      </c>
      <c r="G8" s="66">
        <f>E8/PNWStarts!E8</f>
        <v>0.18929081224106117</v>
      </c>
      <c r="H8" s="68">
        <v>0.1258</v>
      </c>
      <c r="J8" s="2">
        <f t="shared" si="2"/>
        <v>0.023812784179925495</v>
      </c>
    </row>
    <row r="9" spans="1:10" ht="12.75">
      <c r="A9" s="19">
        <v>1985</v>
      </c>
      <c r="B9" s="92">
        <f>OR!B11+OR!H11</f>
        <v>6837</v>
      </c>
      <c r="C9" s="92">
        <f>OR!N11</f>
        <v>4261</v>
      </c>
      <c r="D9" s="51">
        <f>'MHSHIPMNTS &amp; SF &amp; MF Starts'!D10</f>
        <v>2370</v>
      </c>
      <c r="E9" s="93">
        <f t="shared" si="0"/>
        <v>13468</v>
      </c>
      <c r="F9" s="66">
        <f t="shared" si="1"/>
        <v>0.25741283805799936</v>
      </c>
      <c r="G9" s="66">
        <f>E9/PNWStarts!E9</f>
        <v>0.21793938217065553</v>
      </c>
      <c r="H9" s="68">
        <v>0.1152</v>
      </c>
      <c r="J9" s="2">
        <f t="shared" si="2"/>
        <v>0.025106616826059518</v>
      </c>
    </row>
    <row r="10" spans="1:10" ht="12.75">
      <c r="A10" s="19">
        <v>1986</v>
      </c>
      <c r="B10" s="92">
        <f>OR!B12+OR!H12</f>
        <v>7604</v>
      </c>
      <c r="C10" s="92">
        <f>OR!N12</f>
        <v>3058</v>
      </c>
      <c r="D10" s="51">
        <f>'MHSHIPMNTS &amp; SF &amp; MF Starts'!D11</f>
        <v>2297</v>
      </c>
      <c r="E10" s="93">
        <f t="shared" si="0"/>
        <v>12959</v>
      </c>
      <c r="F10" s="66">
        <f t="shared" si="1"/>
        <v>0.231996768003232</v>
      </c>
      <c r="G10" s="66">
        <f>E10/PNWStarts!E10</f>
        <v>0.21446066262866978</v>
      </c>
      <c r="H10" s="68">
        <v>0.1025</v>
      </c>
      <c r="J10" s="2">
        <f t="shared" si="2"/>
        <v>0.021982217919438652</v>
      </c>
    </row>
    <row r="11" spans="1:10" ht="12.75">
      <c r="A11" s="19">
        <v>1987</v>
      </c>
      <c r="B11" s="92">
        <f>OR!B13+OR!H13</f>
        <v>8347</v>
      </c>
      <c r="C11" s="92">
        <f>OR!N13</f>
        <v>3871</v>
      </c>
      <c r="D11" s="51">
        <f>'MHSHIPMNTS &amp; SF &amp; MF Starts'!D12</f>
        <v>2910</v>
      </c>
      <c r="E11" s="93">
        <f t="shared" si="0"/>
        <v>15128</v>
      </c>
      <c r="F11" s="66">
        <f t="shared" si="1"/>
        <v>0.2585058186017589</v>
      </c>
      <c r="G11" s="66">
        <f>E11/PNWStarts!E11</f>
        <v>0.24221852183937492</v>
      </c>
      <c r="H11" s="68">
        <v>0.0953</v>
      </c>
      <c r="J11" s="2">
        <f t="shared" si="2"/>
        <v>0.02308342513129243</v>
      </c>
    </row>
    <row r="12" spans="1:10" ht="12.75">
      <c r="A12" s="19">
        <v>1988</v>
      </c>
      <c r="B12" s="92">
        <f>OR!B14+OR!H14</f>
        <v>9840</v>
      </c>
      <c r="C12" s="92">
        <f>OR!N14</f>
        <v>4209</v>
      </c>
      <c r="D12" s="51">
        <f>'MHSHIPMNTS &amp; SF &amp; MF Starts'!D13</f>
        <v>3852</v>
      </c>
      <c r="E12" s="93">
        <f t="shared" si="0"/>
        <v>17901</v>
      </c>
      <c r="F12" s="66">
        <f t="shared" si="1"/>
        <v>0.2813321647677476</v>
      </c>
      <c r="G12" s="66">
        <f>E12/PNWStarts!E12</f>
        <v>0.24798780910161392</v>
      </c>
      <c r="H12" s="68">
        <v>0.0953</v>
      </c>
      <c r="J12" s="2">
        <f t="shared" si="2"/>
        <v>0.023633238207383805</v>
      </c>
    </row>
    <row r="13" spans="1:10" ht="12.75">
      <c r="A13" s="19">
        <v>1989</v>
      </c>
      <c r="B13" s="92">
        <f>OR!B15+OR!H15</f>
        <v>12653</v>
      </c>
      <c r="C13" s="92">
        <f>OR!N15</f>
        <v>10436</v>
      </c>
      <c r="D13" s="51">
        <f>'MHSHIPMNTS &amp; SF &amp; MF Starts'!D14</f>
        <v>4387</v>
      </c>
      <c r="E13" s="93">
        <f t="shared" si="0"/>
        <v>27476</v>
      </c>
      <c r="F13" s="66">
        <f t="shared" si="1"/>
        <v>0.2574530516431925</v>
      </c>
      <c r="G13" s="66">
        <f>E13/PNWStarts!E13</f>
        <v>0.31654013202612874</v>
      </c>
      <c r="H13" s="68">
        <v>0.10210000000000001</v>
      </c>
      <c r="J13" s="2">
        <f t="shared" si="2"/>
        <v>0.032318747479867745</v>
      </c>
    </row>
    <row r="14" spans="1:10" ht="12.75">
      <c r="A14" s="19">
        <v>1990</v>
      </c>
      <c r="B14" s="92">
        <f>OR!B16+OR!H16</f>
        <v>14673</v>
      </c>
      <c r="C14" s="92">
        <f>OR!N16</f>
        <v>8185</v>
      </c>
      <c r="D14" s="51">
        <f>'MHSHIPMNTS &amp; SF &amp; MF Starts'!D15</f>
        <v>4905</v>
      </c>
      <c r="E14" s="93">
        <f t="shared" si="0"/>
        <v>27763</v>
      </c>
      <c r="F14" s="66">
        <f t="shared" si="1"/>
        <v>0.2505363162733681</v>
      </c>
      <c r="G14" s="66">
        <f>E14/PNWStarts!E14</f>
        <v>0.30808411474227376</v>
      </c>
      <c r="H14" s="68">
        <v>0.10298</v>
      </c>
      <c r="J14" s="2">
        <f t="shared" si="2"/>
        <v>0.03172650213615935</v>
      </c>
    </row>
    <row r="15" spans="1:10" ht="12.75">
      <c r="A15" s="19">
        <v>1991</v>
      </c>
      <c r="B15" s="92">
        <f>OR!B17+OR!H17</f>
        <v>12746</v>
      </c>
      <c r="C15" s="92">
        <f>OR!N17</f>
        <v>3640</v>
      </c>
      <c r="D15" s="51">
        <f>'MHSHIPMNTS &amp; SF &amp; MF Starts'!D16</f>
        <v>4720</v>
      </c>
      <c r="E15" s="93">
        <f t="shared" si="0"/>
        <v>21106</v>
      </c>
      <c r="F15" s="66">
        <f t="shared" si="1"/>
        <v>0.27023932211153096</v>
      </c>
      <c r="G15" s="66">
        <f>E15/PNWStarts!E15</f>
        <v>0.30379273119827277</v>
      </c>
      <c r="H15" s="68">
        <v>0.09630000000000001</v>
      </c>
      <c r="J15" s="2">
        <f t="shared" si="2"/>
        <v>0.029255240014393672</v>
      </c>
    </row>
    <row r="16" spans="1:10" ht="12.75">
      <c r="A16" s="19">
        <v>1992</v>
      </c>
      <c r="B16" s="92">
        <f>OR!B18+OR!H18</f>
        <v>14166</v>
      </c>
      <c r="C16" s="92">
        <f>OR!N18</f>
        <v>2828</v>
      </c>
      <c r="D16" s="51">
        <f>'MHSHIPMNTS &amp; SF &amp; MF Starts'!D17</f>
        <v>5103</v>
      </c>
      <c r="E16" s="93">
        <f t="shared" si="0"/>
        <v>22097</v>
      </c>
      <c r="F16" s="66">
        <f t="shared" si="1"/>
        <v>0.2648295189163942</v>
      </c>
      <c r="G16" s="66">
        <f>E16/PNWStarts!E16</f>
        <v>0.26776777383274963</v>
      </c>
      <c r="H16" s="68">
        <v>0.0808</v>
      </c>
      <c r="J16" s="2">
        <f t="shared" si="2"/>
        <v>0.02163563612568617</v>
      </c>
    </row>
    <row r="17" spans="1:10" ht="12.75">
      <c r="A17" s="19">
        <v>1993</v>
      </c>
      <c r="B17" s="92">
        <f>OR!B19+OR!H19</f>
        <v>16487</v>
      </c>
      <c r="C17" s="92">
        <f>OR!N19</f>
        <v>4042</v>
      </c>
      <c r="D17" s="51">
        <f>'MHSHIPMNTS &amp; SF &amp; MF Starts'!D18</f>
        <v>6454</v>
      </c>
      <c r="E17" s="93">
        <f t="shared" si="0"/>
        <v>26983</v>
      </c>
      <c r="F17" s="66">
        <f t="shared" si="1"/>
        <v>0.2813303692079683</v>
      </c>
      <c r="G17" s="66">
        <f>E17/PNWStarts!E17</f>
        <v>0.28594894185220904</v>
      </c>
      <c r="H17" s="68">
        <v>0.0713</v>
      </c>
      <c r="J17" s="2">
        <f t="shared" si="2"/>
        <v>0.020388159554062504</v>
      </c>
    </row>
    <row r="18" spans="1:10" ht="12.75">
      <c r="A18" s="19">
        <v>1994</v>
      </c>
      <c r="B18" s="92">
        <f>OR!B20+OR!H20</f>
        <v>18108</v>
      </c>
      <c r="C18" s="92">
        <f>OR!N20</f>
        <v>5921</v>
      </c>
      <c r="D18" s="51">
        <f>'MHSHIPMNTS &amp; SF &amp; MF Starts'!D19</f>
        <v>7597</v>
      </c>
      <c r="E18" s="93">
        <f t="shared" si="0"/>
        <v>31626</v>
      </c>
      <c r="F18" s="66">
        <f t="shared" si="1"/>
        <v>0.29554561369383386</v>
      </c>
      <c r="G18" s="66">
        <f>E18/PNWStarts!E18</f>
        <v>0.3033436283067007</v>
      </c>
      <c r="H18" s="68">
        <v>0.0676</v>
      </c>
      <c r="J18" s="2">
        <f t="shared" si="2"/>
        <v>0.020506029273532966</v>
      </c>
    </row>
    <row r="19" spans="1:10" ht="12.75">
      <c r="A19" s="19">
        <v>1995</v>
      </c>
      <c r="B19" s="92">
        <f>OR!B21+OR!H21</f>
        <v>17622</v>
      </c>
      <c r="C19" s="92">
        <f>OR!N21</f>
        <v>8579</v>
      </c>
      <c r="D19" s="51">
        <f>'MHSHIPMNTS &amp; SF &amp; MF Starts'!D20</f>
        <v>7450</v>
      </c>
      <c r="E19" s="93">
        <f t="shared" si="0"/>
        <v>33651</v>
      </c>
      <c r="F19" s="66">
        <f t="shared" si="1"/>
        <v>0.2971442246330568</v>
      </c>
      <c r="G19" s="66">
        <f>E19/PNWStarts!E19</f>
        <v>0.3442627982158203</v>
      </c>
      <c r="H19" s="68">
        <v>0.0747</v>
      </c>
      <c r="J19" s="2">
        <f t="shared" si="2"/>
        <v>0.025716431026721775</v>
      </c>
    </row>
    <row r="20" spans="1:10" ht="12.75">
      <c r="A20" s="19">
        <v>1996</v>
      </c>
      <c r="B20" s="92">
        <f>OR!B22+OR!H22</f>
        <v>19306</v>
      </c>
      <c r="C20" s="92">
        <f>OR!N22</f>
        <v>8508</v>
      </c>
      <c r="D20" s="51">
        <f>'MHSHIPMNTS &amp; SF &amp; MF Starts'!D21</f>
        <v>6484</v>
      </c>
      <c r="E20" s="93">
        <f t="shared" si="0"/>
        <v>34298</v>
      </c>
      <c r="F20" s="66">
        <f t="shared" si="1"/>
        <v>0.25141527723924</v>
      </c>
      <c r="G20" s="66">
        <f>E20/PNWStarts!E20</f>
        <v>0.34983680130558953</v>
      </c>
      <c r="H20" s="68">
        <v>0.07629999999999999</v>
      </c>
      <c r="J20" s="2">
        <f t="shared" si="2"/>
        <v>0.02669254793961648</v>
      </c>
    </row>
    <row r="21" spans="1:10" ht="12.75">
      <c r="A21" s="19">
        <v>1997</v>
      </c>
      <c r="B21" s="92">
        <f>OR!B23+OR!H23</f>
        <v>18910</v>
      </c>
      <c r="C21" s="92">
        <f>OR!N23</f>
        <v>8089</v>
      </c>
      <c r="D21" s="51">
        <f>'MHSHIPMNTS &amp; SF &amp; MF Starts'!D22</f>
        <v>6567</v>
      </c>
      <c r="E21" s="93">
        <f t="shared" si="0"/>
        <v>33566</v>
      </c>
      <c r="F21" s="66">
        <f t="shared" si="1"/>
        <v>0.25776190289280526</v>
      </c>
      <c r="G21" s="66">
        <f>E21/PNWStarts!E21</f>
        <v>0.3418161081070072</v>
      </c>
      <c r="H21" s="68">
        <v>0.07719999999999999</v>
      </c>
      <c r="J21" s="2">
        <f t="shared" si="2"/>
        <v>0.026388203545860953</v>
      </c>
    </row>
    <row r="22" spans="1:10" ht="12.75">
      <c r="A22" s="19">
        <v>1998</v>
      </c>
      <c r="B22" s="92">
        <f>OR!B24+OR!H24</f>
        <v>18846</v>
      </c>
      <c r="C22" s="92">
        <f>OR!N24</f>
        <v>7008</v>
      </c>
      <c r="D22" s="51">
        <f>'MHSHIPMNTS &amp; SF &amp; MF Starts'!D23</f>
        <v>6223</v>
      </c>
      <c r="E22" s="93">
        <f t="shared" si="0"/>
        <v>32077</v>
      </c>
      <c r="F22" s="66">
        <f t="shared" si="1"/>
        <v>0.24823487175395909</v>
      </c>
      <c r="G22" s="66">
        <f>E22/PNWStarts!E22</f>
        <v>0.30901208997639806</v>
      </c>
      <c r="H22" s="68">
        <v>0.071</v>
      </c>
      <c r="J22" s="2">
        <f t="shared" si="2"/>
        <v>0.02193985838832426</v>
      </c>
    </row>
    <row r="23" spans="1:10" ht="12.75">
      <c r="A23" s="19">
        <v>1999</v>
      </c>
      <c r="B23" s="92">
        <f>OR!B25+OR!H25</f>
        <v>18511</v>
      </c>
      <c r="C23" s="92">
        <f>OR!N25</f>
        <v>4738</v>
      </c>
      <c r="D23" s="51">
        <f>'MHSHIPMNTS &amp; SF &amp; MF Starts'!D24</f>
        <v>5202</v>
      </c>
      <c r="E23" s="93">
        <f t="shared" si="0"/>
        <v>28451</v>
      </c>
      <c r="F23" s="66">
        <f t="shared" si="1"/>
        <v>0.21937333951840762</v>
      </c>
      <c r="G23" s="66">
        <f>E23/PNWStarts!E23</f>
        <v>0.2977509863635888</v>
      </c>
      <c r="H23" s="68">
        <f>'SF Mortgage Rates &amp; Home Prices'!N29/100</f>
        <v>0.0699</v>
      </c>
      <c r="J23" s="2">
        <f t="shared" si="2"/>
        <v>0.02081279394681486</v>
      </c>
    </row>
    <row r="24" spans="1:10" ht="12.75">
      <c r="A24" s="19">
        <v>2000</v>
      </c>
      <c r="B24" s="92">
        <f>OR!B26+OR!H26</f>
        <v>16693</v>
      </c>
      <c r="C24" s="92">
        <f>OR!N26</f>
        <v>3184</v>
      </c>
      <c r="D24" s="51">
        <f>'MHSHIPMNTS &amp; SF &amp; MF Starts'!D25</f>
        <v>3199</v>
      </c>
      <c r="E24" s="93">
        <f t="shared" si="0"/>
        <v>23076</v>
      </c>
      <c r="F24" s="66">
        <f t="shared" si="1"/>
        <v>0.1608184194651116</v>
      </c>
      <c r="G24" s="66">
        <f>E24/PNWStarts!E24</f>
        <v>0.2807811644460668</v>
      </c>
      <c r="H24" s="68">
        <f>'SF Mortgage Rates &amp; Home Prices'!N30/100</f>
        <v>0.077</v>
      </c>
      <c r="J24" s="2">
        <f>G24*H24</f>
        <v>0.021620149662347144</v>
      </c>
    </row>
    <row r="25" spans="1:10" ht="12.75">
      <c r="A25" s="19">
        <v>2001</v>
      </c>
      <c r="B25" s="92">
        <f>OR!B27+OR!H27</f>
        <v>17461</v>
      </c>
      <c r="C25" s="92">
        <f>OR!N27</f>
        <v>3861</v>
      </c>
      <c r="D25" s="51">
        <f>'MHSHIPMNTS &amp; SF &amp; MF Starts'!D26</f>
        <v>2392</v>
      </c>
      <c r="E25" s="93">
        <f t="shared" si="0"/>
        <v>23714</v>
      </c>
      <c r="F25" s="66">
        <f t="shared" si="1"/>
        <v>0.12048556893164761</v>
      </c>
      <c r="G25" s="66">
        <f>E25/PNWStarts!E25</f>
        <v>0.2914198638385725</v>
      </c>
      <c r="H25" s="68">
        <f>'SF Mortgage Rates &amp; Home Prices'!N31/100</f>
        <v>0.0696</v>
      </c>
      <c r="J25" s="2">
        <f>G25*H25</f>
        <v>0.020282822523164643</v>
      </c>
    </row>
    <row r="26" spans="2:10" ht="12.75">
      <c r="B26" s="1"/>
      <c r="C26" s="1"/>
      <c r="D26" s="1"/>
      <c r="E26" s="2"/>
      <c r="F26" s="2"/>
      <c r="G26" s="2"/>
      <c r="H26" s="5"/>
      <c r="J26" s="2"/>
    </row>
    <row r="27" spans="2:10" ht="12.75">
      <c r="B27" s="1"/>
      <c r="C27" s="1"/>
      <c r="D27" s="1"/>
      <c r="E27" s="2"/>
      <c r="F27" s="2"/>
      <c r="G27" s="2"/>
      <c r="H27" s="5"/>
      <c r="J27" s="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NW Power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MHI: Media Center: Statistics: Statewide Manufactured Home Shipments by Product Mix...</dc:title>
  <dc:subject/>
  <dc:creator>Tom Eckman</dc:creator>
  <cp:keywords/>
  <dc:description/>
  <cp:lastModifiedBy>Tom Eckman</cp:lastModifiedBy>
  <cp:lastPrinted>1998-07-17T21:08:22Z</cp:lastPrinted>
  <dcterms:created xsi:type="dcterms:W3CDTF">1998-06-24T18:32:13Z</dcterms:created>
  <dcterms:modified xsi:type="dcterms:W3CDTF">2003-01-17T20:18:18Z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